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netne\Desktop\1월 데이터정리\25년 1월 렌트 견적기\"/>
    </mc:Choice>
  </mc:AlternateContent>
  <xr:revisionPtr revIDLastSave="0" documentId="13_ncr:1_{98456426-624B-4DDA-92ED-2BB5AF80670F}" xr6:coauthVersionLast="47" xr6:coauthVersionMax="47" xr10:uidLastSave="{00000000-0000-0000-0000-000000000000}"/>
  <bookViews>
    <workbookView xWindow="0" yWindow="0" windowWidth="14400" windowHeight="15600" tabRatio="749" firstSheet="2" activeTab="14" xr2:uid="{00000000-000D-0000-FFFF-FFFF00000000}"/>
  </bookViews>
  <sheets>
    <sheet name="운영조건" sheetId="21" state="hidden" r:id="rId1"/>
    <sheet name="제조사납기" sheetId="36" state="hidden" r:id="rId2"/>
    <sheet name="견적" sheetId="1" r:id="rId3"/>
    <sheet name="실행요청서 (펀딩시 필수제출)" sheetId="22" state="hidden" r:id="rId4"/>
    <sheet name="현대기아 발주요청서" sheetId="35" state="hidden" r:id="rId5"/>
    <sheet name="르노 쉐보레 KG 발주요청서" sheetId="26" state="hidden" r:id="rId6"/>
    <sheet name="Sheet2" sheetId="29" state="hidden" r:id="rId7"/>
    <sheet name="견적정보" sheetId="2" state="veryHidden" r:id="rId8"/>
    <sheet name="DB▶" sheetId="17" r:id="rId9"/>
    <sheet name="잔가율" sheetId="5" state="veryHidden" r:id="rId10"/>
    <sheet name="오클 별첨1" sheetId="31" state="hidden" r:id="rId11"/>
    <sheet name="오클 별첨2" sheetId="32" state="hidden" r:id="rId12"/>
    <sheet name="오핸 별첨1" sheetId="33" state="hidden" r:id="rId13"/>
    <sheet name="오핸 별첨2" sheetId="34" state="hidden" r:id="rId14"/>
    <sheet name="차량" sheetId="3" r:id="rId15"/>
    <sheet name="정비비" sheetId="10" state="veryHidden" r:id="rId16"/>
    <sheet name="보험료_미사용" sheetId="6" state="veryHidden" r:id="rId17"/>
    <sheet name="보험료(렌공삼성)_2406" sheetId="30" state="veryHidden" r:id="rId18"/>
    <sheet name="보험료_렌공_230327" sheetId="28" state="hidden" r:id="rId19"/>
    <sheet name="탁송,용품" sheetId="9" state="hidden" r:id="rId20"/>
    <sheet name="기타정보" sheetId="23" state="veryHidden" r:id="rId21"/>
    <sheet name="22년7월 삼성화재 보험료수정 (임특)" sheetId="27" state="veryHidden" r:id="rId22"/>
    <sheet name="Sheet1" sheetId="24" state="veryHidden" r:id="rId23"/>
  </sheets>
  <definedNames>
    <definedName name="_xlnm._FilterDatabase" localSheetId="21" hidden="1">'22년7월 삼성화재 보험료수정 (임특)'!$A$1:$K$61</definedName>
    <definedName name="_xlnm._FilterDatabase" localSheetId="2" hidden="1">견적!$B$1:$CS$37</definedName>
    <definedName name="_xlnm._FilterDatabase" localSheetId="20" hidden="1">기타정보!$A$2:$AD$2</definedName>
    <definedName name="_xlnm._FilterDatabase" localSheetId="17" hidden="1">'보험료(렌공삼성)_2406'!$A$1:$H$25</definedName>
    <definedName name="_xlnm._FilterDatabase" localSheetId="18" hidden="1">보험료_렌공_230327!$A$1:$I$31</definedName>
    <definedName name="_xlnm._FilterDatabase" localSheetId="16" hidden="1">보험료_미사용!$A$1:$F$61</definedName>
    <definedName name="_xlnm._FilterDatabase" localSheetId="3" hidden="1">'실행요청서 (펀딩시 필수제출)'!$A$1:$H$7</definedName>
    <definedName name="_xlnm._FilterDatabase" localSheetId="9" hidden="1">잔가율!$B$46:$F$192</definedName>
    <definedName name="_xlnm._FilterDatabase" localSheetId="15" hidden="1">정비비!$K$1:$O$1153</definedName>
    <definedName name="_xlnm._FilterDatabase" localSheetId="14" hidden="1">차량!$A$2:$AK$501</definedName>
    <definedName name="_xlnm._FilterDatabase" localSheetId="19" hidden="1">'탁송,용품'!$A$1:$F$562</definedName>
    <definedName name="G_70">차량!$A$46:$A$51</definedName>
    <definedName name="G_80">차량!$A$133:$A$140</definedName>
    <definedName name="G_90">차량!$A$3:$A$13</definedName>
    <definedName name="GV_70">차량!$A$14:$A$21</definedName>
    <definedName name="GV_80">차량!$A$22:$A$45</definedName>
    <definedName name="K_5">차량!$A$430:$A$442</definedName>
    <definedName name="K_8">차량!$A$257:$A$272</definedName>
    <definedName name="K_9">차량!$A$273:$A$282</definedName>
    <definedName name="KG_쌍용">기타정보!$Y$3:$Y$7</definedName>
    <definedName name="_xlnm.Print_Area" localSheetId="2">견적!$A$1:$FA$57</definedName>
    <definedName name="_xlnm.Print_Area" localSheetId="7">견적정보!$A$1:$BE$70</definedName>
    <definedName name="_xlnm.Print_Area" localSheetId="5">'르노 쉐보레 KG 발주요청서'!$A$1:$F$28</definedName>
    <definedName name="_xlnm.Print_Area" localSheetId="3">'실행요청서 (펀딩시 필수제출)'!$B$9:$H$41</definedName>
    <definedName name="_xlnm.Print_Area" localSheetId="11">'오클 별첨2'!$A$1:$T$90</definedName>
    <definedName name="_xlnm.Print_Area" localSheetId="12">'오핸 별첨1'!$A$1:$Z$28</definedName>
    <definedName name="_xlnm.Print_Area" localSheetId="13">'오핸 별첨2'!$A$1:$AB$90</definedName>
    <definedName name="_xlnm.Print_Area" localSheetId="19">'탁송,용품'!$A$1:$N$508</definedName>
    <definedName name="_xlnm.Print_Titles" localSheetId="19">'탁송,용품'!$1:$1</definedName>
    <definedName name="QM6_">차량!$A$467:$A$470</definedName>
    <definedName name="SM6_">차량!$A$478:$A$482</definedName>
    <definedName name="XM3_">차량!#REF!</definedName>
    <definedName name="그랑_콜레오스">차량!$A$483:$A$489</definedName>
    <definedName name="그랜저">차량!$A$52:$A$70</definedName>
    <definedName name="기아">기타정보!$W$3:$W$12</definedName>
    <definedName name="니로">차량!$A$283:$A$285</definedName>
    <definedName name="레이">차량!$A$286:$A$289</definedName>
    <definedName name="렉스턴">차량!$A$445:$A$452</definedName>
    <definedName name="르노">기타정보!$Z$3:$Z$6</definedName>
    <definedName name="모닝">차량!$A$306:$A$308</definedName>
    <definedName name="베뉴">차량!$A$174:$A$175</definedName>
    <definedName name="상품명">'탁송,용품'!$J:$J</definedName>
    <definedName name="선발주_투싼">차량!$A$171:$A$173</definedName>
    <definedName name="셀토스">차량!$A$310:$A$325</definedName>
    <definedName name="쉐보레">기타정보!$AA$3:$AA$4</definedName>
    <definedName name="스타리아">차량!$A$176:$A$197</definedName>
    <definedName name="스포티지">차량!$A$290:$A$305</definedName>
    <definedName name="싼타페">차량!$A$71:$A$118</definedName>
    <definedName name="쌍용">차량!$A$185:$A$189</definedName>
    <definedName name="쏘나타">차량!$A$198:$A$212</definedName>
    <definedName name="쏘렌토">차량!$A$326:$A$397</definedName>
    <definedName name="아르카나">차량!$A$471:$A$477</definedName>
    <definedName name="아반떼">차량!$A$213:$A$226</definedName>
    <definedName name="액티언">차량!$A$463:$A$466</definedName>
    <definedName name="용인블랙박스">'탁송,용품'!$J$41:$J$45</definedName>
    <definedName name="용인전면썬팅">'탁송,용품'!$J$27:$J$31</definedName>
    <definedName name="제네시스">기타정보!$X$3:$X$10</definedName>
    <definedName name="카니발">차량!$A$398:$A$429</definedName>
    <definedName name="캐스퍼">차량!$A$251:$A$256</definedName>
    <definedName name="코나">차량!$A$119:$A$132</definedName>
    <definedName name="코란도">차량!$A$460:$A$462</definedName>
    <definedName name="토레스">차량!$A$443:$A$444</definedName>
    <definedName name="투싼">차량!$A$141:$A$170</definedName>
    <definedName name="트랙스">차량!$A$490:$A$492</definedName>
    <definedName name="트레일블레이저">차량!$A$493:$A$500</definedName>
    <definedName name="티볼리">차량!$A$453:$A$459</definedName>
    <definedName name="팰리세이드">차량!$A$227:$A$250</definedName>
    <definedName name="평택네비게이션">'탁송,용품'!$J$23:$J$24</definedName>
    <definedName name="평택블랙박스">'탁송,용품'!$J$13:$J$21</definedName>
    <definedName name="평택전면썬팅">'탁송,용품'!$J$2:$J$4</definedName>
    <definedName name="프로모션블랙박스">'탁송,용품'!$J$40:$J$41</definedName>
    <definedName name="프로모션전면썬팅">'탁송,용품'!$J$26:$J$27</definedName>
    <definedName name="현대">기타정보!$V$3:$V$13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" l="1"/>
  <c r="AF17" i="1"/>
  <c r="AV17" i="1"/>
  <c r="P18" i="1"/>
  <c r="AF18" i="1"/>
  <c r="AV18" i="1"/>
  <c r="P19" i="1"/>
  <c r="AF19" i="1"/>
  <c r="AV19" i="1"/>
  <c r="P20" i="1"/>
  <c r="AF20" i="1"/>
  <c r="AV20" i="1"/>
  <c r="P21" i="1"/>
  <c r="V21" i="1"/>
  <c r="AF21" i="1"/>
  <c r="AL21" i="1"/>
  <c r="AV21" i="1"/>
  <c r="BB21" i="1"/>
  <c r="P22" i="1"/>
  <c r="V22" i="1"/>
  <c r="AF22" i="1"/>
  <c r="AL22" i="1"/>
  <c r="AV22" i="1"/>
  <c r="BB22" i="1"/>
  <c r="P23" i="1"/>
  <c r="V23" i="1"/>
  <c r="AF23" i="1"/>
  <c r="AL23" i="1"/>
  <c r="AV23" i="1"/>
  <c r="BB23" i="1"/>
  <c r="P24" i="1"/>
  <c r="V24" i="1"/>
  <c r="AF24" i="1"/>
  <c r="AL24" i="1"/>
  <c r="AV24" i="1"/>
  <c r="BB24" i="1"/>
  <c r="P25" i="1"/>
  <c r="AF25" i="1"/>
  <c r="AV25" i="1"/>
  <c r="AT2" i="1"/>
  <c r="H6" i="1"/>
  <c r="AO6" i="1"/>
  <c r="BD6" i="1"/>
  <c r="BD5" i="1" s="1"/>
  <c r="AO7" i="1"/>
  <c r="BD7" i="1"/>
  <c r="H10" i="1"/>
  <c r="AC10" i="1"/>
  <c r="H11" i="1"/>
  <c r="H12" i="1"/>
  <c r="Z12" i="1"/>
  <c r="AU12" i="1"/>
  <c r="AC33" i="1"/>
  <c r="AC34" i="1"/>
  <c r="AQ34" i="1"/>
  <c r="BE34" i="1"/>
  <c r="L56" i="1"/>
  <c r="W56" i="1"/>
  <c r="AH56" i="1"/>
  <c r="T10" i="2" l="1"/>
  <c r="T6" i="2"/>
  <c r="T2" i="2"/>
  <c r="U2" i="2"/>
  <c r="S2" i="2"/>
  <c r="Q2" i="2"/>
  <c r="R2" i="2"/>
  <c r="P2" i="2"/>
  <c r="O2" i="2"/>
  <c r="N2" i="2"/>
  <c r="M2" i="2"/>
  <c r="BQ16" i="1"/>
  <c r="C98" i="5" l="1"/>
  <c r="B98" i="5" s="1"/>
  <c r="C97" i="5"/>
  <c r="B97" i="5" s="1"/>
  <c r="C96" i="5"/>
  <c r="B96" i="5" s="1"/>
  <c r="C95" i="5"/>
  <c r="B95" i="5" s="1"/>
  <c r="C94" i="5"/>
  <c r="B94" i="5" s="1"/>
  <c r="C93" i="5"/>
  <c r="B93" i="5" s="1"/>
  <c r="C92" i="5"/>
  <c r="B92" i="5" s="1"/>
  <c r="C91" i="5"/>
  <c r="B91" i="5" s="1"/>
  <c r="C90" i="5"/>
  <c r="B90" i="5" s="1"/>
  <c r="C89" i="5"/>
  <c r="B89" i="5" s="1"/>
  <c r="C88" i="5"/>
  <c r="B88" i="5" s="1"/>
  <c r="C87" i="5"/>
  <c r="B87" i="5" s="1"/>
  <c r="C86" i="5"/>
  <c r="B86" i="5" s="1"/>
  <c r="C85" i="5"/>
  <c r="B85" i="5" s="1"/>
  <c r="C84" i="5"/>
  <c r="B84" i="5" s="1"/>
  <c r="C83" i="5"/>
  <c r="B83" i="5" s="1"/>
  <c r="C82" i="5"/>
  <c r="B82" i="5" s="1"/>
  <c r="C81" i="5"/>
  <c r="B81" i="5" s="1"/>
  <c r="C80" i="5"/>
  <c r="B80" i="5" s="1"/>
  <c r="C79" i="5"/>
  <c r="B79" i="5" s="1"/>
  <c r="C78" i="5"/>
  <c r="B78" i="5" s="1"/>
  <c r="C77" i="5"/>
  <c r="B77" i="5" s="1"/>
  <c r="C76" i="5"/>
  <c r="B76" i="5" s="1"/>
  <c r="C75" i="5"/>
  <c r="B75" i="5" s="1"/>
  <c r="C74" i="5"/>
  <c r="B74" i="5" s="1"/>
  <c r="C73" i="5"/>
  <c r="B73" i="5" s="1"/>
  <c r="C72" i="5"/>
  <c r="B72" i="5" s="1"/>
  <c r="C71" i="5"/>
  <c r="B71" i="5" s="1"/>
  <c r="H5" i="2" l="1"/>
  <c r="C35" i="2" l="1"/>
  <c r="K50" i="9" l="1"/>
  <c r="K49" i="9"/>
  <c r="K40" i="9"/>
  <c r="K26" i="9"/>
  <c r="R37" i="2" l="1"/>
  <c r="M37" i="2"/>
  <c r="H37" i="2"/>
  <c r="K42" i="9"/>
  <c r="K43" i="9"/>
  <c r="K44" i="9"/>
  <c r="K45" i="9"/>
  <c r="K46" i="9"/>
  <c r="K47" i="9"/>
  <c r="K28" i="9"/>
  <c r="K29" i="9"/>
  <c r="K30" i="9"/>
  <c r="K31" i="9"/>
  <c r="F127" i="5" l="1"/>
  <c r="E127" i="5"/>
  <c r="E126" i="5" s="1"/>
  <c r="E125" i="5" s="1"/>
  <c r="D127" i="5"/>
  <c r="C127" i="5"/>
  <c r="C126" i="5" s="1"/>
  <c r="C125" i="5" s="1"/>
  <c r="B127" i="5"/>
  <c r="B126" i="5" s="1"/>
  <c r="B125" i="5" s="1"/>
  <c r="F126" i="5"/>
  <c r="F125" i="5" s="1"/>
  <c r="D126" i="5"/>
  <c r="D125" i="5" s="1"/>
  <c r="J3" i="2" l="1"/>
  <c r="I3" i="2"/>
  <c r="M46" i="9"/>
  <c r="S10" i="2" l="1"/>
  <c r="S6" i="2"/>
  <c r="H3" i="2" l="1"/>
  <c r="Q36" i="2" s="1"/>
  <c r="L36" i="2" l="1"/>
  <c r="G36" i="2"/>
  <c r="CG24" i="1"/>
  <c r="CL38" i="1" l="1"/>
  <c r="CL27" i="1" s="1"/>
  <c r="CD38" i="1"/>
  <c r="CD27" i="1" s="1"/>
  <c r="BV38" i="1"/>
  <c r="BV27" i="1" l="1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" i="30"/>
  <c r="Q24" i="2" l="1"/>
  <c r="L24" i="2"/>
  <c r="G24" i="2" l="1"/>
  <c r="U10" i="2" l="1"/>
  <c r="U6" i="2"/>
  <c r="G6" i="2"/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2" i="10"/>
  <c r="F11" i="35" l="1"/>
  <c r="D5" i="35"/>
  <c r="E41" i="22"/>
  <c r="G5" i="35" l="1"/>
  <c r="G11" i="35"/>
  <c r="E5" i="35"/>
  <c r="K11" i="35" l="1"/>
  <c r="O5" i="35"/>
  <c r="J11" i="35"/>
  <c r="J5" i="35"/>
  <c r="I11" i="35"/>
  <c r="I5" i="35"/>
  <c r="D26" i="22" l="1"/>
  <c r="E25" i="22"/>
  <c r="F24" i="22"/>
  <c r="D24" i="22"/>
  <c r="D23" i="22"/>
  <c r="G41" i="22"/>
  <c r="G39" i="22" l="1"/>
  <c r="F23" i="22"/>
  <c r="E24" i="22"/>
  <c r="CD41" i="1" l="1"/>
  <c r="BV41" i="1"/>
  <c r="R10" i="2" l="1"/>
  <c r="R6" i="2"/>
  <c r="H14" i="22" l="1"/>
  <c r="G14" i="22"/>
  <c r="B7" i="22" l="1"/>
  <c r="Q10" i="2" l="1"/>
  <c r="Q6" i="2"/>
  <c r="P10" i="2"/>
  <c r="P6" i="2"/>
  <c r="O6" i="2"/>
  <c r="O10" i="2"/>
  <c r="N10" i="2"/>
  <c r="N6" i="2"/>
  <c r="M10" i="2"/>
  <c r="M6" i="2"/>
  <c r="BU16" i="1"/>
  <c r="CO24" i="1" l="1"/>
  <c r="G61" i="27" l="1"/>
  <c r="E61" i="27"/>
  <c r="G60" i="27"/>
  <c r="E60" i="27"/>
  <c r="G59" i="27"/>
  <c r="E59" i="27"/>
  <c r="G58" i="27"/>
  <c r="E58" i="27"/>
  <c r="G57" i="27"/>
  <c r="E57" i="27"/>
  <c r="G56" i="27"/>
  <c r="E56" i="27"/>
  <c r="G55" i="27"/>
  <c r="E55" i="27"/>
  <c r="G54" i="27"/>
  <c r="E54" i="27"/>
  <c r="G53" i="27"/>
  <c r="E53" i="27"/>
  <c r="G52" i="27"/>
  <c r="E52" i="27"/>
  <c r="G51" i="27"/>
  <c r="E51" i="27"/>
  <c r="G50" i="27"/>
  <c r="E50" i="27"/>
  <c r="G49" i="27"/>
  <c r="E49" i="27"/>
  <c r="G48" i="27"/>
  <c r="E48" i="27"/>
  <c r="G47" i="27"/>
  <c r="E47" i="27"/>
  <c r="G46" i="27"/>
  <c r="E46" i="27"/>
  <c r="G45" i="27"/>
  <c r="E45" i="27"/>
  <c r="G44" i="27"/>
  <c r="E44" i="27"/>
  <c r="G43" i="27"/>
  <c r="E43" i="27"/>
  <c r="G42" i="27"/>
  <c r="E42" i="27"/>
  <c r="G41" i="27"/>
  <c r="E41" i="27"/>
  <c r="G40" i="27"/>
  <c r="E40" i="27"/>
  <c r="G39" i="27"/>
  <c r="E39" i="27"/>
  <c r="G38" i="27"/>
  <c r="E38" i="27"/>
  <c r="E37" i="27"/>
  <c r="E36" i="27"/>
  <c r="E35" i="27"/>
  <c r="E34" i="27"/>
  <c r="G33" i="27"/>
  <c r="E33" i="27"/>
  <c r="G32" i="27"/>
  <c r="E32" i="27"/>
  <c r="G31" i="27"/>
  <c r="E31" i="27"/>
  <c r="G30" i="27"/>
  <c r="E30" i="27"/>
  <c r="G29" i="27"/>
  <c r="E29" i="27"/>
  <c r="G28" i="27"/>
  <c r="E28" i="27"/>
  <c r="G27" i="27"/>
  <c r="E27" i="27"/>
  <c r="G26" i="27"/>
  <c r="E26" i="27"/>
  <c r="E25" i="27"/>
  <c r="E24" i="27"/>
  <c r="E23" i="27"/>
  <c r="E22" i="27"/>
  <c r="G21" i="27"/>
  <c r="E21" i="27"/>
  <c r="G20" i="27"/>
  <c r="E20" i="27"/>
  <c r="E19" i="27"/>
  <c r="E18" i="27"/>
  <c r="E17" i="27"/>
  <c r="E16" i="27"/>
  <c r="E15" i="27"/>
  <c r="E14" i="27"/>
  <c r="E13" i="27"/>
  <c r="E12" i="27"/>
  <c r="E11" i="27"/>
  <c r="E10" i="27"/>
  <c r="G9" i="27"/>
  <c r="E9" i="27"/>
  <c r="G8" i="27"/>
  <c r="E8" i="27"/>
  <c r="E7" i="27"/>
  <c r="E6" i="27"/>
  <c r="E5" i="27"/>
  <c r="E4" i="27"/>
  <c r="E3" i="27"/>
  <c r="E2" i="27"/>
  <c r="M45" i="9"/>
  <c r="M44" i="9"/>
  <c r="M43" i="9"/>
  <c r="M42" i="9"/>
  <c r="K41" i="9"/>
  <c r="M31" i="9"/>
  <c r="M30" i="9"/>
  <c r="M29" i="9"/>
  <c r="M28" i="9"/>
  <c r="K27" i="9"/>
  <c r="K24" i="9"/>
  <c r="K23" i="9"/>
  <c r="K21" i="9"/>
  <c r="K20" i="9"/>
  <c r="K19" i="9"/>
  <c r="K18" i="9"/>
  <c r="K17" i="9"/>
  <c r="K16" i="9"/>
  <c r="K15" i="9"/>
  <c r="K14" i="9"/>
  <c r="K13" i="9"/>
  <c r="K10" i="9"/>
  <c r="K9" i="9"/>
  <c r="K8" i="9"/>
  <c r="K7" i="9"/>
  <c r="K6" i="9"/>
  <c r="K4" i="9"/>
  <c r="K3" i="9"/>
  <c r="K2" i="9"/>
  <c r="G31" i="28"/>
  <c r="E31" i="28"/>
  <c r="G30" i="28"/>
  <c r="E30" i="28"/>
  <c r="G29" i="28"/>
  <c r="E29" i="28"/>
  <c r="G28" i="28"/>
  <c r="E28" i="28"/>
  <c r="G27" i="28"/>
  <c r="E27" i="28"/>
  <c r="G26" i="28"/>
  <c r="E26" i="28"/>
  <c r="G25" i="28"/>
  <c r="E25" i="28"/>
  <c r="G24" i="28"/>
  <c r="E24" i="28"/>
  <c r="G23" i="28"/>
  <c r="E23" i="28"/>
  <c r="G22" i="28"/>
  <c r="E22" i="28"/>
  <c r="G21" i="28"/>
  <c r="E21" i="28"/>
  <c r="G20" i="28"/>
  <c r="E20" i="28"/>
  <c r="G19" i="28"/>
  <c r="E19" i="28"/>
  <c r="G18" i="28"/>
  <c r="E18" i="28"/>
  <c r="G17" i="28"/>
  <c r="E17" i="28"/>
  <c r="G16" i="28"/>
  <c r="E16" i="28"/>
  <c r="G15" i="28"/>
  <c r="E15" i="28"/>
  <c r="G14" i="28"/>
  <c r="E14" i="28"/>
  <c r="E13" i="28"/>
  <c r="E12" i="28"/>
  <c r="G11" i="28"/>
  <c r="E11" i="28"/>
  <c r="G10" i="28"/>
  <c r="E10" i="28"/>
  <c r="E9" i="28"/>
  <c r="E8" i="28"/>
  <c r="E7" i="28"/>
  <c r="E6" i="28"/>
  <c r="G5" i="28"/>
  <c r="E5" i="28"/>
  <c r="G4" i="28"/>
  <c r="E4" i="28"/>
  <c r="E3" i="28"/>
  <c r="E2" i="28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E49" i="6"/>
  <c r="G48" i="6"/>
  <c r="E48" i="6"/>
  <c r="G47" i="6"/>
  <c r="E47" i="6"/>
  <c r="G46" i="6"/>
  <c r="E46" i="6"/>
  <c r="G45" i="6"/>
  <c r="E45" i="6"/>
  <c r="G44" i="6"/>
  <c r="E44" i="6"/>
  <c r="G43" i="6"/>
  <c r="E43" i="6"/>
  <c r="G42" i="6"/>
  <c r="E42" i="6"/>
  <c r="G41" i="6"/>
  <c r="E41" i="6"/>
  <c r="G40" i="6"/>
  <c r="E40" i="6"/>
  <c r="G39" i="6"/>
  <c r="E39" i="6"/>
  <c r="G38" i="6"/>
  <c r="E38" i="6"/>
  <c r="G37" i="6"/>
  <c r="E37" i="6"/>
  <c r="G36" i="6"/>
  <c r="E36" i="6"/>
  <c r="G35" i="6"/>
  <c r="E35" i="6"/>
  <c r="G34" i="6"/>
  <c r="E34" i="6"/>
  <c r="G33" i="6"/>
  <c r="E33" i="6"/>
  <c r="G32" i="6"/>
  <c r="E32" i="6"/>
  <c r="G31" i="6"/>
  <c r="E31" i="6"/>
  <c r="G30" i="6"/>
  <c r="E30" i="6"/>
  <c r="G29" i="6"/>
  <c r="E29" i="6"/>
  <c r="G28" i="6"/>
  <c r="E28" i="6"/>
  <c r="G27" i="6"/>
  <c r="E27" i="6"/>
  <c r="G26" i="6"/>
  <c r="E26" i="6"/>
  <c r="G25" i="6"/>
  <c r="E25" i="6"/>
  <c r="G24" i="6"/>
  <c r="E24" i="6"/>
  <c r="G23" i="6"/>
  <c r="E23" i="6"/>
  <c r="G22" i="6"/>
  <c r="E22" i="6"/>
  <c r="G21" i="6"/>
  <c r="E21" i="6"/>
  <c r="G20" i="6"/>
  <c r="E20" i="6"/>
  <c r="G19" i="6"/>
  <c r="E19" i="6"/>
  <c r="G18" i="6"/>
  <c r="E18" i="6"/>
  <c r="G17" i="6"/>
  <c r="E17" i="6"/>
  <c r="G16" i="6"/>
  <c r="E16" i="6"/>
  <c r="G15" i="6"/>
  <c r="E15" i="6"/>
  <c r="G14" i="6"/>
  <c r="E14" i="6"/>
  <c r="G13" i="6"/>
  <c r="E13" i="6"/>
  <c r="G12" i="6"/>
  <c r="E12" i="6"/>
  <c r="G11" i="6"/>
  <c r="E11" i="6"/>
  <c r="G10" i="6"/>
  <c r="E10" i="6"/>
  <c r="G9" i="6"/>
  <c r="E9" i="6"/>
  <c r="G8" i="6"/>
  <c r="E8" i="6"/>
  <c r="G7" i="6"/>
  <c r="E7" i="6"/>
  <c r="G6" i="6"/>
  <c r="E6" i="6"/>
  <c r="G5" i="6"/>
  <c r="E5" i="6"/>
  <c r="G4" i="6"/>
  <c r="E4" i="6"/>
  <c r="G3" i="6"/>
  <c r="E3" i="6"/>
  <c r="G2" i="6"/>
  <c r="E2" i="6"/>
  <c r="F109" i="10"/>
  <c r="I109" i="10" s="1"/>
  <c r="E109" i="10"/>
  <c r="F108" i="10"/>
  <c r="I108" i="10" s="1"/>
  <c r="E108" i="10"/>
  <c r="F107" i="10"/>
  <c r="I107" i="10" s="1"/>
  <c r="E107" i="10"/>
  <c r="F106" i="10"/>
  <c r="I106" i="10" s="1"/>
  <c r="E106" i="10"/>
  <c r="F105" i="10"/>
  <c r="I105" i="10" s="1"/>
  <c r="E105" i="10"/>
  <c r="F104" i="10"/>
  <c r="I104" i="10" s="1"/>
  <c r="E104" i="10"/>
  <c r="F103" i="10"/>
  <c r="I103" i="10" s="1"/>
  <c r="E103" i="10"/>
  <c r="F102" i="10"/>
  <c r="I102" i="10" s="1"/>
  <c r="E102" i="10"/>
  <c r="F101" i="10"/>
  <c r="I101" i="10" s="1"/>
  <c r="E101" i="10"/>
  <c r="F100" i="10"/>
  <c r="I100" i="10" s="1"/>
  <c r="E100" i="10"/>
  <c r="F99" i="10"/>
  <c r="I99" i="10" s="1"/>
  <c r="E99" i="10"/>
  <c r="F98" i="10"/>
  <c r="I98" i="10" s="1"/>
  <c r="E98" i="10"/>
  <c r="F97" i="10"/>
  <c r="I97" i="10" s="1"/>
  <c r="E97" i="10"/>
  <c r="F96" i="10"/>
  <c r="I96" i="10" s="1"/>
  <c r="E96" i="10"/>
  <c r="F95" i="10"/>
  <c r="I95" i="10" s="1"/>
  <c r="E95" i="10"/>
  <c r="F94" i="10"/>
  <c r="I94" i="10" s="1"/>
  <c r="E94" i="10"/>
  <c r="F93" i="10"/>
  <c r="I93" i="10" s="1"/>
  <c r="E93" i="10"/>
  <c r="F92" i="10"/>
  <c r="I92" i="10" s="1"/>
  <c r="E92" i="10"/>
  <c r="F91" i="10"/>
  <c r="I91" i="10" s="1"/>
  <c r="E91" i="10"/>
  <c r="F90" i="10"/>
  <c r="I90" i="10" s="1"/>
  <c r="E90" i="10"/>
  <c r="F89" i="10"/>
  <c r="I89" i="10" s="1"/>
  <c r="E89" i="10"/>
  <c r="F88" i="10"/>
  <c r="I88" i="10" s="1"/>
  <c r="E88" i="10"/>
  <c r="F87" i="10"/>
  <c r="I87" i="10" s="1"/>
  <c r="E87" i="10"/>
  <c r="F86" i="10"/>
  <c r="I86" i="10" s="1"/>
  <c r="E86" i="10"/>
  <c r="F85" i="10"/>
  <c r="I85" i="10" s="1"/>
  <c r="E85" i="10"/>
  <c r="F84" i="10"/>
  <c r="I84" i="10" s="1"/>
  <c r="E84" i="10"/>
  <c r="F83" i="10"/>
  <c r="I83" i="10" s="1"/>
  <c r="E83" i="10"/>
  <c r="F82" i="10"/>
  <c r="I82" i="10" s="1"/>
  <c r="E82" i="10"/>
  <c r="F81" i="10"/>
  <c r="I81" i="10" s="1"/>
  <c r="E81" i="10"/>
  <c r="F80" i="10"/>
  <c r="I80" i="10" s="1"/>
  <c r="E80" i="10"/>
  <c r="F79" i="10"/>
  <c r="I79" i="10" s="1"/>
  <c r="E79" i="10"/>
  <c r="F78" i="10"/>
  <c r="I78" i="10" s="1"/>
  <c r="E78" i="10"/>
  <c r="F77" i="10"/>
  <c r="I77" i="10" s="1"/>
  <c r="E77" i="10"/>
  <c r="F76" i="10"/>
  <c r="I76" i="10" s="1"/>
  <c r="E76" i="10"/>
  <c r="F75" i="10"/>
  <c r="I75" i="10" s="1"/>
  <c r="E75" i="10"/>
  <c r="F74" i="10"/>
  <c r="I74" i="10" s="1"/>
  <c r="E74" i="10"/>
  <c r="F73" i="10"/>
  <c r="I73" i="10" s="1"/>
  <c r="E73" i="10"/>
  <c r="F72" i="10"/>
  <c r="I72" i="10" s="1"/>
  <c r="E72" i="10"/>
  <c r="F71" i="10"/>
  <c r="I71" i="10" s="1"/>
  <c r="E71" i="10"/>
  <c r="F70" i="10"/>
  <c r="I70" i="10" s="1"/>
  <c r="E70" i="10"/>
  <c r="F69" i="10"/>
  <c r="I69" i="10" s="1"/>
  <c r="E69" i="10"/>
  <c r="F68" i="10"/>
  <c r="I68" i="10" s="1"/>
  <c r="E68" i="10"/>
  <c r="F67" i="10"/>
  <c r="I67" i="10" s="1"/>
  <c r="E67" i="10"/>
  <c r="F66" i="10"/>
  <c r="I66" i="10" s="1"/>
  <c r="E66" i="10"/>
  <c r="F65" i="10"/>
  <c r="I65" i="10" s="1"/>
  <c r="E65" i="10"/>
  <c r="F64" i="10"/>
  <c r="I64" i="10" s="1"/>
  <c r="E64" i="10"/>
  <c r="F63" i="10"/>
  <c r="I63" i="10" s="1"/>
  <c r="E63" i="10"/>
  <c r="F62" i="10"/>
  <c r="I62" i="10" s="1"/>
  <c r="E62" i="10"/>
  <c r="F61" i="10"/>
  <c r="I61" i="10" s="1"/>
  <c r="E61" i="10"/>
  <c r="F60" i="10"/>
  <c r="I60" i="10" s="1"/>
  <c r="E60" i="10"/>
  <c r="F59" i="10"/>
  <c r="I59" i="10" s="1"/>
  <c r="E59" i="10"/>
  <c r="F58" i="10"/>
  <c r="I58" i="10" s="1"/>
  <c r="E58" i="10"/>
  <c r="F57" i="10"/>
  <c r="I57" i="10" s="1"/>
  <c r="E57" i="10"/>
  <c r="F56" i="10"/>
  <c r="I56" i="10" s="1"/>
  <c r="E56" i="10"/>
  <c r="F55" i="10"/>
  <c r="I55" i="10" s="1"/>
  <c r="E55" i="10"/>
  <c r="F54" i="10"/>
  <c r="I54" i="10" s="1"/>
  <c r="E54" i="10"/>
  <c r="F53" i="10"/>
  <c r="I53" i="10" s="1"/>
  <c r="E53" i="10"/>
  <c r="F52" i="10"/>
  <c r="I52" i="10" s="1"/>
  <c r="E52" i="10"/>
  <c r="F51" i="10"/>
  <c r="I51" i="10" s="1"/>
  <c r="E51" i="10"/>
  <c r="F50" i="10"/>
  <c r="I50" i="10" s="1"/>
  <c r="E50" i="10"/>
  <c r="F49" i="10"/>
  <c r="I49" i="10" s="1"/>
  <c r="E49" i="10"/>
  <c r="F48" i="10"/>
  <c r="I48" i="10" s="1"/>
  <c r="E48" i="10"/>
  <c r="F47" i="10"/>
  <c r="I47" i="10" s="1"/>
  <c r="E47" i="10"/>
  <c r="F46" i="10"/>
  <c r="I46" i="10" s="1"/>
  <c r="E46" i="10"/>
  <c r="F45" i="10"/>
  <c r="I45" i="10" s="1"/>
  <c r="E45" i="10"/>
  <c r="F44" i="10"/>
  <c r="I44" i="10" s="1"/>
  <c r="E44" i="10"/>
  <c r="F43" i="10"/>
  <c r="I43" i="10" s="1"/>
  <c r="E43" i="10"/>
  <c r="F42" i="10"/>
  <c r="I42" i="10" s="1"/>
  <c r="E42" i="10"/>
  <c r="F41" i="10"/>
  <c r="I41" i="10" s="1"/>
  <c r="E41" i="10"/>
  <c r="F40" i="10"/>
  <c r="I40" i="10" s="1"/>
  <c r="E40" i="10"/>
  <c r="F39" i="10"/>
  <c r="I39" i="10" s="1"/>
  <c r="E39" i="10"/>
  <c r="F38" i="10"/>
  <c r="I38" i="10" s="1"/>
  <c r="E38" i="10"/>
  <c r="F37" i="10"/>
  <c r="I37" i="10" s="1"/>
  <c r="E37" i="10"/>
  <c r="F36" i="10"/>
  <c r="I36" i="10" s="1"/>
  <c r="E36" i="10"/>
  <c r="F35" i="10"/>
  <c r="I35" i="10" s="1"/>
  <c r="E35" i="10"/>
  <c r="F34" i="10"/>
  <c r="I34" i="10" s="1"/>
  <c r="E34" i="10"/>
  <c r="F33" i="10"/>
  <c r="I33" i="10" s="1"/>
  <c r="E33" i="10"/>
  <c r="F32" i="10"/>
  <c r="I32" i="10" s="1"/>
  <c r="E32" i="10"/>
  <c r="F31" i="10"/>
  <c r="I31" i="10" s="1"/>
  <c r="E31" i="10"/>
  <c r="F30" i="10"/>
  <c r="I30" i="10" s="1"/>
  <c r="E30" i="10"/>
  <c r="F29" i="10"/>
  <c r="I29" i="10" s="1"/>
  <c r="E29" i="10"/>
  <c r="F28" i="10"/>
  <c r="I28" i="10" s="1"/>
  <c r="E28" i="10"/>
  <c r="F27" i="10"/>
  <c r="I27" i="10" s="1"/>
  <c r="E27" i="10"/>
  <c r="F26" i="10"/>
  <c r="I26" i="10" s="1"/>
  <c r="E26" i="10"/>
  <c r="F25" i="10"/>
  <c r="I25" i="10" s="1"/>
  <c r="E25" i="10"/>
  <c r="F24" i="10"/>
  <c r="I24" i="10" s="1"/>
  <c r="E24" i="10"/>
  <c r="F23" i="10"/>
  <c r="I23" i="10" s="1"/>
  <c r="E23" i="10"/>
  <c r="F22" i="10"/>
  <c r="I22" i="10" s="1"/>
  <c r="E22" i="10"/>
  <c r="F21" i="10"/>
  <c r="I21" i="10" s="1"/>
  <c r="E21" i="10"/>
  <c r="F20" i="10"/>
  <c r="I20" i="10" s="1"/>
  <c r="E20" i="10"/>
  <c r="F19" i="10"/>
  <c r="I19" i="10" s="1"/>
  <c r="E19" i="10"/>
  <c r="F18" i="10"/>
  <c r="I18" i="10" s="1"/>
  <c r="E18" i="10"/>
  <c r="F17" i="10"/>
  <c r="I17" i="10" s="1"/>
  <c r="E17" i="10"/>
  <c r="F16" i="10"/>
  <c r="I16" i="10" s="1"/>
  <c r="E16" i="10"/>
  <c r="F15" i="10"/>
  <c r="I15" i="10" s="1"/>
  <c r="E15" i="10"/>
  <c r="F14" i="10"/>
  <c r="I14" i="10" s="1"/>
  <c r="E14" i="10"/>
  <c r="F13" i="10"/>
  <c r="I13" i="10" s="1"/>
  <c r="E13" i="10"/>
  <c r="F12" i="10"/>
  <c r="I12" i="10" s="1"/>
  <c r="E12" i="10"/>
  <c r="F11" i="10"/>
  <c r="I11" i="10" s="1"/>
  <c r="E11" i="10"/>
  <c r="F10" i="10"/>
  <c r="I10" i="10" s="1"/>
  <c r="E10" i="10"/>
  <c r="F9" i="10"/>
  <c r="I9" i="10" s="1"/>
  <c r="E9" i="10"/>
  <c r="F8" i="10"/>
  <c r="I8" i="10" s="1"/>
  <c r="E8" i="10"/>
  <c r="F7" i="10"/>
  <c r="I7" i="10" s="1"/>
  <c r="E7" i="10"/>
  <c r="F6" i="10"/>
  <c r="I6" i="10" s="1"/>
  <c r="E6" i="10"/>
  <c r="F5" i="10"/>
  <c r="I5" i="10" s="1"/>
  <c r="E5" i="10"/>
  <c r="F4" i="10"/>
  <c r="I4" i="10" s="1"/>
  <c r="E4" i="10"/>
  <c r="F3" i="10"/>
  <c r="I3" i="10" s="1"/>
  <c r="E3" i="10"/>
  <c r="F2" i="10"/>
  <c r="I2" i="10" s="1"/>
  <c r="E2" i="10"/>
  <c r="K42" i="5"/>
  <c r="J42" i="5"/>
  <c r="I42" i="5"/>
  <c r="K41" i="5"/>
  <c r="J41" i="5"/>
  <c r="I41" i="5"/>
  <c r="K40" i="5"/>
  <c r="J40" i="5"/>
  <c r="I40" i="5"/>
  <c r="K39" i="5"/>
  <c r="J39" i="5"/>
  <c r="I39" i="5"/>
  <c r="K38" i="5"/>
  <c r="J38" i="5"/>
  <c r="I38" i="5"/>
  <c r="K37" i="5"/>
  <c r="J37" i="5"/>
  <c r="I37" i="5"/>
  <c r="K36" i="5"/>
  <c r="J36" i="5"/>
  <c r="I36" i="5"/>
  <c r="K35" i="5"/>
  <c r="J35" i="5"/>
  <c r="I35" i="5"/>
  <c r="K34" i="5"/>
  <c r="J34" i="5"/>
  <c r="I34" i="5"/>
  <c r="K33" i="5"/>
  <c r="J33" i="5"/>
  <c r="I33" i="5"/>
  <c r="K32" i="5"/>
  <c r="J32" i="5"/>
  <c r="I32" i="5"/>
  <c r="K31" i="5"/>
  <c r="J31" i="5"/>
  <c r="I31" i="5"/>
  <c r="K30" i="5"/>
  <c r="J30" i="5"/>
  <c r="I30" i="5"/>
  <c r="K29" i="5"/>
  <c r="J29" i="5"/>
  <c r="I29" i="5"/>
  <c r="K28" i="5"/>
  <c r="J28" i="5"/>
  <c r="I28" i="5"/>
  <c r="K27" i="5"/>
  <c r="J27" i="5"/>
  <c r="I27" i="5"/>
  <c r="K26" i="5"/>
  <c r="J26" i="5"/>
  <c r="I26" i="5"/>
  <c r="K25" i="5"/>
  <c r="J25" i="5"/>
  <c r="I25" i="5"/>
  <c r="K24" i="5"/>
  <c r="J24" i="5"/>
  <c r="I24" i="5"/>
  <c r="K23" i="5"/>
  <c r="J23" i="5"/>
  <c r="I23" i="5"/>
  <c r="K22" i="5"/>
  <c r="J22" i="5"/>
  <c r="I22" i="5"/>
  <c r="K21" i="5"/>
  <c r="J21" i="5"/>
  <c r="I21" i="5"/>
  <c r="K20" i="5"/>
  <c r="J20" i="5"/>
  <c r="I20" i="5"/>
  <c r="K19" i="5"/>
  <c r="J19" i="5"/>
  <c r="I19" i="5"/>
  <c r="K18" i="5"/>
  <c r="J18" i="5"/>
  <c r="I18" i="5"/>
  <c r="K17" i="5"/>
  <c r="J17" i="5"/>
  <c r="I17" i="5"/>
  <c r="K16" i="5"/>
  <c r="J16" i="5"/>
  <c r="I16" i="5"/>
  <c r="K15" i="5"/>
  <c r="J15" i="5"/>
  <c r="I15" i="5"/>
  <c r="K14" i="5"/>
  <c r="J14" i="5"/>
  <c r="I14" i="5"/>
  <c r="K13" i="5"/>
  <c r="J13" i="5"/>
  <c r="I13" i="5"/>
  <c r="K12" i="5"/>
  <c r="J12" i="5"/>
  <c r="I12" i="5"/>
  <c r="K11" i="5"/>
  <c r="J11" i="5"/>
  <c r="I11" i="5"/>
  <c r="K10" i="5"/>
  <c r="J10" i="5"/>
  <c r="I10" i="5"/>
  <c r="K9" i="5"/>
  <c r="J9" i="5"/>
  <c r="I9" i="5"/>
  <c r="K8" i="5"/>
  <c r="J8" i="5"/>
  <c r="I8" i="5"/>
  <c r="K7" i="5"/>
  <c r="J7" i="5"/>
  <c r="I7" i="5"/>
  <c r="K6" i="5"/>
  <c r="J6" i="5"/>
  <c r="I6" i="5"/>
  <c r="K5" i="5"/>
  <c r="J5" i="5"/>
  <c r="I5" i="5"/>
  <c r="K4" i="5"/>
  <c r="J4" i="5"/>
  <c r="I4" i="5"/>
  <c r="K3" i="5"/>
  <c r="J3" i="5"/>
  <c r="I3" i="5"/>
  <c r="K2" i="5"/>
  <c r="J2" i="5"/>
  <c r="I2" i="5"/>
  <c r="E43" i="2"/>
  <c r="J43" i="2" s="1"/>
  <c r="O42" i="2"/>
  <c r="J42" i="2"/>
  <c r="E35" i="2"/>
  <c r="C34" i="2"/>
  <c r="O33" i="2"/>
  <c r="J33" i="2"/>
  <c r="E33" i="2"/>
  <c r="C22" i="22" s="1"/>
  <c r="C33" i="2"/>
  <c r="Q32" i="2"/>
  <c r="O32" i="2"/>
  <c r="L32" i="2"/>
  <c r="J32" i="2"/>
  <c r="G32" i="2"/>
  <c r="E32" i="2"/>
  <c r="E22" i="22" s="1"/>
  <c r="G31" i="2"/>
  <c r="L31" i="2" s="1"/>
  <c r="E31" i="2"/>
  <c r="C31" i="2"/>
  <c r="Q27" i="2"/>
  <c r="T11" i="2" s="1" a="1"/>
  <c r="T11" i="2" s="1"/>
  <c r="L27" i="2"/>
  <c r="T7" i="2" s="1" a="1"/>
  <c r="T7" i="2" s="1"/>
  <c r="G27" i="2"/>
  <c r="T3" i="2" s="1" a="1"/>
  <c r="T3" i="2" s="1"/>
  <c r="E26" i="2"/>
  <c r="C26" i="2"/>
  <c r="D18" i="2" s="1"/>
  <c r="C24" i="2"/>
  <c r="I18" i="2"/>
  <c r="F16" i="2"/>
  <c r="E16" i="2"/>
  <c r="D16" i="2"/>
  <c r="F15" i="2"/>
  <c r="E15" i="2" s="1"/>
  <c r="F14" i="2"/>
  <c r="F13" i="2"/>
  <c r="F11" i="2"/>
  <c r="D8" i="2"/>
  <c r="D3" i="2"/>
  <c r="AO1" i="2"/>
  <c r="BA1" i="2" s="1"/>
  <c r="B20" i="26"/>
  <c r="B21" i="26" s="1"/>
  <c r="E19" i="26"/>
  <c r="B19" i="26"/>
  <c r="B18" i="26"/>
  <c r="B17" i="26"/>
  <c r="E16" i="26"/>
  <c r="B16" i="26"/>
  <c r="F15" i="26"/>
  <c r="B8" i="26"/>
  <c r="C41" i="22"/>
  <c r="E40" i="22"/>
  <c r="C40" i="22"/>
  <c r="C39" i="22"/>
  <c r="C38" i="22"/>
  <c r="C36" i="22"/>
  <c r="F36" i="22" s="1"/>
  <c r="C35" i="22"/>
  <c r="F35" i="22" s="1"/>
  <c r="C34" i="22"/>
  <c r="C33" i="22"/>
  <c r="E21" i="22"/>
  <c r="G17" i="22"/>
  <c r="C16" i="22"/>
  <c r="G16" i="22"/>
  <c r="G15" i="22"/>
  <c r="G13" i="22"/>
  <c r="C13" i="22"/>
  <c r="H10" i="22"/>
  <c r="G9" i="22"/>
  <c r="C2" i="22"/>
  <c r="D25" i="22" s="1"/>
  <c r="CL37" i="1"/>
  <c r="CL31" i="1" s="1"/>
  <c r="CD37" i="1"/>
  <c r="CD31" i="1" s="1"/>
  <c r="BV37" i="1"/>
  <c r="BV31" i="1" s="1"/>
  <c r="CP33" i="1"/>
  <c r="CH33" i="1"/>
  <c r="BZ33" i="1"/>
  <c r="CP32" i="1"/>
  <c r="CH32" i="1"/>
  <c r="BZ32" i="1"/>
  <c r="CO25" i="1"/>
  <c r="CG25" i="1"/>
  <c r="BY25" i="1"/>
  <c r="Q28" i="2"/>
  <c r="BY24" i="1"/>
  <c r="CO23" i="1"/>
  <c r="CG23" i="1"/>
  <c r="BY23" i="1"/>
  <c r="CQ16" i="1"/>
  <c r="C30" i="2" s="1"/>
  <c r="CL16" i="1"/>
  <c r="C29" i="2" s="1"/>
  <c r="CA16" i="1"/>
  <c r="C28" i="2" s="1"/>
  <c r="C27" i="2"/>
  <c r="I5" i="2" s="1"/>
  <c r="BN16" i="1"/>
  <c r="G18" i="22"/>
  <c r="E17" i="22"/>
  <c r="C17" i="22"/>
  <c r="CL9" i="1"/>
  <c r="CP6" i="1"/>
  <c r="BE11" i="1" s="1"/>
  <c r="CL6" i="1"/>
  <c r="BM6" i="1"/>
  <c r="BL6" i="1" s="1"/>
  <c r="D13" i="22"/>
  <c r="G28" i="2" l="1"/>
  <c r="AR11" i="1"/>
  <c r="C18" i="22" s="1"/>
  <c r="E41" i="2"/>
  <c r="O41" i="2"/>
  <c r="J41" i="2"/>
  <c r="D5" i="2"/>
  <c r="Q12" i="2"/>
  <c r="T12" i="2" a="1"/>
  <c r="T12" i="2" s="1"/>
  <c r="T13" i="2" s="1"/>
  <c r="Q8" i="2"/>
  <c r="T8" i="2"/>
  <c r="T9" i="2" s="1"/>
  <c r="S3" i="2" a="1"/>
  <c r="S3" i="2" s="1"/>
  <c r="N3" i="2" a="1"/>
  <c r="N3" i="2" s="1"/>
  <c r="T4" i="2"/>
  <c r="S11" i="2" a="1"/>
  <c r="S11" i="2" s="1"/>
  <c r="S12" i="2" s="1"/>
  <c r="U4" i="2"/>
  <c r="N4" i="2"/>
  <c r="Q4" i="2"/>
  <c r="O7" i="2" a="1"/>
  <c r="O7" i="2" s="1"/>
  <c r="S7" i="2" a="1"/>
  <c r="S7" i="2" s="1"/>
  <c r="S8" i="2" s="1"/>
  <c r="Q7" i="2" a="1"/>
  <c r="Q7" i="2" s="1"/>
  <c r="O11" i="2" a="1"/>
  <c r="O11" i="2" s="1"/>
  <c r="O12" i="2" s="1"/>
  <c r="Q11" i="2" a="1"/>
  <c r="Q11" i="2" s="1"/>
  <c r="O3" i="2" a="1"/>
  <c r="O3" i="2" s="1"/>
  <c r="Q3" i="2" a="1"/>
  <c r="Q3" i="2" s="1"/>
  <c r="S4" i="2"/>
  <c r="U3" i="2" a="1"/>
  <c r="U3" i="2" s="1"/>
  <c r="U7" i="2" a="1"/>
  <c r="U7" i="2" s="1"/>
  <c r="U8" i="2" s="1"/>
  <c r="U11" i="2" a="1"/>
  <c r="U11" i="2" s="1"/>
  <c r="U12" i="2" s="1"/>
  <c r="P12" i="2"/>
  <c r="P8" i="2"/>
  <c r="P4" i="2"/>
  <c r="E18" i="22"/>
  <c r="O4" i="2"/>
  <c r="CL10" i="1"/>
  <c r="C32" i="2" s="1"/>
  <c r="J18" i="2" s="1" a="1"/>
  <c r="J18" i="2" s="1"/>
  <c r="E21" i="2" s="1" a="1"/>
  <c r="E21" i="2" s="1"/>
  <c r="O31" i="2"/>
  <c r="O34" i="2" s="1"/>
  <c r="E34" i="2"/>
  <c r="G33" i="2" s="1"/>
  <c r="R4" i="2"/>
  <c r="H5" i="35"/>
  <c r="K5" i="35" s="1"/>
  <c r="R8" i="2"/>
  <c r="R12" i="2"/>
  <c r="R3" i="2" a="1"/>
  <c r="R3" i="2" s="1"/>
  <c r="R7" i="2" a="1"/>
  <c r="R7" i="2" s="1"/>
  <c r="H11" i="35"/>
  <c r="C15" i="22"/>
  <c r="L28" i="2"/>
  <c r="D28" i="22"/>
  <c r="G29" i="2"/>
  <c r="H28" i="2" s="1"/>
  <c r="G37" i="2" s="1"/>
  <c r="D29" i="22"/>
  <c r="N11" i="2" a="1"/>
  <c r="N11" i="2" s="1"/>
  <c r="R11" i="2" a="1"/>
  <c r="R11" i="2" s="1"/>
  <c r="E39" i="22"/>
  <c r="N7" i="2" a="1"/>
  <c r="N7" i="2" s="1"/>
  <c r="O8" i="2"/>
  <c r="P7" i="2" a="1"/>
  <c r="P7" i="2" s="1"/>
  <c r="N12" i="2"/>
  <c r="N8" i="2"/>
  <c r="BV34" i="1"/>
  <c r="P11" i="2" a="1"/>
  <c r="P11" i="2" s="1"/>
  <c r="P3" i="2" a="1"/>
  <c r="P3" i="2" s="1"/>
  <c r="M3" i="2" a="1"/>
  <c r="M3" i="2" s="1"/>
  <c r="M4" i="2" s="1"/>
  <c r="M11" i="2" a="1"/>
  <c r="M11" i="2" s="1"/>
  <c r="M12" i="2" s="1"/>
  <c r="E38" i="22"/>
  <c r="M7" i="2" a="1"/>
  <c r="M7" i="2" s="1"/>
  <c r="M8" i="2" s="1"/>
  <c r="C21" i="22"/>
  <c r="O43" i="2"/>
  <c r="G15" i="2"/>
  <c r="G39" i="2"/>
  <c r="E39" i="2" s="1"/>
  <c r="J39" i="2" s="1"/>
  <c r="E13" i="2"/>
  <c r="G13" i="2" s="1"/>
  <c r="E14" i="2"/>
  <c r="G14" i="2" s="1"/>
  <c r="G16" i="2"/>
  <c r="P26" i="2" a="1"/>
  <c r="P26" i="2" s="1"/>
  <c r="K26" i="2" a="1"/>
  <c r="K26" i="2" s="1"/>
  <c r="F26" i="2" a="1"/>
  <c r="F26" i="2" s="1"/>
  <c r="V34" i="2"/>
  <c r="Q35" i="2" s="1"/>
  <c r="CD34" i="1"/>
  <c r="CL34" i="1"/>
  <c r="CL2" i="1"/>
  <c r="H11" i="22"/>
  <c r="L29" i="2"/>
  <c r="L30" i="2" s="1"/>
  <c r="Q29" i="2"/>
  <c r="Q30" i="2" s="1"/>
  <c r="C36" i="2"/>
  <c r="D19" i="2" s="1"/>
  <c r="E36" i="2"/>
  <c r="E18" i="2"/>
  <c r="F18" i="2" s="1"/>
  <c r="G18" i="2" s="1"/>
  <c r="L34" i="2"/>
  <c r="Q34" i="2"/>
  <c r="F5" i="2"/>
  <c r="H35" i="2"/>
  <c r="G35" i="2" s="1"/>
  <c r="M35" i="2"/>
  <c r="L35" i="2" s="1"/>
  <c r="G34" i="2"/>
  <c r="G40" i="2" s="1"/>
  <c r="F30" i="22"/>
  <c r="Q31" i="2"/>
  <c r="J31" i="2"/>
  <c r="J34" i="2" s="1"/>
  <c r="Q33" i="2"/>
  <c r="L33" i="2"/>
  <c r="U5" i="2" l="1"/>
  <c r="H27" i="2" s="1"/>
  <c r="T5" i="2"/>
  <c r="D17" i="2"/>
  <c r="F17" i="2"/>
  <c r="E17" i="2"/>
  <c r="J19" i="2" a="1"/>
  <c r="J19" i="2" s="1"/>
  <c r="F21" i="2" s="1" a="1"/>
  <c r="F21" i="2" s="1"/>
  <c r="J17" i="2" a="1"/>
  <c r="J17" i="2" s="1"/>
  <c r="D21" i="2" s="1" a="1"/>
  <c r="D21" i="2" s="1"/>
  <c r="I21" i="2" s="1"/>
  <c r="S9" i="2"/>
  <c r="S13" i="2"/>
  <c r="S5" i="2"/>
  <c r="R9" i="2"/>
  <c r="R13" i="2"/>
  <c r="R5" i="2"/>
  <c r="G38" i="2"/>
  <c r="E38" i="2" s="1"/>
  <c r="Q38" i="2"/>
  <c r="L38" i="2"/>
  <c r="R27" i="2"/>
  <c r="Q37" i="2" s="1"/>
  <c r="G22" i="22"/>
  <c r="U9" i="2"/>
  <c r="U13" i="2"/>
  <c r="G30" i="2"/>
  <c r="N13" i="2"/>
  <c r="Q5" i="2"/>
  <c r="N9" i="2"/>
  <c r="P9" i="2"/>
  <c r="Q9" i="2"/>
  <c r="O9" i="2"/>
  <c r="O13" i="2"/>
  <c r="P13" i="2"/>
  <c r="Q13" i="2"/>
  <c r="N5" i="2"/>
  <c r="O5" i="2"/>
  <c r="P5" i="2"/>
  <c r="M13" i="2"/>
  <c r="M5" i="2"/>
  <c r="M9" i="2"/>
  <c r="M28" i="2"/>
  <c r="L37" i="2" s="1"/>
  <c r="V27" i="2"/>
  <c r="F19" i="2"/>
  <c r="E19" i="2"/>
  <c r="O39" i="2"/>
  <c r="F6" i="2"/>
  <c r="D6" i="2" s="1"/>
  <c r="D4" i="2"/>
  <c r="Q40" i="2"/>
  <c r="O40" i="2"/>
  <c r="L40" i="2"/>
  <c r="J40" i="2"/>
  <c r="E40" i="2"/>
  <c r="F29" i="22" l="1"/>
  <c r="E28" i="2"/>
  <c r="T14" i="2" s="1"/>
  <c r="O28" i="2"/>
  <c r="E48" i="2"/>
  <c r="F48" i="2" s="1"/>
  <c r="J48" i="2"/>
  <c r="K48" i="2" s="1"/>
  <c r="O48" i="2"/>
  <c r="P48" i="2" s="1"/>
  <c r="E50" i="2"/>
  <c r="F50" i="2" s="1"/>
  <c r="O50" i="2"/>
  <c r="P50" i="2" s="1"/>
  <c r="R26" i="2"/>
  <c r="J50" i="2"/>
  <c r="K50" i="2" s="1"/>
  <c r="M27" i="2"/>
  <c r="J28" i="2" s="1"/>
  <c r="D7" i="2"/>
  <c r="G21" i="2"/>
  <c r="G19" i="2"/>
  <c r="G17" i="2"/>
  <c r="I16" i="2"/>
  <c r="O38" i="2"/>
  <c r="O44" i="2" s="1"/>
  <c r="J38" i="2"/>
  <c r="J44" i="2" s="1"/>
  <c r="E44" i="2"/>
  <c r="S14" i="2" l="1"/>
  <c r="U16" i="2"/>
  <c r="T16" i="2"/>
  <c r="U15" i="2"/>
  <c r="T15" i="2"/>
  <c r="D9" i="2"/>
  <c r="AE1" i="2" s="1"/>
  <c r="BC1" i="2" s="1"/>
  <c r="Q15" i="2"/>
  <c r="P15" i="2"/>
  <c r="O15" i="2"/>
  <c r="N15" i="2"/>
  <c r="S15" i="2"/>
  <c r="R15" i="2"/>
  <c r="R14" i="2"/>
  <c r="P14" i="2"/>
  <c r="U14" i="2"/>
  <c r="O14" i="2"/>
  <c r="N14" i="2"/>
  <c r="Q14" i="2"/>
  <c r="E29" i="2"/>
  <c r="BV22" i="1"/>
  <c r="G22" i="2"/>
  <c r="AQ1" i="2"/>
  <c r="J24" i="2" l="1"/>
  <c r="J25" i="2" s="1"/>
  <c r="J27" i="2" s="1"/>
  <c r="E24" i="2"/>
  <c r="E25" i="2" s="1"/>
  <c r="E27" i="2" s="1"/>
  <c r="G19" i="22"/>
  <c r="I17" i="2"/>
  <c r="F9" i="2"/>
  <c r="E9" i="2" s="1"/>
  <c r="BW37" i="1"/>
  <c r="BY22" i="1"/>
  <c r="C31" i="22"/>
  <c r="Y1" i="2"/>
  <c r="E10" i="2" l="1"/>
  <c r="I19" i="2" s="1"/>
  <c r="I12" i="2"/>
  <c r="I10" i="2" s="1"/>
  <c r="I11" i="2"/>
  <c r="F10" i="2"/>
  <c r="I8" i="2"/>
  <c r="I7" i="2"/>
  <c r="D31" i="22"/>
  <c r="I13" i="2" l="1"/>
  <c r="I9" i="2"/>
  <c r="I6" i="2" s="1"/>
  <c r="E11" i="2" s="1"/>
  <c r="I22" i="2" l="1"/>
  <c r="E22" i="2" l="1"/>
  <c r="E23" i="2" s="1"/>
  <c r="L50" i="2" s="1"/>
  <c r="M50" i="2" s="1"/>
  <c r="L51" i="2" s="1"/>
  <c r="Q50" i="2" l="1"/>
  <c r="R49" i="2" s="1"/>
  <c r="Q51" i="2" s="1"/>
  <c r="G50" i="2"/>
  <c r="H50" i="2" s="1"/>
  <c r="G51" i="2" s="1"/>
  <c r="AA4" i="2"/>
  <c r="AY4" i="2" s="1"/>
  <c r="AM4" i="2" l="1"/>
  <c r="J29" i="2" l="1"/>
  <c r="CD22" i="1"/>
  <c r="CE37" i="1" l="1"/>
  <c r="AK1" i="2"/>
  <c r="CG22" i="1"/>
  <c r="AH1" i="2" l="1"/>
  <c r="N46" i="2" l="1"/>
  <c r="CL36" i="1" s="1"/>
  <c r="AV30" i="1" s="1"/>
  <c r="CC37" i="1" l="1"/>
  <c r="G23" i="2"/>
  <c r="E30" i="2" s="1"/>
  <c r="AB4" i="2" s="1"/>
  <c r="CC27" i="1" l="1"/>
  <c r="C30" i="22" s="1"/>
  <c r="G48" i="2"/>
  <c r="H48" i="2" s="1"/>
  <c r="G49" i="2" s="1"/>
  <c r="G52" i="2" s="1"/>
  <c r="BY26" i="1" s="1"/>
  <c r="BV26" i="1" s="1"/>
  <c r="E37" i="2"/>
  <c r="G26" i="2" a="1"/>
  <c r="G26" i="2" s="1"/>
  <c r="AC4" i="2"/>
  <c r="X49" i="2" l="1"/>
  <c r="X54" i="2"/>
  <c r="X53" i="2"/>
  <c r="X51" i="2"/>
  <c r="X58" i="2"/>
  <c r="X50" i="2"/>
  <c r="X59" i="2"/>
  <c r="X55" i="2"/>
  <c r="X56" i="2"/>
  <c r="X52" i="2"/>
  <c r="X57" i="2"/>
  <c r="X12" i="2"/>
  <c r="AB12" i="2" s="1"/>
  <c r="X46" i="2"/>
  <c r="X44" i="2"/>
  <c r="X48" i="2"/>
  <c r="X45" i="2"/>
  <c r="X47" i="2"/>
  <c r="X43" i="2"/>
  <c r="X42" i="2"/>
  <c r="X8" i="2"/>
  <c r="AC8" i="2" s="1"/>
  <c r="X29" i="2"/>
  <c r="AC29" i="2" s="1"/>
  <c r="X40" i="2"/>
  <c r="AB40" i="2" s="1"/>
  <c r="X27" i="2"/>
  <c r="AC27" i="2" s="1"/>
  <c r="X14" i="2"/>
  <c r="AC14" i="2" s="1"/>
  <c r="X30" i="2"/>
  <c r="AB30" i="2" s="1"/>
  <c r="X17" i="2"/>
  <c r="AB17" i="2" s="1"/>
  <c r="X10" i="2"/>
  <c r="AB10" i="2" s="1"/>
  <c r="E45" i="2"/>
  <c r="P26" i="1" s="1"/>
  <c r="X13" i="2"/>
  <c r="AC13" i="2" s="1"/>
  <c r="X15" i="2"/>
  <c r="AB15" i="2" s="1"/>
  <c r="X19" i="2"/>
  <c r="AC19" i="2" s="1"/>
  <c r="X25" i="2"/>
  <c r="AB25" i="2" s="1"/>
  <c r="X26" i="2"/>
  <c r="AC26" i="2" s="1"/>
  <c r="X5" i="2"/>
  <c r="AC5" i="2" s="1"/>
  <c r="X7" i="2"/>
  <c r="AB7" i="2" s="1"/>
  <c r="X22" i="2"/>
  <c r="AB22" i="2" s="1"/>
  <c r="X37" i="2"/>
  <c r="AC37" i="2" s="1"/>
  <c r="X28" i="2"/>
  <c r="AC28" i="2" s="1"/>
  <c r="X41" i="2"/>
  <c r="AC41" i="2" s="1"/>
  <c r="X32" i="2"/>
  <c r="AC32" i="2" s="1"/>
  <c r="X6" i="2"/>
  <c r="AB6" i="2" s="1"/>
  <c r="X38" i="2"/>
  <c r="AC38" i="2" s="1"/>
  <c r="AA1" i="2"/>
  <c r="Z49" i="2" s="1"/>
  <c r="X36" i="2"/>
  <c r="AC36" i="2" s="1"/>
  <c r="X20" i="2"/>
  <c r="AC20" i="2" s="1"/>
  <c r="X9" i="2"/>
  <c r="AB9" i="2" s="1"/>
  <c r="X34" i="2"/>
  <c r="AC34" i="2" s="1"/>
  <c r="X16" i="2"/>
  <c r="AC16" i="2" s="1"/>
  <c r="X35" i="2"/>
  <c r="AC35" i="2" s="1"/>
  <c r="X18" i="2"/>
  <c r="AB18" i="2" s="1"/>
  <c r="X11" i="2"/>
  <c r="AC11" i="2" s="1"/>
  <c r="X31" i="2"/>
  <c r="AC31" i="2" s="1"/>
  <c r="X21" i="2"/>
  <c r="AB21" i="2" s="1"/>
  <c r="X39" i="2"/>
  <c r="AB39" i="2" s="1"/>
  <c r="X23" i="2"/>
  <c r="AB23" i="2" s="1"/>
  <c r="X33" i="2"/>
  <c r="AB33" i="2" s="1"/>
  <c r="AC17" i="2" l="1"/>
  <c r="AC56" i="2"/>
  <c r="AB56" i="2"/>
  <c r="AB55" i="2"/>
  <c r="AC55" i="2"/>
  <c r="AB59" i="2"/>
  <c r="AC59" i="2"/>
  <c r="AB50" i="2"/>
  <c r="AC50" i="2"/>
  <c r="AB57" i="2"/>
  <c r="AC57" i="2"/>
  <c r="AC58" i="2"/>
  <c r="AB58" i="2"/>
  <c r="AB51" i="2"/>
  <c r="AC51" i="2"/>
  <c r="AC53" i="2"/>
  <c r="AB53" i="2"/>
  <c r="AB54" i="2"/>
  <c r="AC54" i="2"/>
  <c r="AC52" i="2"/>
  <c r="AB52" i="2"/>
  <c r="AB49" i="2"/>
  <c r="AC49" i="2"/>
  <c r="Y49" i="2"/>
  <c r="AA49" i="2" s="1"/>
  <c r="AC25" i="2"/>
  <c r="AC12" i="2"/>
  <c r="AC30" i="2"/>
  <c r="AB14" i="2"/>
  <c r="AB27" i="2"/>
  <c r="AB8" i="2"/>
  <c r="AB29" i="2"/>
  <c r="AB26" i="2"/>
  <c r="AC42" i="2"/>
  <c r="AB42" i="2"/>
  <c r="AB43" i="2"/>
  <c r="AC43" i="2"/>
  <c r="AB47" i="2"/>
  <c r="AC47" i="2"/>
  <c r="AC45" i="2"/>
  <c r="AB45" i="2"/>
  <c r="AB48" i="2"/>
  <c r="AC48" i="2"/>
  <c r="Z5" i="2"/>
  <c r="Y5" i="2" s="1"/>
  <c r="AA5" i="2" s="1"/>
  <c r="Z46" i="2"/>
  <c r="Y46" i="2" s="1"/>
  <c r="AA46" i="2" s="1"/>
  <c r="Z47" i="2" s="1"/>
  <c r="Y47" i="2" s="1"/>
  <c r="AA47" i="2" s="1"/>
  <c r="Z48" i="2" s="1"/>
  <c r="Y48" i="2" s="1"/>
  <c r="AA48" i="2" s="1"/>
  <c r="AB44" i="2"/>
  <c r="AC44" i="2"/>
  <c r="AB34" i="2"/>
  <c r="AC7" i="2"/>
  <c r="AB20" i="2"/>
  <c r="AB46" i="2"/>
  <c r="AC46" i="2"/>
  <c r="AC10" i="2"/>
  <c r="AB35" i="2"/>
  <c r="AC22" i="2"/>
  <c r="AC40" i="2"/>
  <c r="AB5" i="2"/>
  <c r="AC18" i="2"/>
  <c r="AB36" i="2"/>
  <c r="AB16" i="2"/>
  <c r="AC9" i="2"/>
  <c r="AB31" i="2"/>
  <c r="AC33" i="2"/>
  <c r="AB11" i="2"/>
  <c r="AC15" i="2"/>
  <c r="AB38" i="2"/>
  <c r="AB13" i="2"/>
  <c r="AB32" i="2"/>
  <c r="AC39" i="2"/>
  <c r="AB19" i="2"/>
  <c r="AC6" i="2"/>
  <c r="AC21" i="2"/>
  <c r="F45" i="2"/>
  <c r="P27" i="1" s="1"/>
  <c r="AB41" i="2"/>
  <c r="AB37" i="2"/>
  <c r="AB28" i="2"/>
  <c r="AC23" i="2"/>
  <c r="X2" i="2"/>
  <c r="D45" i="2" l="1"/>
  <c r="D46" i="2"/>
  <c r="Z50" i="2"/>
  <c r="Y50" i="2" s="1"/>
  <c r="AA50" i="2" s="1"/>
  <c r="AB2" i="2"/>
  <c r="Z6" i="2"/>
  <c r="BV35" i="1" l="1"/>
  <c r="P28" i="1" s="1"/>
  <c r="BV36" i="1"/>
  <c r="P30" i="1" s="1"/>
  <c r="F31" i="22"/>
  <c r="Z51" i="2"/>
  <c r="Y51" i="2" s="1"/>
  <c r="AA51" i="2" s="1"/>
  <c r="AD58" i="2"/>
  <c r="AE58" i="2" s="1"/>
  <c r="AF58" i="2" s="1"/>
  <c r="AD53" i="2"/>
  <c r="AE53" i="2" s="1"/>
  <c r="AF53" i="2" s="1"/>
  <c r="AD49" i="2"/>
  <c r="AE49" i="2" s="1"/>
  <c r="AF49" i="2" s="1"/>
  <c r="AD56" i="2"/>
  <c r="AE56" i="2" s="1"/>
  <c r="AF56" i="2" s="1"/>
  <c r="AD57" i="2"/>
  <c r="AE57" i="2" s="1"/>
  <c r="AF57" i="2" s="1"/>
  <c r="AD51" i="2"/>
  <c r="AE51" i="2" s="1"/>
  <c r="AF51" i="2" s="1"/>
  <c r="AD59" i="2"/>
  <c r="AE59" i="2" s="1"/>
  <c r="AF59" i="2" s="1"/>
  <c r="AD54" i="2"/>
  <c r="AE54" i="2" s="1"/>
  <c r="AF54" i="2" s="1"/>
  <c r="AD55" i="2"/>
  <c r="AE55" i="2" s="1"/>
  <c r="AF55" i="2" s="1"/>
  <c r="AD52" i="2"/>
  <c r="AE52" i="2" s="1"/>
  <c r="AF52" i="2" s="1"/>
  <c r="AD50" i="2"/>
  <c r="AE50" i="2" s="1"/>
  <c r="AF50" i="2" s="1"/>
  <c r="AD13" i="2"/>
  <c r="AE13" i="2" s="1"/>
  <c r="AF13" i="2" s="1"/>
  <c r="AD42" i="2"/>
  <c r="AE42" i="2" s="1"/>
  <c r="AF42" i="2" s="1"/>
  <c r="AD45" i="2"/>
  <c r="AE45" i="2" s="1"/>
  <c r="AF45" i="2" s="1"/>
  <c r="AD43" i="2"/>
  <c r="AE43" i="2" s="1"/>
  <c r="AF43" i="2" s="1"/>
  <c r="AD47" i="2"/>
  <c r="AE47" i="2" s="1"/>
  <c r="AF47" i="2" s="1"/>
  <c r="AD46" i="2"/>
  <c r="AE46" i="2" s="1"/>
  <c r="AF46" i="2" s="1"/>
  <c r="AD44" i="2"/>
  <c r="AE44" i="2" s="1"/>
  <c r="AF44" i="2" s="1"/>
  <c r="AD48" i="2"/>
  <c r="AE48" i="2" s="1"/>
  <c r="AF48" i="2" s="1"/>
  <c r="AD23" i="2"/>
  <c r="AE23" i="2" s="1"/>
  <c r="AF23" i="2" s="1"/>
  <c r="AD34" i="2"/>
  <c r="AE34" i="2" s="1"/>
  <c r="AF34" i="2" s="1"/>
  <c r="AD11" i="2"/>
  <c r="AE11" i="2" s="1"/>
  <c r="AF11" i="2" s="1"/>
  <c r="AD35" i="2"/>
  <c r="AE35" i="2" s="1"/>
  <c r="AF35" i="2" s="1"/>
  <c r="AD37" i="2"/>
  <c r="AE37" i="2" s="1"/>
  <c r="AF37" i="2" s="1"/>
  <c r="AD12" i="2"/>
  <c r="AE12" i="2" s="1"/>
  <c r="AF12" i="2" s="1"/>
  <c r="AD32" i="2"/>
  <c r="AE32" i="2" s="1"/>
  <c r="AF32" i="2" s="1"/>
  <c r="AD5" i="2"/>
  <c r="AD36" i="2"/>
  <c r="AE36" i="2" s="1"/>
  <c r="AF36" i="2" s="1"/>
  <c r="AD14" i="2"/>
  <c r="AE14" i="2" s="1"/>
  <c r="AF14" i="2" s="1"/>
  <c r="AD25" i="2"/>
  <c r="AE25" i="2" s="1"/>
  <c r="AF25" i="2" s="1"/>
  <c r="AD26" i="2"/>
  <c r="AE26" i="2" s="1"/>
  <c r="AF26" i="2" s="1"/>
  <c r="AD22" i="2"/>
  <c r="AE22" i="2" s="1"/>
  <c r="AF22" i="2" s="1"/>
  <c r="AD20" i="2"/>
  <c r="AE20" i="2" s="1"/>
  <c r="AF20" i="2" s="1"/>
  <c r="AD17" i="2"/>
  <c r="AE17" i="2" s="1"/>
  <c r="AF17" i="2" s="1"/>
  <c r="AD16" i="2"/>
  <c r="AE16" i="2" s="1"/>
  <c r="AF16" i="2" s="1"/>
  <c r="AD39" i="2"/>
  <c r="AE39" i="2" s="1"/>
  <c r="AF39" i="2" s="1"/>
  <c r="AD9" i="2"/>
  <c r="AE9" i="2" s="1"/>
  <c r="AF9" i="2" s="1"/>
  <c r="AD15" i="2"/>
  <c r="AE15" i="2" s="1"/>
  <c r="AF15" i="2" s="1"/>
  <c r="AD27" i="2"/>
  <c r="AE27" i="2" s="1"/>
  <c r="AF27" i="2" s="1"/>
  <c r="AD40" i="2"/>
  <c r="AE40" i="2" s="1"/>
  <c r="AF40" i="2" s="1"/>
  <c r="AD31" i="2"/>
  <c r="AE31" i="2" s="1"/>
  <c r="AF31" i="2" s="1"/>
  <c r="AD18" i="2"/>
  <c r="AE18" i="2" s="1"/>
  <c r="AF18" i="2" s="1"/>
  <c r="AD21" i="2"/>
  <c r="AE21" i="2" s="1"/>
  <c r="AF21" i="2" s="1"/>
  <c r="AD29" i="2"/>
  <c r="AE29" i="2" s="1"/>
  <c r="AF29" i="2" s="1"/>
  <c r="AD7" i="2"/>
  <c r="AE7" i="2" s="1"/>
  <c r="AF7" i="2" s="1"/>
  <c r="AD8" i="2"/>
  <c r="AE8" i="2" s="1"/>
  <c r="AF8" i="2" s="1"/>
  <c r="AD41" i="2"/>
  <c r="AE41" i="2" s="1"/>
  <c r="AF41" i="2" s="1"/>
  <c r="AD33" i="2"/>
  <c r="AE33" i="2" s="1"/>
  <c r="AF33" i="2" s="1"/>
  <c r="AD30" i="2"/>
  <c r="AE30" i="2" s="1"/>
  <c r="AF30" i="2" s="1"/>
  <c r="AD6" i="2"/>
  <c r="AE6" i="2" s="1"/>
  <c r="AF6" i="2" s="1"/>
  <c r="F28" i="22"/>
  <c r="AD19" i="2"/>
  <c r="AE19" i="2" s="1"/>
  <c r="AF19" i="2" s="1"/>
  <c r="AD28" i="2"/>
  <c r="AE28" i="2" s="1"/>
  <c r="AF28" i="2" s="1"/>
  <c r="AD38" i="2"/>
  <c r="AE38" i="2" s="1"/>
  <c r="AF38" i="2" s="1"/>
  <c r="AD10" i="2"/>
  <c r="AE10" i="2" s="1"/>
  <c r="AF10" i="2" s="1"/>
  <c r="Y6" i="2"/>
  <c r="AE5" i="2" l="1"/>
  <c r="AF5" i="2" s="1"/>
  <c r="AC2" i="2"/>
  <c r="Z52" i="2"/>
  <c r="Y52" i="2" s="1"/>
  <c r="AA52" i="2" s="1"/>
  <c r="Z53" i="2" s="1"/>
  <c r="Y53" i="2" s="1"/>
  <c r="AA53" i="2" s="1"/>
  <c r="Z54" i="2" s="1"/>
  <c r="Y54" i="2" s="1"/>
  <c r="AA54" i="2" s="1"/>
  <c r="Z55" i="2" s="1"/>
  <c r="Y55" i="2" s="1"/>
  <c r="AA55" i="2" s="1"/>
  <c r="Z56" i="2" s="1"/>
  <c r="Y56" i="2" s="1"/>
  <c r="AA56" i="2" s="1"/>
  <c r="Z57" i="2" s="1"/>
  <c r="Y57" i="2" s="1"/>
  <c r="AA57" i="2" s="1"/>
  <c r="Z58" i="2" s="1"/>
  <c r="Y58" i="2" s="1"/>
  <c r="AA58" i="2" s="1"/>
  <c r="AA6" i="2"/>
  <c r="AE2" i="2" l="1"/>
  <c r="AG34" i="2" s="1"/>
  <c r="Z59" i="2"/>
  <c r="Y59" i="2" s="1"/>
  <c r="AA59" i="2" s="1"/>
  <c r="Z7" i="2"/>
  <c r="AG19" i="2" l="1"/>
  <c r="AG8" i="2"/>
  <c r="AG18" i="2"/>
  <c r="AG14" i="2"/>
  <c r="AG55" i="2"/>
  <c r="AG36" i="2"/>
  <c r="AG10" i="2"/>
  <c r="AG11" i="2"/>
  <c r="AG7" i="2"/>
  <c r="AG44" i="2"/>
  <c r="AG51" i="2"/>
  <c r="AG38" i="2"/>
  <c r="AG43" i="2"/>
  <c r="AG21" i="2"/>
  <c r="AG15" i="2"/>
  <c r="AG27" i="2"/>
  <c r="AG37" i="2"/>
  <c r="AG26" i="2"/>
  <c r="AG17" i="2"/>
  <c r="AG57" i="2"/>
  <c r="AG45" i="2"/>
  <c r="AG42" i="2"/>
  <c r="AG29" i="2"/>
  <c r="AG22" i="2"/>
  <c r="AG59" i="2"/>
  <c r="AG5" i="2"/>
  <c r="AF2" i="2" s="1"/>
  <c r="AG1" i="2" s="1"/>
  <c r="AG25" i="2"/>
  <c r="AG16" i="2"/>
  <c r="AG35" i="2"/>
  <c r="AG20" i="2"/>
  <c r="AG6" i="2"/>
  <c r="AG31" i="2"/>
  <c r="AG58" i="2"/>
  <c r="AG9" i="2"/>
  <c r="AG46" i="2"/>
  <c r="AG23" i="2"/>
  <c r="AG56" i="2"/>
  <c r="AG13" i="2"/>
  <c r="AG28" i="2"/>
  <c r="AG40" i="2"/>
  <c r="AG48" i="2"/>
  <c r="AG53" i="2"/>
  <c r="AG47" i="2"/>
  <c r="AG12" i="2"/>
  <c r="AG49" i="2"/>
  <c r="AG52" i="2"/>
  <c r="AG50" i="2"/>
  <c r="AG41" i="2"/>
  <c r="AG39" i="2"/>
  <c r="AG54" i="2"/>
  <c r="AG32" i="2"/>
  <c r="AG30" i="2"/>
  <c r="AG33" i="2"/>
  <c r="Y7" i="2"/>
  <c r="AG2" i="2" l="1"/>
  <c r="AA7" i="2"/>
  <c r="Z8" i="2" l="1"/>
  <c r="Y8" i="2" l="1"/>
  <c r="AA8" i="2" l="1"/>
  <c r="Z9" i="2" l="1"/>
  <c r="Y9" i="2" s="1"/>
  <c r="AA9" i="2" l="1"/>
  <c r="Z10" i="2" l="1"/>
  <c r="Y10" i="2" s="1"/>
  <c r="AA10" i="2" s="1"/>
  <c r="Z11" i="2" l="1"/>
  <c r="Y11" i="2" s="1"/>
  <c r="AA11" i="2" s="1"/>
  <c r="Z12" i="2" l="1"/>
  <c r="Y12" i="2" s="1"/>
  <c r="AA12" i="2" s="1"/>
  <c r="Z13" i="2" l="1"/>
  <c r="Y13" i="2" s="1"/>
  <c r="AA13" i="2" s="1"/>
  <c r="Z14" i="2" l="1"/>
  <c r="Y14" i="2" s="1"/>
  <c r="AA14" i="2" s="1"/>
  <c r="Z15" i="2" l="1"/>
  <c r="Y15" i="2" s="1"/>
  <c r="AA15" i="2" s="1"/>
  <c r="Z16" i="2" l="1"/>
  <c r="Y16" i="2" s="1"/>
  <c r="AA16" i="2" s="1"/>
  <c r="Z17" i="2" l="1"/>
  <c r="Y17" i="2" s="1"/>
  <c r="AA17" i="2" s="1"/>
  <c r="Z18" i="2" l="1"/>
  <c r="Y18" i="2" s="1"/>
  <c r="AA18" i="2" s="1"/>
  <c r="Z19" i="2" l="1"/>
  <c r="Y19" i="2" s="1"/>
  <c r="AA19" i="2" s="1"/>
  <c r="Z20" i="2" l="1"/>
  <c r="Y20" i="2" s="1"/>
  <c r="AA20" i="2" s="1"/>
  <c r="Z21" i="2" l="1"/>
  <c r="Y21" i="2" s="1"/>
  <c r="AA21" i="2" s="1"/>
  <c r="Z22" i="2" l="1"/>
  <c r="Y22" i="2" s="1"/>
  <c r="AA22" i="2" s="1"/>
  <c r="Z23" i="2" l="1"/>
  <c r="Y23" i="2" s="1"/>
  <c r="AA23" i="2" s="1"/>
  <c r="Z25" i="2" l="1"/>
  <c r="Y25" i="2" s="1"/>
  <c r="AA25" i="2" s="1"/>
  <c r="Z26" i="2" l="1"/>
  <c r="Y26" i="2" s="1"/>
  <c r="AA26" i="2" s="1"/>
  <c r="Z27" i="2" l="1"/>
  <c r="Y27" i="2" s="1"/>
  <c r="AA27" i="2" s="1"/>
  <c r="Z28" i="2" l="1"/>
  <c r="Y28" i="2" s="1"/>
  <c r="AA28" i="2" s="1"/>
  <c r="Z29" i="2" l="1"/>
  <c r="Y29" i="2" s="1"/>
  <c r="AA29" i="2" s="1"/>
  <c r="Z30" i="2" l="1"/>
  <c r="Y30" i="2" s="1"/>
  <c r="AA30" i="2" s="1"/>
  <c r="Z31" i="2" l="1"/>
  <c r="Y31" i="2" s="1"/>
  <c r="AA31" i="2" s="1"/>
  <c r="Z32" i="2" l="1"/>
  <c r="Y32" i="2" s="1"/>
  <c r="AA32" i="2" s="1"/>
  <c r="Z33" i="2" l="1"/>
  <c r="Y33" i="2" s="1"/>
  <c r="AA33" i="2" s="1"/>
  <c r="Z34" i="2" l="1"/>
  <c r="Y34" i="2" s="1"/>
  <c r="AA34" i="2" s="1"/>
  <c r="Z35" i="2" l="1"/>
  <c r="Y35" i="2" s="1"/>
  <c r="AA35" i="2" s="1"/>
  <c r="Z36" i="2" l="1"/>
  <c r="Y36" i="2" s="1"/>
  <c r="AA36" i="2" s="1"/>
  <c r="Z37" i="2" l="1"/>
  <c r="Y37" i="2" s="1"/>
  <c r="AA37" i="2" s="1"/>
  <c r="Z38" i="2" l="1"/>
  <c r="Y38" i="2" s="1"/>
  <c r="AA38" i="2" s="1"/>
  <c r="Z39" i="2" l="1"/>
  <c r="Y39" i="2" s="1"/>
  <c r="AA39" i="2" s="1"/>
  <c r="Z40" i="2" l="1"/>
  <c r="Y40" i="2" s="1"/>
  <c r="AA40" i="2" s="1"/>
  <c r="Z41" i="2" l="1"/>
  <c r="Y41" i="2" l="1"/>
  <c r="AA41" i="2" l="1"/>
  <c r="CK37" i="1"/>
  <c r="L23" i="2"/>
  <c r="J30" i="2" s="1"/>
  <c r="V1" i="2" l="1"/>
  <c r="Z42" i="2"/>
  <c r="AN4" i="2"/>
  <c r="L48" i="2"/>
  <c r="M48" i="2" s="1"/>
  <c r="L49" i="2" s="1"/>
  <c r="L52" i="2" s="1"/>
  <c r="CG26" i="1" s="1"/>
  <c r="CD26" i="1" s="1"/>
  <c r="J37" i="2"/>
  <c r="CK27" i="1"/>
  <c r="L26" i="2" a="1"/>
  <c r="L26" i="2" s="1"/>
  <c r="AJ59" i="2" l="1"/>
  <c r="AJ49" i="2"/>
  <c r="AJ52" i="2"/>
  <c r="AJ57" i="2"/>
  <c r="AJ56" i="2"/>
  <c r="AJ60" i="2"/>
  <c r="AJ51" i="2"/>
  <c r="AJ58" i="2"/>
  <c r="AJ50" i="2"/>
  <c r="AJ53" i="2"/>
  <c r="AJ55" i="2"/>
  <c r="AJ54" i="2"/>
  <c r="Y42" i="2"/>
  <c r="AJ19" i="2"/>
  <c r="AJ39" i="2"/>
  <c r="AJ43" i="2"/>
  <c r="AJ28" i="2"/>
  <c r="AJ27" i="2"/>
  <c r="AM1" i="2"/>
  <c r="AJ20" i="2"/>
  <c r="AJ15" i="2"/>
  <c r="AJ8" i="2"/>
  <c r="AJ45" i="2"/>
  <c r="AJ33" i="2"/>
  <c r="AJ10" i="2"/>
  <c r="AJ26" i="2"/>
  <c r="AJ46" i="2"/>
  <c r="AJ6" i="2"/>
  <c r="AJ36" i="2"/>
  <c r="AJ14" i="2"/>
  <c r="AJ32" i="2"/>
  <c r="AJ7" i="2"/>
  <c r="AJ40" i="2"/>
  <c r="AJ48" i="2"/>
  <c r="AJ23" i="2"/>
  <c r="AJ17" i="2"/>
  <c r="AJ35" i="2"/>
  <c r="AJ9" i="2"/>
  <c r="AJ38" i="2"/>
  <c r="AJ21" i="2"/>
  <c r="AJ37" i="2"/>
  <c r="AJ12" i="2"/>
  <c r="AJ11" i="2"/>
  <c r="AJ18" i="2"/>
  <c r="AJ44" i="2"/>
  <c r="J45" i="2"/>
  <c r="AF26" i="1" s="1"/>
  <c r="AJ5" i="2"/>
  <c r="AJ47" i="2"/>
  <c r="AJ16" i="2"/>
  <c r="AJ42" i="2"/>
  <c r="AJ29" i="2"/>
  <c r="AJ31" i="2"/>
  <c r="AJ30" i="2"/>
  <c r="AJ34" i="2"/>
  <c r="AJ41" i="2"/>
  <c r="AJ13" i="2"/>
  <c r="AJ22" i="2"/>
  <c r="AJ25" i="2"/>
  <c r="AO4" i="2"/>
  <c r="AO54" i="2" l="1"/>
  <c r="AN54" i="2"/>
  <c r="AN53" i="2"/>
  <c r="AO53" i="2"/>
  <c r="AN51" i="2"/>
  <c r="AO51" i="2"/>
  <c r="AN58" i="2"/>
  <c r="AO58" i="2"/>
  <c r="AO60" i="2"/>
  <c r="AN60" i="2"/>
  <c r="AO55" i="2"/>
  <c r="AN55" i="2"/>
  <c r="AN56" i="2"/>
  <c r="AO56" i="2"/>
  <c r="AO57" i="2"/>
  <c r="AN57" i="2"/>
  <c r="AL5" i="2"/>
  <c r="AK5" i="2" s="1"/>
  <c r="AL49" i="2"/>
  <c r="AK49" i="2" s="1"/>
  <c r="AM49" i="2" s="1"/>
  <c r="AL50" i="2" s="1"/>
  <c r="AK50" i="2" s="1"/>
  <c r="AM50" i="2" s="1"/>
  <c r="AL51" i="2" s="1"/>
  <c r="AK51" i="2" s="1"/>
  <c r="AM51" i="2" s="1"/>
  <c r="AL52" i="2" s="1"/>
  <c r="AK52" i="2" s="1"/>
  <c r="AM52" i="2" s="1"/>
  <c r="AL53" i="2" s="1"/>
  <c r="AK53" i="2" s="1"/>
  <c r="AM53" i="2" s="1"/>
  <c r="AL54" i="2" s="1"/>
  <c r="AK54" i="2" s="1"/>
  <c r="AM54" i="2" s="1"/>
  <c r="AL55" i="2" s="1"/>
  <c r="AK55" i="2" s="1"/>
  <c r="AM55" i="2" s="1"/>
  <c r="AL56" i="2" s="1"/>
  <c r="AK56" i="2" s="1"/>
  <c r="AM56" i="2" s="1"/>
  <c r="AL57" i="2" s="1"/>
  <c r="AK57" i="2" s="1"/>
  <c r="AM57" i="2" s="1"/>
  <c r="AL58" i="2" s="1"/>
  <c r="AK58" i="2" s="1"/>
  <c r="AM58" i="2" s="1"/>
  <c r="AL59" i="2" s="1"/>
  <c r="AK59" i="2" s="1"/>
  <c r="AM59" i="2" s="1"/>
  <c r="AN52" i="2"/>
  <c r="AO52" i="2"/>
  <c r="AO49" i="2"/>
  <c r="AN49" i="2"/>
  <c r="AO50" i="2"/>
  <c r="AN50" i="2"/>
  <c r="AO59" i="2"/>
  <c r="AN59" i="2"/>
  <c r="AA42" i="2"/>
  <c r="AO10" i="2"/>
  <c r="AN10" i="2"/>
  <c r="AO47" i="2"/>
  <c r="AN47" i="2"/>
  <c r="AJ2" i="2"/>
  <c r="AO5" i="2"/>
  <c r="AN5" i="2"/>
  <c r="AN13" i="2"/>
  <c r="AO13" i="2"/>
  <c r="AN33" i="2"/>
  <c r="AO33" i="2"/>
  <c r="AO48" i="2"/>
  <c r="AN48" i="2"/>
  <c r="AN22" i="2"/>
  <c r="AO22" i="2"/>
  <c r="AO7" i="2"/>
  <c r="AN7" i="2"/>
  <c r="AN14" i="2"/>
  <c r="AO14" i="2"/>
  <c r="AN27" i="2"/>
  <c r="AO27" i="2"/>
  <c r="K45" i="2"/>
  <c r="AF27" i="1" s="1"/>
  <c r="AO44" i="2"/>
  <c r="AN44" i="2"/>
  <c r="AN18" i="2"/>
  <c r="AO18" i="2"/>
  <c r="AN36" i="2"/>
  <c r="AO36" i="2"/>
  <c r="AN28" i="2"/>
  <c r="AO28" i="2"/>
  <c r="AN17" i="2"/>
  <c r="AO17" i="2"/>
  <c r="AO25" i="2"/>
  <c r="AN25" i="2"/>
  <c r="AN8" i="2"/>
  <c r="AO8" i="2"/>
  <c r="AN20" i="2"/>
  <c r="AO20" i="2"/>
  <c r="AO34" i="2"/>
  <c r="AN34" i="2"/>
  <c r="AO21" i="2"/>
  <c r="AN21" i="2"/>
  <c r="AN6" i="2"/>
  <c r="AO6" i="2"/>
  <c r="AO43" i="2"/>
  <c r="AN43" i="2"/>
  <c r="AO35" i="2"/>
  <c r="AN35" i="2"/>
  <c r="AN23" i="2"/>
  <c r="AO23" i="2"/>
  <c r="AO40" i="2"/>
  <c r="AN40" i="2"/>
  <c r="AO41" i="2"/>
  <c r="AN41" i="2"/>
  <c r="AN32" i="2"/>
  <c r="AO32" i="2"/>
  <c r="AN30" i="2"/>
  <c r="AO30" i="2"/>
  <c r="AN31" i="2"/>
  <c r="AO31" i="2"/>
  <c r="AO29" i="2"/>
  <c r="AN29" i="2"/>
  <c r="AN38" i="2"/>
  <c r="AO38" i="2"/>
  <c r="AO46" i="2"/>
  <c r="AN46" i="2"/>
  <c r="AN39" i="2"/>
  <c r="AO39" i="2"/>
  <c r="AO16" i="2"/>
  <c r="AN16" i="2"/>
  <c r="AO45" i="2"/>
  <c r="AN45" i="2"/>
  <c r="AN15" i="2"/>
  <c r="AO15" i="2"/>
  <c r="AN11" i="2"/>
  <c r="AO11" i="2"/>
  <c r="AO12" i="2"/>
  <c r="AN12" i="2"/>
  <c r="AO37" i="2"/>
  <c r="AN37" i="2"/>
  <c r="AN42" i="2"/>
  <c r="AO42" i="2"/>
  <c r="AN9" i="2"/>
  <c r="AO9" i="2"/>
  <c r="AO26" i="2"/>
  <c r="AN26" i="2"/>
  <c r="AO19" i="2"/>
  <c r="AN19" i="2"/>
  <c r="I45" i="2" l="1"/>
  <c r="AL60" i="2"/>
  <c r="AK60" i="2" s="1"/>
  <c r="AM60" i="2" s="1"/>
  <c r="Z43" i="2"/>
  <c r="AM5" i="2"/>
  <c r="AN2" i="2"/>
  <c r="CD35" i="1" l="1"/>
  <c r="AF28" i="1" s="1"/>
  <c r="I46" i="2"/>
  <c r="CD36" i="1" s="1"/>
  <c r="AF30" i="1" s="1"/>
  <c r="AP59" i="2"/>
  <c r="AQ59" i="2" s="1"/>
  <c r="AR59" i="2" s="1"/>
  <c r="AP49" i="2"/>
  <c r="AQ49" i="2" s="1"/>
  <c r="AR49" i="2" s="1"/>
  <c r="AP50" i="2"/>
  <c r="AQ50" i="2" s="1"/>
  <c r="AR50" i="2" s="1"/>
  <c r="AP58" i="2"/>
  <c r="AQ58" i="2" s="1"/>
  <c r="AR58" i="2" s="1"/>
  <c r="AP54" i="2"/>
  <c r="AQ54" i="2" s="1"/>
  <c r="AR54" i="2" s="1"/>
  <c r="AP57" i="2"/>
  <c r="AQ57" i="2" s="1"/>
  <c r="AR57" i="2" s="1"/>
  <c r="AP56" i="2"/>
  <c r="AQ56" i="2" s="1"/>
  <c r="AR56" i="2" s="1"/>
  <c r="AP60" i="2"/>
  <c r="AQ60" i="2" s="1"/>
  <c r="AR60" i="2" s="1"/>
  <c r="AP52" i="2"/>
  <c r="AQ52" i="2" s="1"/>
  <c r="AR52" i="2" s="1"/>
  <c r="AP55" i="2"/>
  <c r="AQ55" i="2" s="1"/>
  <c r="AR55" i="2" s="1"/>
  <c r="AP53" i="2"/>
  <c r="AQ53" i="2" s="1"/>
  <c r="AR53" i="2" s="1"/>
  <c r="AP51" i="2"/>
  <c r="AQ51" i="2" s="1"/>
  <c r="AR51" i="2" s="1"/>
  <c r="Y43" i="2"/>
  <c r="AP21" i="2"/>
  <c r="AQ21" i="2" s="1"/>
  <c r="AR21" i="2" s="1"/>
  <c r="AP10" i="2"/>
  <c r="AQ10" i="2" s="1"/>
  <c r="AR10" i="2" s="1"/>
  <c r="AP14" i="2"/>
  <c r="AQ14" i="2" s="1"/>
  <c r="AR14" i="2" s="1"/>
  <c r="AP17" i="2"/>
  <c r="AQ17" i="2" s="1"/>
  <c r="AR17" i="2" s="1"/>
  <c r="AP19" i="2"/>
  <c r="AQ19" i="2" s="1"/>
  <c r="AR19" i="2" s="1"/>
  <c r="AP32" i="2"/>
  <c r="AQ32" i="2" s="1"/>
  <c r="AR32" i="2" s="1"/>
  <c r="AP38" i="2"/>
  <c r="AQ38" i="2" s="1"/>
  <c r="AR38" i="2" s="1"/>
  <c r="AP12" i="2"/>
  <c r="AQ12" i="2" s="1"/>
  <c r="AR12" i="2" s="1"/>
  <c r="AP25" i="2"/>
  <c r="AQ25" i="2" s="1"/>
  <c r="AR25" i="2" s="1"/>
  <c r="AP41" i="2"/>
  <c r="AQ41" i="2" s="1"/>
  <c r="AR41" i="2" s="1"/>
  <c r="AP18" i="2"/>
  <c r="AQ18" i="2" s="1"/>
  <c r="AR18" i="2" s="1"/>
  <c r="AP30" i="2"/>
  <c r="AQ30" i="2" s="1"/>
  <c r="AR30" i="2" s="1"/>
  <c r="AP6" i="2"/>
  <c r="AQ6" i="2" s="1"/>
  <c r="AR6" i="2" s="1"/>
  <c r="AP40" i="2"/>
  <c r="AQ40" i="2" s="1"/>
  <c r="AR40" i="2" s="1"/>
  <c r="AP16" i="2"/>
  <c r="AQ16" i="2" s="1"/>
  <c r="AR16" i="2" s="1"/>
  <c r="AP15" i="2"/>
  <c r="AQ15" i="2" s="1"/>
  <c r="AR15" i="2" s="1"/>
  <c r="AP22" i="2"/>
  <c r="AQ22" i="2" s="1"/>
  <c r="AR22" i="2" s="1"/>
  <c r="AP31" i="2"/>
  <c r="AQ31" i="2" s="1"/>
  <c r="AR31" i="2" s="1"/>
  <c r="AP9" i="2"/>
  <c r="AQ9" i="2" s="1"/>
  <c r="AR9" i="2" s="1"/>
  <c r="AP35" i="2"/>
  <c r="AQ35" i="2" s="1"/>
  <c r="AR35" i="2" s="1"/>
  <c r="AP37" i="2"/>
  <c r="AQ37" i="2" s="1"/>
  <c r="AR37" i="2" s="1"/>
  <c r="AP7" i="2"/>
  <c r="AQ7" i="2" s="1"/>
  <c r="AR7" i="2" s="1"/>
  <c r="AP26" i="2"/>
  <c r="AQ26" i="2" s="1"/>
  <c r="AR26" i="2" s="1"/>
  <c r="AP27" i="2"/>
  <c r="AQ27" i="2" s="1"/>
  <c r="AR27" i="2" s="1"/>
  <c r="AP13" i="2"/>
  <c r="AQ13" i="2" s="1"/>
  <c r="AR13" i="2" s="1"/>
  <c r="AP11" i="2"/>
  <c r="AQ11" i="2" s="1"/>
  <c r="AR11" i="2" s="1"/>
  <c r="AP44" i="2"/>
  <c r="AQ44" i="2" s="1"/>
  <c r="AR44" i="2" s="1"/>
  <c r="AP8" i="2"/>
  <c r="AQ8" i="2" s="1"/>
  <c r="AR8" i="2" s="1"/>
  <c r="AP47" i="2"/>
  <c r="AQ47" i="2" s="1"/>
  <c r="AR47" i="2" s="1"/>
  <c r="AP29" i="2"/>
  <c r="AQ29" i="2" s="1"/>
  <c r="AR29" i="2" s="1"/>
  <c r="AP46" i="2"/>
  <c r="AQ46" i="2" s="1"/>
  <c r="AR46" i="2" s="1"/>
  <c r="AP36" i="2"/>
  <c r="AQ36" i="2" s="1"/>
  <c r="AR36" i="2" s="1"/>
  <c r="AP42" i="2"/>
  <c r="AQ42" i="2" s="1"/>
  <c r="AR42" i="2" s="1"/>
  <c r="AP34" i="2"/>
  <c r="AQ34" i="2" s="1"/>
  <c r="AR34" i="2" s="1"/>
  <c r="AP43" i="2"/>
  <c r="AQ43" i="2" s="1"/>
  <c r="AR43" i="2" s="1"/>
  <c r="AP5" i="2"/>
  <c r="AP33" i="2"/>
  <c r="AQ33" i="2" s="1"/>
  <c r="AR33" i="2" s="1"/>
  <c r="AP20" i="2"/>
  <c r="AQ20" i="2" s="1"/>
  <c r="AR20" i="2" s="1"/>
  <c r="AP28" i="2"/>
  <c r="AQ28" i="2" s="1"/>
  <c r="AR28" i="2" s="1"/>
  <c r="AP39" i="2"/>
  <c r="AQ39" i="2" s="1"/>
  <c r="AR39" i="2" s="1"/>
  <c r="AP48" i="2"/>
  <c r="AQ48" i="2" s="1"/>
  <c r="AR48" i="2" s="1"/>
  <c r="AP23" i="2"/>
  <c r="AQ23" i="2" s="1"/>
  <c r="AR23" i="2" s="1"/>
  <c r="AP45" i="2"/>
  <c r="AQ45" i="2" s="1"/>
  <c r="AR45" i="2" s="1"/>
  <c r="AL6" i="2"/>
  <c r="AQ5" i="2" l="1"/>
  <c r="AR5" i="2" s="1"/>
  <c r="AQ2" i="2" s="1"/>
  <c r="AS37" i="2" s="1"/>
  <c r="AO2" i="2"/>
  <c r="AA43" i="2"/>
  <c r="AK6" i="2"/>
  <c r="Z44" i="2" l="1"/>
  <c r="AS39" i="2"/>
  <c r="AS19" i="2"/>
  <c r="AS42" i="2"/>
  <c r="AS26" i="2"/>
  <c r="AS9" i="2"/>
  <c r="AS14" i="2"/>
  <c r="AS47" i="2"/>
  <c r="AS13" i="2"/>
  <c r="AS60" i="2"/>
  <c r="AS58" i="2"/>
  <c r="AS51" i="2"/>
  <c r="AS54" i="2"/>
  <c r="AS53" i="2"/>
  <c r="AS56" i="2"/>
  <c r="AS59" i="2"/>
  <c r="AS55" i="2"/>
  <c r="AS49" i="2"/>
  <c r="AS57" i="2"/>
  <c r="AS50" i="2"/>
  <c r="AS52" i="2"/>
  <c r="AS5" i="2"/>
  <c r="AR2" i="2" s="1"/>
  <c r="AS1" i="2" s="1"/>
  <c r="AS48" i="2"/>
  <c r="AS10" i="2"/>
  <c r="AS41" i="2"/>
  <c r="AS12" i="2"/>
  <c r="AM6" i="2"/>
  <c r="AS28" i="2"/>
  <c r="AS25" i="2"/>
  <c r="AS7" i="2"/>
  <c r="AS29" i="2"/>
  <c r="AS46" i="2"/>
  <c r="AS22" i="2"/>
  <c r="AS16" i="2"/>
  <c r="AS44" i="2"/>
  <c r="AS33" i="2"/>
  <c r="AS45" i="2"/>
  <c r="AS43" i="2"/>
  <c r="AS31" i="2"/>
  <c r="AS15" i="2"/>
  <c r="AS8" i="2"/>
  <c r="AS36" i="2"/>
  <c r="AS30" i="2"/>
  <c r="AS21" i="2"/>
  <c r="AS6" i="2"/>
  <c r="AS35" i="2"/>
  <c r="AS34" i="2"/>
  <c r="AS32" i="2"/>
  <c r="AS17" i="2"/>
  <c r="AS40" i="2"/>
  <c r="AS18" i="2"/>
  <c r="AS11" i="2"/>
  <c r="AS20" i="2"/>
  <c r="AS23" i="2"/>
  <c r="AS38" i="2"/>
  <c r="AS27" i="2"/>
  <c r="Y44" i="2" l="1"/>
  <c r="AS2" i="2"/>
  <c r="AL7" i="2"/>
  <c r="AA44" i="2" l="1"/>
  <c r="AK7" i="2"/>
  <c r="Z45" i="2" l="1"/>
  <c r="AM7" i="2"/>
  <c r="Y45" i="2" l="1"/>
  <c r="Z2" i="2"/>
  <c r="AL8" i="2"/>
  <c r="Y2" i="2" l="1"/>
  <c r="AA45" i="2"/>
  <c r="AK8" i="2"/>
  <c r="AM8" i="2" l="1"/>
  <c r="AL9" i="2" l="1"/>
  <c r="AK9" i="2" s="1"/>
  <c r="AM9" i="2" s="1"/>
  <c r="AL10" i="2" l="1"/>
  <c r="AK10" i="2" s="1"/>
  <c r="AM10" i="2" s="1"/>
  <c r="AL11" i="2" l="1"/>
  <c r="AK11" i="2" s="1"/>
  <c r="AM11" i="2" s="1"/>
  <c r="AL12" i="2" l="1"/>
  <c r="AK12" i="2" s="1"/>
  <c r="AM12" i="2" s="1"/>
  <c r="AL13" i="2" l="1"/>
  <c r="AK13" i="2" s="1"/>
  <c r="AM13" i="2" s="1"/>
  <c r="AL14" i="2" l="1"/>
  <c r="AK14" i="2" s="1"/>
  <c r="AM14" i="2" s="1"/>
  <c r="AL15" i="2" l="1"/>
  <c r="AK15" i="2" s="1"/>
  <c r="AM15" i="2" s="1"/>
  <c r="AL16" i="2" l="1"/>
  <c r="AK16" i="2" s="1"/>
  <c r="AM16" i="2" s="1"/>
  <c r="AL17" i="2" l="1"/>
  <c r="AK17" i="2" s="1"/>
  <c r="AM17" i="2" s="1"/>
  <c r="AL18" i="2" l="1"/>
  <c r="AK18" i="2" s="1"/>
  <c r="AM18" i="2" s="1"/>
  <c r="AL19" i="2" l="1"/>
  <c r="AK19" i="2" s="1"/>
  <c r="AM19" i="2" s="1"/>
  <c r="AL20" i="2" l="1"/>
  <c r="AK20" i="2" s="1"/>
  <c r="AM20" i="2" s="1"/>
  <c r="AL21" i="2" l="1"/>
  <c r="AK21" i="2" s="1"/>
  <c r="AM21" i="2" s="1"/>
  <c r="AL22" i="2" l="1"/>
  <c r="AK22" i="2" s="1"/>
  <c r="AM22" i="2" s="1"/>
  <c r="AL23" i="2" l="1"/>
  <c r="AK23" i="2" s="1"/>
  <c r="AM23" i="2" s="1"/>
  <c r="AL25" i="2" l="1"/>
  <c r="AK25" i="2" s="1"/>
  <c r="AM25" i="2" s="1"/>
  <c r="AL26" i="2" l="1"/>
  <c r="AK26" i="2" s="1"/>
  <c r="AM26" i="2" s="1"/>
  <c r="AL27" i="2" l="1"/>
  <c r="AK27" i="2" s="1"/>
  <c r="AM27" i="2" s="1"/>
  <c r="AL28" i="2" l="1"/>
  <c r="AK28" i="2" s="1"/>
  <c r="AM28" i="2" s="1"/>
  <c r="AL29" i="2" l="1"/>
  <c r="AK29" i="2" s="1"/>
  <c r="AM29" i="2" s="1"/>
  <c r="AL30" i="2" l="1"/>
  <c r="AK30" i="2" s="1"/>
  <c r="AM30" i="2" s="1"/>
  <c r="AL31" i="2" l="1"/>
  <c r="AK31" i="2" s="1"/>
  <c r="AM31" i="2" s="1"/>
  <c r="AL32" i="2" l="1"/>
  <c r="AK32" i="2" s="1"/>
  <c r="AM32" i="2" s="1"/>
  <c r="AL33" i="2" l="1"/>
  <c r="AK33" i="2" s="1"/>
  <c r="AM33" i="2" s="1"/>
  <c r="AL34" i="2" l="1"/>
  <c r="AK34" i="2" s="1"/>
  <c r="AM34" i="2" s="1"/>
  <c r="AL35" i="2" l="1"/>
  <c r="AK35" i="2" s="1"/>
  <c r="AM35" i="2" s="1"/>
  <c r="AL36" i="2" l="1"/>
  <c r="AK36" i="2" s="1"/>
  <c r="AM36" i="2" s="1"/>
  <c r="AL37" i="2" l="1"/>
  <c r="AK37" i="2" s="1"/>
  <c r="AM37" i="2" s="1"/>
  <c r="AL38" i="2" l="1"/>
  <c r="AK38" i="2" s="1"/>
  <c r="AM38" i="2" s="1"/>
  <c r="AL39" i="2" l="1"/>
  <c r="AK39" i="2" s="1"/>
  <c r="AM39" i="2" s="1"/>
  <c r="AL40" i="2" l="1"/>
  <c r="AK40" i="2" s="1"/>
  <c r="AM40" i="2" s="1"/>
  <c r="AL41" i="2" l="1"/>
  <c r="AK41" i="2" s="1"/>
  <c r="AM41" i="2" s="1"/>
  <c r="AL42" i="2" l="1"/>
  <c r="AK42" i="2" s="1"/>
  <c r="AM42" i="2" s="1"/>
  <c r="AL43" i="2" l="1"/>
  <c r="AK43" i="2" s="1"/>
  <c r="AM43" i="2" s="1"/>
  <c r="AL44" i="2" l="1"/>
  <c r="AK44" i="2" s="1"/>
  <c r="AM44" i="2" s="1"/>
  <c r="AL45" i="2" l="1"/>
  <c r="AK45" i="2" s="1"/>
  <c r="AM45" i="2" s="1"/>
  <c r="AL46" i="2" l="1"/>
  <c r="AK46" i="2" s="1"/>
  <c r="AM46" i="2" s="1"/>
  <c r="AL47" i="2" l="1"/>
  <c r="AK47" i="2" s="1"/>
  <c r="AM47" i="2" s="1"/>
  <c r="AL48" i="2" l="1"/>
  <c r="AK48" i="2" l="1"/>
  <c r="AL2" i="2"/>
  <c r="AK2" i="2" l="1"/>
  <c r="AM48" i="2"/>
  <c r="P16" i="2"/>
  <c r="O16" i="2"/>
  <c r="S16" i="2"/>
  <c r="R16" i="2"/>
  <c r="Q16" i="2"/>
  <c r="O29" i="2"/>
  <c r="AW1" i="2" s="1"/>
  <c r="CL22" i="1"/>
  <c r="N16" i="2"/>
  <c r="CM37" i="1" l="1"/>
  <c r="O24" i="2"/>
  <c r="O25" i="2" s="1"/>
  <c r="O27" i="2" s="1"/>
  <c r="CS27" i="1" s="1"/>
  <c r="CO22" i="1"/>
  <c r="Q23" i="2" l="1"/>
  <c r="O30" i="2" s="1"/>
  <c r="AZ4" i="2" s="1"/>
  <c r="CS37" i="1"/>
  <c r="Q26" i="2" a="1"/>
  <c r="Q26" i="2" s="1"/>
  <c r="O37" i="2" l="1"/>
  <c r="AV44" i="2" s="1"/>
  <c r="Q48" i="2"/>
  <c r="R47" i="2" s="1"/>
  <c r="Q49" i="2" s="1"/>
  <c r="Q52" i="2" s="1"/>
  <c r="CO26" i="1" s="1"/>
  <c r="CL26" i="1" s="1"/>
  <c r="BA4" i="2"/>
  <c r="AV51" i="2" l="1"/>
  <c r="AV49" i="2"/>
  <c r="AV28" i="2"/>
  <c r="AV11" i="2"/>
  <c r="AV38" i="2"/>
  <c r="AV35" i="2"/>
  <c r="AV31" i="2"/>
  <c r="AV37" i="2"/>
  <c r="AV9" i="2"/>
  <c r="BA9" i="2" s="1"/>
  <c r="AV34" i="2"/>
  <c r="AV45" i="2"/>
  <c r="AZ45" i="2" s="1"/>
  <c r="AV33" i="2"/>
  <c r="AZ33" i="2" s="1"/>
  <c r="AV20" i="2"/>
  <c r="AZ20" i="2" s="1"/>
  <c r="AV36" i="2"/>
  <c r="AZ36" i="2" s="1"/>
  <c r="AV12" i="2"/>
  <c r="BA12" i="2" s="1"/>
  <c r="AV60" i="2"/>
  <c r="AZ60" i="2" s="1"/>
  <c r="O45" i="2"/>
  <c r="AV26" i="1" s="1"/>
  <c r="AV50" i="2"/>
  <c r="BA50" i="2" s="1"/>
  <c r="AV48" i="2"/>
  <c r="AV22" i="2"/>
  <c r="AV53" i="2"/>
  <c r="AV6" i="2"/>
  <c r="AV10" i="2"/>
  <c r="AV55" i="2"/>
  <c r="AZ55" i="2" s="1"/>
  <c r="AV57" i="2"/>
  <c r="BA57" i="2" s="1"/>
  <c r="AV8" i="2"/>
  <c r="AZ8" i="2" s="1"/>
  <c r="AV54" i="2"/>
  <c r="AV32" i="2"/>
  <c r="BA32" i="2" s="1"/>
  <c r="AV47" i="2"/>
  <c r="BA47" i="2" s="1"/>
  <c r="AV59" i="2"/>
  <c r="BA59" i="2" s="1"/>
  <c r="AV52" i="2"/>
  <c r="AZ52" i="2" s="1"/>
  <c r="AY1" i="2"/>
  <c r="AX5" i="2" s="1"/>
  <c r="AV41" i="2"/>
  <c r="BA41" i="2" s="1"/>
  <c r="AV16" i="2"/>
  <c r="AZ16" i="2" s="1"/>
  <c r="AV39" i="2"/>
  <c r="BA39" i="2" s="1"/>
  <c r="AV29" i="2"/>
  <c r="AZ29" i="2" s="1"/>
  <c r="AV42" i="2"/>
  <c r="AZ42" i="2" s="1"/>
  <c r="AV43" i="2"/>
  <c r="BA43" i="2" s="1"/>
  <c r="AV14" i="2"/>
  <c r="AZ14" i="2" s="1"/>
  <c r="AV18" i="2"/>
  <c r="BA18" i="2" s="1"/>
  <c r="AV21" i="2"/>
  <c r="BA21" i="2" s="1"/>
  <c r="AV17" i="2"/>
  <c r="BA17" i="2" s="1"/>
  <c r="AV30" i="2"/>
  <c r="BA30" i="2" s="1"/>
  <c r="AV13" i="2"/>
  <c r="AZ13" i="2" s="1"/>
  <c r="AV27" i="2"/>
  <c r="AZ27" i="2" s="1"/>
  <c r="AV19" i="2"/>
  <c r="BA19" i="2" s="1"/>
  <c r="AV40" i="2"/>
  <c r="AZ40" i="2" s="1"/>
  <c r="AV15" i="2"/>
  <c r="BA15" i="2" s="1"/>
  <c r="AV26" i="2"/>
  <c r="BA26" i="2" s="1"/>
  <c r="AV5" i="2"/>
  <c r="AZ5" i="2" s="1"/>
  <c r="AV58" i="2"/>
  <c r="AZ58" i="2" s="1"/>
  <c r="AV25" i="2"/>
  <c r="BA25" i="2" s="1"/>
  <c r="AV56" i="2"/>
  <c r="BA56" i="2" s="1"/>
  <c r="AV23" i="2"/>
  <c r="AZ23" i="2" s="1"/>
  <c r="AV7" i="2"/>
  <c r="AZ7" i="2" s="1"/>
  <c r="AV46" i="2"/>
  <c r="BA46" i="2" s="1"/>
  <c r="BA34" i="2"/>
  <c r="AZ34" i="2"/>
  <c r="BA28" i="2"/>
  <c r="AZ28" i="2"/>
  <c r="AZ31" i="2"/>
  <c r="BA31" i="2"/>
  <c r="AZ11" i="2"/>
  <c r="BA11" i="2"/>
  <c r="BA48" i="2"/>
  <c r="AZ48" i="2"/>
  <c r="BA6" i="2"/>
  <c r="AZ6" i="2"/>
  <c r="AZ51" i="2"/>
  <c r="BA51" i="2"/>
  <c r="BA38" i="2"/>
  <c r="AZ38" i="2"/>
  <c r="BA35" i="2"/>
  <c r="AZ35" i="2"/>
  <c r="AZ54" i="2"/>
  <c r="BA54" i="2"/>
  <c r="BA53" i="2"/>
  <c r="AZ53" i="2"/>
  <c r="AZ9" i="2"/>
  <c r="AZ50" i="2"/>
  <c r="AZ10" i="2"/>
  <c r="BA10" i="2"/>
  <c r="AZ49" i="2"/>
  <c r="BA49" i="2"/>
  <c r="BA44" i="2"/>
  <c r="AZ44" i="2"/>
  <c r="BA22" i="2"/>
  <c r="AZ22" i="2"/>
  <c r="BA16" i="2"/>
  <c r="AZ37" i="2"/>
  <c r="BA37" i="2"/>
  <c r="BA36" i="2" l="1"/>
  <c r="BA20" i="2"/>
  <c r="AZ32" i="2"/>
  <c r="AZ59" i="2"/>
  <c r="BA33" i="2"/>
  <c r="BA8" i="2"/>
  <c r="AZ12" i="2"/>
  <c r="BA60" i="2"/>
  <c r="AZ15" i="2"/>
  <c r="BA45" i="2"/>
  <c r="AZ47" i="2"/>
  <c r="AZ57" i="2"/>
  <c r="AZ56" i="2"/>
  <c r="BA7" i="2"/>
  <c r="AZ18" i="2"/>
  <c r="P45" i="2"/>
  <c r="AV27" i="1" s="1"/>
  <c r="BA23" i="2"/>
  <c r="BA42" i="2"/>
  <c r="BA14" i="2"/>
  <c r="AZ43" i="2"/>
  <c r="BA55" i="2"/>
  <c r="BA29" i="2"/>
  <c r="AZ41" i="2"/>
  <c r="AZ26" i="2"/>
  <c r="BA52" i="2"/>
  <c r="BA5" i="2"/>
  <c r="BA2" i="2" s="1"/>
  <c r="AZ25" i="2"/>
  <c r="AZ39" i="2"/>
  <c r="AZ17" i="2"/>
  <c r="AZ30" i="2"/>
  <c r="BA27" i="2"/>
  <c r="BA40" i="2"/>
  <c r="AV2" i="2"/>
  <c r="AZ21" i="2"/>
  <c r="AX49" i="2"/>
  <c r="AW49" i="2" s="1"/>
  <c r="AY49" i="2" s="1"/>
  <c r="AX50" i="2" s="1"/>
  <c r="AW50" i="2" s="1"/>
  <c r="AY50" i="2" s="1"/>
  <c r="AZ19" i="2"/>
  <c r="BA13" i="2"/>
  <c r="AZ46" i="2"/>
  <c r="BA58" i="2"/>
  <c r="AW5" i="2"/>
  <c r="N45" i="2" l="1"/>
  <c r="CL35" i="1" s="1"/>
  <c r="AV28" i="1" s="1"/>
  <c r="AZ2" i="2"/>
  <c r="BB59" i="2" s="1"/>
  <c r="BC59" i="2" s="1"/>
  <c r="BD59" i="2" s="1"/>
  <c r="AX51" i="2"/>
  <c r="AW51" i="2" s="1"/>
  <c r="AY51" i="2" s="1"/>
  <c r="AY5" i="2"/>
  <c r="BB19" i="2" l="1"/>
  <c r="BC19" i="2" s="1"/>
  <c r="BD19" i="2" s="1"/>
  <c r="BB13" i="2"/>
  <c r="BC13" i="2" s="1"/>
  <c r="BD13" i="2" s="1"/>
  <c r="BB12" i="2"/>
  <c r="BC12" i="2" s="1"/>
  <c r="BD12" i="2" s="1"/>
  <c r="BB14" i="2"/>
  <c r="BC14" i="2" s="1"/>
  <c r="BD14" i="2" s="1"/>
  <c r="BB42" i="2"/>
  <c r="BC42" i="2" s="1"/>
  <c r="BD42" i="2" s="1"/>
  <c r="BB17" i="2"/>
  <c r="BC17" i="2" s="1"/>
  <c r="BD17" i="2" s="1"/>
  <c r="BB23" i="2"/>
  <c r="BC23" i="2" s="1"/>
  <c r="BD23" i="2" s="1"/>
  <c r="BB50" i="2"/>
  <c r="BC50" i="2" s="1"/>
  <c r="BD50" i="2" s="1"/>
  <c r="BB39" i="2"/>
  <c r="BC39" i="2" s="1"/>
  <c r="BD39" i="2" s="1"/>
  <c r="BB7" i="2"/>
  <c r="BC7" i="2" s="1"/>
  <c r="BD7" i="2" s="1"/>
  <c r="BB46" i="2"/>
  <c r="BC46" i="2" s="1"/>
  <c r="BD46" i="2" s="1"/>
  <c r="BB28" i="2"/>
  <c r="BC28" i="2" s="1"/>
  <c r="BD28" i="2" s="1"/>
  <c r="BB22" i="2"/>
  <c r="BC22" i="2" s="1"/>
  <c r="BD22" i="2" s="1"/>
  <c r="BB16" i="2"/>
  <c r="BC16" i="2" s="1"/>
  <c r="BD16" i="2" s="1"/>
  <c r="BB38" i="2"/>
  <c r="BC38" i="2" s="1"/>
  <c r="BD38" i="2" s="1"/>
  <c r="BB15" i="2"/>
  <c r="BC15" i="2" s="1"/>
  <c r="BD15" i="2" s="1"/>
  <c r="BB34" i="2"/>
  <c r="BC34" i="2" s="1"/>
  <c r="BD34" i="2" s="1"/>
  <c r="BB26" i="2"/>
  <c r="BC26" i="2" s="1"/>
  <c r="BD26" i="2" s="1"/>
  <c r="BB9" i="2"/>
  <c r="BC9" i="2" s="1"/>
  <c r="BD9" i="2" s="1"/>
  <c r="BB37" i="2"/>
  <c r="BC37" i="2" s="1"/>
  <c r="BD37" i="2" s="1"/>
  <c r="BB11" i="2"/>
  <c r="BC11" i="2" s="1"/>
  <c r="BD11" i="2" s="1"/>
  <c r="BB27" i="2"/>
  <c r="BC27" i="2" s="1"/>
  <c r="BD27" i="2" s="1"/>
  <c r="BB43" i="2"/>
  <c r="BC43" i="2" s="1"/>
  <c r="BD43" i="2" s="1"/>
  <c r="BB54" i="2"/>
  <c r="BC54" i="2" s="1"/>
  <c r="BD54" i="2" s="1"/>
  <c r="BB52" i="2"/>
  <c r="BC52" i="2" s="1"/>
  <c r="BD52" i="2" s="1"/>
  <c r="BB8" i="2"/>
  <c r="BC8" i="2" s="1"/>
  <c r="BD8" i="2" s="1"/>
  <c r="BB56" i="2"/>
  <c r="BC56" i="2" s="1"/>
  <c r="BD56" i="2" s="1"/>
  <c r="BB18" i="2"/>
  <c r="BC18" i="2" s="1"/>
  <c r="BD18" i="2" s="1"/>
  <c r="BB49" i="2"/>
  <c r="BC49" i="2" s="1"/>
  <c r="BD49" i="2" s="1"/>
  <c r="BB33" i="2"/>
  <c r="BC33" i="2" s="1"/>
  <c r="BD33" i="2" s="1"/>
  <c r="BB41" i="2"/>
  <c r="BC41" i="2" s="1"/>
  <c r="BD41" i="2" s="1"/>
  <c r="BB40" i="2"/>
  <c r="BC40" i="2" s="1"/>
  <c r="BD40" i="2" s="1"/>
  <c r="BB47" i="2"/>
  <c r="BC47" i="2" s="1"/>
  <c r="BD47" i="2" s="1"/>
  <c r="BB44" i="2"/>
  <c r="BC44" i="2" s="1"/>
  <c r="BD44" i="2" s="1"/>
  <c r="BB21" i="2"/>
  <c r="BC21" i="2" s="1"/>
  <c r="BD21" i="2" s="1"/>
  <c r="BB5" i="2"/>
  <c r="BC5" i="2" s="1"/>
  <c r="BB25" i="2"/>
  <c r="BC25" i="2" s="1"/>
  <c r="BD25" i="2" s="1"/>
  <c r="BB20" i="2"/>
  <c r="BC20" i="2" s="1"/>
  <c r="BD20" i="2" s="1"/>
  <c r="BB35" i="2"/>
  <c r="BC35" i="2" s="1"/>
  <c r="BD35" i="2" s="1"/>
  <c r="BB30" i="2"/>
  <c r="BC30" i="2" s="1"/>
  <c r="BD30" i="2" s="1"/>
  <c r="BB31" i="2"/>
  <c r="BC31" i="2" s="1"/>
  <c r="BD31" i="2" s="1"/>
  <c r="BB57" i="2"/>
  <c r="BC57" i="2" s="1"/>
  <c r="BD57" i="2" s="1"/>
  <c r="BB60" i="2"/>
  <c r="BC60" i="2" s="1"/>
  <c r="BD60" i="2" s="1"/>
  <c r="BB51" i="2"/>
  <c r="BC51" i="2" s="1"/>
  <c r="BD51" i="2" s="1"/>
  <c r="BB58" i="2"/>
  <c r="BC58" i="2" s="1"/>
  <c r="BD58" i="2" s="1"/>
  <c r="BB48" i="2"/>
  <c r="BC48" i="2" s="1"/>
  <c r="BD48" i="2" s="1"/>
  <c r="BB10" i="2"/>
  <c r="BC10" i="2" s="1"/>
  <c r="BD10" i="2" s="1"/>
  <c r="BB32" i="2"/>
  <c r="BC32" i="2" s="1"/>
  <c r="BD32" i="2" s="1"/>
  <c r="BB55" i="2"/>
  <c r="BC55" i="2" s="1"/>
  <c r="BD55" i="2" s="1"/>
  <c r="BB29" i="2"/>
  <c r="BC29" i="2" s="1"/>
  <c r="BD29" i="2" s="1"/>
  <c r="BB53" i="2"/>
  <c r="BC53" i="2" s="1"/>
  <c r="BD53" i="2" s="1"/>
  <c r="BB36" i="2"/>
  <c r="BC36" i="2" s="1"/>
  <c r="BD36" i="2" s="1"/>
  <c r="BB6" i="2"/>
  <c r="BC6" i="2" s="1"/>
  <c r="BD6" i="2" s="1"/>
  <c r="BB45" i="2"/>
  <c r="BC45" i="2" s="1"/>
  <c r="BD45" i="2" s="1"/>
  <c r="AX52" i="2"/>
  <c r="AW52" i="2" s="1"/>
  <c r="AY52" i="2" s="1"/>
  <c r="BD5" i="2"/>
  <c r="AX6" i="2"/>
  <c r="BC2" i="2" l="1"/>
  <c r="BE51" i="2" s="1"/>
  <c r="BE46" i="2"/>
  <c r="BE54" i="2"/>
  <c r="BE6" i="2"/>
  <c r="BE34" i="2"/>
  <c r="BE40" i="2"/>
  <c r="AX53" i="2"/>
  <c r="AW53" i="2" s="1"/>
  <c r="AY53" i="2" s="1"/>
  <c r="BE49" i="2"/>
  <c r="BE17" i="2"/>
  <c r="BE41" i="2"/>
  <c r="BE7" i="2"/>
  <c r="BE18" i="2"/>
  <c r="BE50" i="2"/>
  <c r="BE36" i="2"/>
  <c r="BE13" i="2"/>
  <c r="BE23" i="2"/>
  <c r="BE30" i="2"/>
  <c r="BE59" i="2"/>
  <c r="BE15" i="2"/>
  <c r="BE47" i="2"/>
  <c r="BE14" i="2"/>
  <c r="BE42" i="2"/>
  <c r="BE16" i="2"/>
  <c r="BE26" i="2"/>
  <c r="BE29" i="2"/>
  <c r="BE52" i="2"/>
  <c r="BE58" i="2"/>
  <c r="BE60" i="2"/>
  <c r="BE33" i="2"/>
  <c r="BE9" i="2"/>
  <c r="BE31" i="2"/>
  <c r="BE11" i="2"/>
  <c r="BE25" i="2"/>
  <c r="BE10" i="2"/>
  <c r="BE45" i="2"/>
  <c r="AW6" i="2"/>
  <c r="BE37" i="2"/>
  <c r="BE27" i="2"/>
  <c r="BE39" i="2"/>
  <c r="BE19" i="2"/>
  <c r="BE8" i="2"/>
  <c r="BE48" i="2"/>
  <c r="BE43" i="2"/>
  <c r="BE22" i="2"/>
  <c r="BE28" i="2"/>
  <c r="BD2" i="2"/>
  <c r="BE1" i="2" s="1"/>
  <c r="BE5" i="2"/>
  <c r="BE12" i="2"/>
  <c r="BE56" i="2"/>
  <c r="BE44" i="2"/>
  <c r="BE35" i="2"/>
  <c r="BE57" i="2"/>
  <c r="BE20" i="2"/>
  <c r="BE21" i="2"/>
  <c r="BE55" i="2"/>
  <c r="BE53" i="2"/>
  <c r="BE38" i="2"/>
  <c r="BE32" i="2" l="1"/>
  <c r="AX54" i="2"/>
  <c r="AW54" i="2" s="1"/>
  <c r="AY54" i="2" s="1"/>
  <c r="BE2" i="2"/>
  <c r="AY6" i="2"/>
  <c r="AX55" i="2" l="1"/>
  <c r="AW55" i="2" s="1"/>
  <c r="AY55" i="2" s="1"/>
  <c r="AX7" i="2"/>
  <c r="AX56" i="2" l="1"/>
  <c r="AW56" i="2" s="1"/>
  <c r="AY56" i="2" s="1"/>
  <c r="AW7" i="2"/>
  <c r="AX57" i="2" l="1"/>
  <c r="AW57" i="2" s="1"/>
  <c r="AY57" i="2" s="1"/>
  <c r="AY7" i="2"/>
  <c r="AX58" i="2" l="1"/>
  <c r="AW58" i="2" s="1"/>
  <c r="AY58" i="2" s="1"/>
  <c r="AX8" i="2"/>
  <c r="AX59" i="2" l="1"/>
  <c r="AW59" i="2" s="1"/>
  <c r="AY59" i="2" s="1"/>
  <c r="AW8" i="2"/>
  <c r="AX60" i="2" l="1"/>
  <c r="AY8" i="2"/>
  <c r="AX9" i="2" l="1"/>
  <c r="AW9" i="2" s="1"/>
  <c r="AW60" i="2"/>
  <c r="AY60" i="2" s="1"/>
  <c r="AT1" i="2" s="1"/>
  <c r="AY9" i="2" l="1"/>
  <c r="AX10" i="2" l="1"/>
  <c r="AW10" i="2" l="1"/>
  <c r="AY10" i="2" s="1"/>
  <c r="AX11" i="2" l="1"/>
  <c r="AW11" i="2" l="1"/>
  <c r="AY11" i="2" s="1"/>
  <c r="AX12" i="2" l="1"/>
  <c r="AW12" i="2" l="1"/>
  <c r="AY12" i="2" s="1"/>
  <c r="AX13" i="2" l="1"/>
  <c r="AW13" i="2" l="1"/>
  <c r="AY13" i="2" s="1"/>
  <c r="AX14" i="2" l="1"/>
  <c r="AW14" i="2" s="1"/>
  <c r="AY14" i="2" s="1"/>
  <c r="AX15" i="2" l="1"/>
  <c r="AW15" i="2" s="1"/>
  <c r="AY15" i="2" s="1"/>
  <c r="AX16" i="2" l="1"/>
  <c r="AW16" i="2" s="1"/>
  <c r="AY16" i="2" s="1"/>
  <c r="AX17" i="2" l="1"/>
  <c r="AW17" i="2" s="1"/>
  <c r="AY17" i="2" s="1"/>
  <c r="AX18" i="2" l="1"/>
  <c r="AW18" i="2" s="1"/>
  <c r="AY18" i="2" s="1"/>
  <c r="AX19" i="2" l="1"/>
  <c r="AW19" i="2" s="1"/>
  <c r="AY19" i="2" s="1"/>
  <c r="AX20" i="2" l="1"/>
  <c r="AW20" i="2" s="1"/>
  <c r="AY20" i="2" s="1"/>
  <c r="AX21" i="2" l="1"/>
  <c r="AW21" i="2" s="1"/>
  <c r="AY21" i="2" s="1"/>
  <c r="AX22" i="2" l="1"/>
  <c r="AW22" i="2" s="1"/>
  <c r="AY22" i="2" s="1"/>
  <c r="AX23" i="2" l="1"/>
  <c r="AW23" i="2" s="1"/>
  <c r="AY23" i="2" s="1"/>
  <c r="AX25" i="2" l="1"/>
  <c r="AW25" i="2" s="1"/>
  <c r="AY25" i="2" s="1"/>
  <c r="AX26" i="2" l="1"/>
  <c r="AW26" i="2" s="1"/>
  <c r="AY26" i="2" s="1"/>
  <c r="AX27" i="2" l="1"/>
  <c r="AW27" i="2" s="1"/>
  <c r="AY27" i="2" s="1"/>
  <c r="AX28" i="2" l="1"/>
  <c r="AW28" i="2" s="1"/>
  <c r="AY28" i="2" s="1"/>
  <c r="AX29" i="2" l="1"/>
  <c r="AW29" i="2" s="1"/>
  <c r="AY29" i="2" s="1"/>
  <c r="AX30" i="2" l="1"/>
  <c r="AW30" i="2" s="1"/>
  <c r="AY30" i="2" s="1"/>
  <c r="AX31" i="2" l="1"/>
  <c r="AW31" i="2" s="1"/>
  <c r="AY31" i="2" s="1"/>
  <c r="AX32" i="2" l="1"/>
  <c r="AW32" i="2" s="1"/>
  <c r="AY32" i="2" s="1"/>
  <c r="AX33" i="2" l="1"/>
  <c r="AW33" i="2" s="1"/>
  <c r="AY33" i="2" s="1"/>
  <c r="AX34" i="2" l="1"/>
  <c r="AW34" i="2" s="1"/>
  <c r="AY34" i="2" s="1"/>
  <c r="AX35" i="2" l="1"/>
  <c r="AW35" i="2" s="1"/>
  <c r="AY35" i="2" s="1"/>
  <c r="AX36" i="2" l="1"/>
  <c r="AW36" i="2" s="1"/>
  <c r="AY36" i="2" s="1"/>
  <c r="AX37" i="2" l="1"/>
  <c r="AW37" i="2" s="1"/>
  <c r="AY37" i="2" s="1"/>
  <c r="AX38" i="2" l="1"/>
  <c r="AW38" i="2" s="1"/>
  <c r="AY38" i="2" s="1"/>
  <c r="AX39" i="2" l="1"/>
  <c r="AW39" i="2" s="1"/>
  <c r="AY39" i="2" s="1"/>
  <c r="AX40" i="2" l="1"/>
  <c r="AW40" i="2" s="1"/>
  <c r="AY40" i="2" s="1"/>
  <c r="AX41" i="2" l="1"/>
  <c r="AW41" i="2" s="1"/>
  <c r="AY41" i="2" s="1"/>
  <c r="AX42" i="2" l="1"/>
  <c r="AW42" i="2" s="1"/>
  <c r="AY42" i="2" s="1"/>
  <c r="AX43" i="2" l="1"/>
  <c r="AW43" i="2" s="1"/>
  <c r="AY43" i="2" s="1"/>
  <c r="AX44" i="2" l="1"/>
  <c r="AW44" i="2" s="1"/>
  <c r="AY44" i="2" s="1"/>
  <c r="AX45" i="2" l="1"/>
  <c r="AW45" i="2" s="1"/>
  <c r="AY45" i="2" s="1"/>
  <c r="AX46" i="2" l="1"/>
  <c r="AW46" i="2" s="1"/>
  <c r="AY46" i="2" s="1"/>
  <c r="AX47" i="2" l="1"/>
  <c r="AW47" i="2" s="1"/>
  <c r="AY47" i="2" s="1"/>
  <c r="AX48" i="2" l="1"/>
  <c r="AW48" i="2" l="1"/>
  <c r="AX2" i="2"/>
  <c r="AW2" i="2" l="1"/>
  <c r="AY48" i="2"/>
</calcChain>
</file>

<file path=xl/sharedStrings.xml><?xml version="1.0" encoding="utf-8"?>
<sst xmlns="http://schemas.openxmlformats.org/spreadsheetml/2006/main" count="18358" uniqueCount="3813">
  <si>
    <t>가격</t>
  </si>
  <si>
    <t>공급가액</t>
  </si>
  <si>
    <t>부가세</t>
  </si>
  <si>
    <t>기준요율</t>
  </si>
  <si>
    <t>구분</t>
    <phoneticPr fontId="1" type="noConversion"/>
  </si>
  <si>
    <t>항목</t>
    <phoneticPr fontId="1" type="noConversion"/>
  </si>
  <si>
    <t>①차량원가</t>
    <phoneticPr fontId="1" type="noConversion"/>
  </si>
  <si>
    <t>차량소비자가격</t>
    <phoneticPr fontId="1" type="noConversion"/>
  </si>
  <si>
    <t>면세가</t>
    <phoneticPr fontId="1" type="noConversion"/>
  </si>
  <si>
    <t>제조사할인금액</t>
    <phoneticPr fontId="1" type="noConversion"/>
  </si>
  <si>
    <t>할인 후 면세가</t>
    <phoneticPr fontId="1" type="noConversion"/>
  </si>
  <si>
    <t>제조사탁송료</t>
    <phoneticPr fontId="1" type="noConversion"/>
  </si>
  <si>
    <t>세금계산서금액</t>
    <phoneticPr fontId="1" type="noConversion"/>
  </si>
  <si>
    <t>②부대원가</t>
    <phoneticPr fontId="1" type="noConversion"/>
  </si>
  <si>
    <t>취득세</t>
    <phoneticPr fontId="1" type="noConversion"/>
  </si>
  <si>
    <t>개별소비세</t>
    <phoneticPr fontId="1" type="noConversion"/>
  </si>
  <si>
    <t>금액</t>
    <phoneticPr fontId="1" type="noConversion"/>
  </si>
  <si>
    <t>증지대</t>
    <phoneticPr fontId="1" type="noConversion"/>
  </si>
  <si>
    <t>번호판비</t>
    <phoneticPr fontId="1" type="noConversion"/>
  </si>
  <si>
    <t>퀵비</t>
    <phoneticPr fontId="1" type="noConversion"/>
  </si>
  <si>
    <t>GAP</t>
    <phoneticPr fontId="1" type="noConversion"/>
  </si>
  <si>
    <t>등록대행비</t>
    <phoneticPr fontId="1" type="noConversion"/>
  </si>
  <si>
    <t>네비게이션</t>
    <phoneticPr fontId="1" type="noConversion"/>
  </si>
  <si>
    <t>블랙박스</t>
    <phoneticPr fontId="1" type="noConversion"/>
  </si>
  <si>
    <t>썬팅비(측후면)</t>
    <phoneticPr fontId="1" type="noConversion"/>
  </si>
  <si>
    <t>썬팅비(전면)</t>
    <phoneticPr fontId="1" type="noConversion"/>
  </si>
  <si>
    <t>외주탁송료</t>
    <phoneticPr fontId="1" type="noConversion"/>
  </si>
  <si>
    <t>소계</t>
    <phoneticPr fontId="1" type="noConversion"/>
  </si>
  <si>
    <t>A. 취득원가</t>
    <phoneticPr fontId="1" type="noConversion"/>
  </si>
  <si>
    <t>취득원가</t>
    <phoneticPr fontId="1" type="noConversion"/>
  </si>
  <si>
    <t>합계</t>
    <phoneticPr fontId="1" type="noConversion"/>
  </si>
  <si>
    <t>⑤추가대여료</t>
    <phoneticPr fontId="1" type="noConversion"/>
  </si>
  <si>
    <t>보험료</t>
    <phoneticPr fontId="1" type="noConversion"/>
  </si>
  <si>
    <t>자동차세</t>
    <phoneticPr fontId="1" type="noConversion"/>
  </si>
  <si>
    <t>정비비</t>
    <phoneticPr fontId="1" type="noConversion"/>
  </si>
  <si>
    <t>사고적립금</t>
    <phoneticPr fontId="1" type="noConversion"/>
  </si>
  <si>
    <t>차고지비</t>
    <phoneticPr fontId="1" type="noConversion"/>
  </si>
  <si>
    <t>B. 월 대여료</t>
    <phoneticPr fontId="1" type="noConversion"/>
  </si>
  <si>
    <t>④ + ⑤</t>
    <phoneticPr fontId="1" type="noConversion"/>
  </si>
  <si>
    <t>개별소비세(추정)</t>
    <phoneticPr fontId="1" type="noConversion"/>
  </si>
  <si>
    <t>현대</t>
  </si>
  <si>
    <t>차량명</t>
  </si>
  <si>
    <t>code</t>
  </si>
  <si>
    <t>제조사</t>
  </si>
  <si>
    <t>배기량</t>
  </si>
  <si>
    <t>실배기량</t>
  </si>
  <si>
    <t>연료</t>
  </si>
  <si>
    <t>인승</t>
  </si>
  <si>
    <t>트림</t>
  </si>
  <si>
    <t>개소세</t>
  </si>
  <si>
    <t>보험등급</t>
  </si>
  <si>
    <t>정비등급</t>
  </si>
  <si>
    <t>출고지</t>
  </si>
  <si>
    <t>썬팅쿠폰</t>
  </si>
  <si>
    <t>기아</t>
  </si>
  <si>
    <t>디젤</t>
  </si>
  <si>
    <t>상품</t>
  </si>
  <si>
    <t>차급</t>
    <phoneticPr fontId="1" type="noConversion"/>
  </si>
  <si>
    <t>차급구분기준</t>
  </si>
  <si>
    <t>승합</t>
    <phoneticPr fontId="1" type="noConversion"/>
  </si>
  <si>
    <t>카니발</t>
  </si>
  <si>
    <t>계약기간</t>
    <phoneticPr fontId="1" type="noConversion"/>
  </si>
  <si>
    <t>가솔린</t>
  </si>
  <si>
    <t>고객구분</t>
    <phoneticPr fontId="1" type="noConversion"/>
  </si>
  <si>
    <t>개인</t>
    <phoneticPr fontId="1" type="noConversion"/>
  </si>
  <si>
    <t>개인사업자</t>
    <phoneticPr fontId="1" type="noConversion"/>
  </si>
  <si>
    <t>법인사업자</t>
    <phoneticPr fontId="1" type="noConversion"/>
  </si>
  <si>
    <t>고객명</t>
    <phoneticPr fontId="1" type="noConversion"/>
  </si>
  <si>
    <t>고객연락처</t>
    <phoneticPr fontId="1" type="noConversion"/>
  </si>
  <si>
    <t>담당자연락처</t>
    <phoneticPr fontId="1" type="noConversion"/>
  </si>
  <si>
    <t>견적유효기간</t>
    <phoneticPr fontId="1" type="noConversion"/>
  </si>
  <si>
    <t>옵션</t>
    <phoneticPr fontId="1" type="noConversion"/>
  </si>
  <si>
    <t>제조사</t>
    <phoneticPr fontId="1" type="noConversion"/>
  </si>
  <si>
    <t>현대</t>
    <phoneticPr fontId="1" type="noConversion"/>
  </si>
  <si>
    <t>기아</t>
    <phoneticPr fontId="1" type="noConversion"/>
  </si>
  <si>
    <t>외장색</t>
    <phoneticPr fontId="1" type="noConversion"/>
  </si>
  <si>
    <t>내장색</t>
    <phoneticPr fontId="1" type="noConversion"/>
  </si>
  <si>
    <t>총 차량가격</t>
    <phoneticPr fontId="1" type="noConversion"/>
  </si>
  <si>
    <t>썬팅</t>
    <phoneticPr fontId="1" type="noConversion"/>
  </si>
  <si>
    <t>블랙박스</t>
    <phoneticPr fontId="1" type="noConversion"/>
  </si>
  <si>
    <t>네비게이션</t>
    <phoneticPr fontId="1" type="noConversion"/>
  </si>
  <si>
    <t>출고방식</t>
    <phoneticPr fontId="1" type="noConversion"/>
  </si>
  <si>
    <t>전면 / 농도</t>
    <phoneticPr fontId="1" type="noConversion"/>
  </si>
  <si>
    <t>측후면 / 농도</t>
    <phoneticPr fontId="1" type="noConversion"/>
  </si>
  <si>
    <t>견적1</t>
    <phoneticPr fontId="1" type="noConversion"/>
  </si>
  <si>
    <t>견적2</t>
    <phoneticPr fontId="1" type="noConversion"/>
  </si>
  <si>
    <t>견적3</t>
    <phoneticPr fontId="1" type="noConversion"/>
  </si>
  <si>
    <t>계약기간</t>
    <phoneticPr fontId="1" type="noConversion"/>
  </si>
  <si>
    <t>약정주행거리</t>
    <phoneticPr fontId="1" type="noConversion"/>
  </si>
  <si>
    <t>2만km</t>
    <phoneticPr fontId="1" type="noConversion"/>
  </si>
  <si>
    <t>3만km</t>
    <phoneticPr fontId="1" type="noConversion"/>
  </si>
  <si>
    <t>약정주행거리/년</t>
    <phoneticPr fontId="1" type="noConversion"/>
  </si>
  <si>
    <t>담보</t>
    <phoneticPr fontId="1" type="noConversion"/>
  </si>
  <si>
    <t>보증금</t>
    <phoneticPr fontId="1" type="noConversion"/>
  </si>
  <si>
    <t>선납금</t>
    <phoneticPr fontId="1" type="noConversion"/>
  </si>
  <si>
    <t>정비상품</t>
    <phoneticPr fontId="1" type="noConversion"/>
  </si>
  <si>
    <t>정비상품명</t>
    <phoneticPr fontId="1" type="noConversion"/>
  </si>
  <si>
    <t>자기부담금</t>
    <phoneticPr fontId="1" type="noConversion"/>
  </si>
  <si>
    <t>보험</t>
    <phoneticPr fontId="1" type="noConversion"/>
  </si>
  <si>
    <t>대물</t>
    <phoneticPr fontId="1" type="noConversion"/>
  </si>
  <si>
    <t>1억</t>
  </si>
  <si>
    <t>1억</t>
    <phoneticPr fontId="1" type="noConversion"/>
  </si>
  <si>
    <t>2억</t>
    <phoneticPr fontId="1" type="noConversion"/>
  </si>
  <si>
    <t>보험연령</t>
    <phoneticPr fontId="1" type="noConversion"/>
  </si>
  <si>
    <t>임직원특약</t>
    <phoneticPr fontId="1" type="noConversion"/>
  </si>
  <si>
    <t>운전자연령</t>
    <phoneticPr fontId="1" type="noConversion"/>
  </si>
  <si>
    <t>가입</t>
    <phoneticPr fontId="1" type="noConversion"/>
  </si>
  <si>
    <t>미가입</t>
    <phoneticPr fontId="1" type="noConversion"/>
  </si>
  <si>
    <t>10만원</t>
    <phoneticPr fontId="1" type="noConversion"/>
  </si>
  <si>
    <t>30만원</t>
    <phoneticPr fontId="1" type="noConversion"/>
  </si>
  <si>
    <t>계약조건</t>
    <phoneticPr fontId="1" type="noConversion"/>
  </si>
  <si>
    <t>AG수수료</t>
    <phoneticPr fontId="1" type="noConversion"/>
  </si>
  <si>
    <t>CM수수료</t>
    <phoneticPr fontId="1" type="noConversion"/>
  </si>
  <si>
    <t>% 입력</t>
  </si>
  <si>
    <t>% 입력</t>
    <phoneticPr fontId="1" type="noConversion"/>
  </si>
  <si>
    <t>금액 입력</t>
    <phoneticPr fontId="1" type="noConversion"/>
  </si>
  <si>
    <t>합계금액</t>
    <phoneticPr fontId="1" type="noConversion"/>
  </si>
  <si>
    <t>승용</t>
    <phoneticPr fontId="1" type="noConversion"/>
  </si>
  <si>
    <t>다인승</t>
    <phoneticPr fontId="1" type="noConversion"/>
  </si>
  <si>
    <t>승합</t>
    <phoneticPr fontId="1" type="noConversion"/>
  </si>
  <si>
    <t>개인</t>
    <phoneticPr fontId="1" type="noConversion"/>
  </si>
  <si>
    <t>개인사업자</t>
    <phoneticPr fontId="1" type="noConversion"/>
  </si>
  <si>
    <t>차급</t>
    <phoneticPr fontId="1" type="noConversion"/>
  </si>
  <si>
    <t>운전자연령</t>
    <phoneticPr fontId="1" type="noConversion"/>
  </si>
  <si>
    <t>대물</t>
    <phoneticPr fontId="1" type="noConversion"/>
  </si>
  <si>
    <t>고객구분</t>
    <phoneticPr fontId="1" type="noConversion"/>
  </si>
  <si>
    <t>보험료</t>
    <phoneticPr fontId="1" type="noConversion"/>
  </si>
  <si>
    <t>배기량구분명</t>
  </si>
  <si>
    <t>제조사</t>
    <phoneticPr fontId="1" type="noConversion"/>
  </si>
  <si>
    <t>차종명</t>
    <phoneticPr fontId="1" type="noConversion"/>
  </si>
  <si>
    <t>연료구분명</t>
  </si>
  <si>
    <t>차종명</t>
  </si>
  <si>
    <t>1000CC 이하</t>
    <phoneticPr fontId="1" type="noConversion"/>
  </si>
  <si>
    <t>한국GM</t>
  </si>
  <si>
    <t>마티즈</t>
  </si>
  <si>
    <t>MATIZ CREATIVE (G) 1.0 VAN</t>
  </si>
  <si>
    <t>스파크</t>
  </si>
  <si>
    <t>THE NEW SPARK (G) 1.0 LS BASIC</t>
  </si>
  <si>
    <t>THE NEW SPARK (G) 1.0 LS</t>
  </si>
  <si>
    <t>THE NEW SPARK (G) 1.0 LT</t>
  </si>
  <si>
    <t>THE NEW SPARK (G) 1.0 PREMIER</t>
  </si>
  <si>
    <t>THE NEW SPARK (G) 1.0 승용밴 BASIC</t>
  </si>
  <si>
    <t>가솔린</t>
    <phoneticPr fontId="1" type="noConversion"/>
  </si>
  <si>
    <t>THE NEW SPARK (G) 1.0 승용밴</t>
  </si>
  <si>
    <t>THE NEW SPARK (G) 1.0 마이핏 PREMIER</t>
  </si>
  <si>
    <t>THE NEW SPARK (G) 1.0 마이핏 LT</t>
  </si>
  <si>
    <t>THE NEW SPARK (G) 1.0 마이핏</t>
  </si>
  <si>
    <t>THE NEW SPARK (G) 1.0 레드픽</t>
  </si>
  <si>
    <t>모닝</t>
  </si>
  <si>
    <t>ALL NEW MORNING (G) 1.0 스마트</t>
  </si>
  <si>
    <t>ALL NEW MORNING (G) 1.0 디럭스</t>
  </si>
  <si>
    <t>ALL NEW MORNING (G) 1.0 럭셔리</t>
  </si>
  <si>
    <t>ALL NEW MORNING (G) 1.0 TURBO 럭셔리</t>
  </si>
  <si>
    <t>ALL NEW MORNING (G) 1.0 베이직+</t>
  </si>
  <si>
    <t>ALL NEW MORNING (G) 1.0 프레스티지</t>
  </si>
  <si>
    <t>ALL NEW MORNING (G) 1.0 T-GDI 프레스티지</t>
  </si>
  <si>
    <t>ALL NEW MORNING (G) 1.0 트렌디</t>
  </si>
  <si>
    <t>ALL NEW MORNING (G) 1.0 VAN</t>
  </si>
  <si>
    <t>ALL NEW MORNING (G) 1.0 VAN 고급형</t>
  </si>
  <si>
    <t>MORNING URBAN (G) 1.0 스탠다드 마이너스</t>
  </si>
  <si>
    <t>MORNING URBAN (G) 1.0 스탠다드</t>
  </si>
  <si>
    <t>MORNING URBAN (G) 1.0 프레스티지</t>
  </si>
  <si>
    <t>MORNING URBAN (G) 1.0 시그니처</t>
  </si>
  <si>
    <t>MORNING URBAN (G) 1.0 VAN</t>
  </si>
  <si>
    <t>MORNING URBAN (G) 1.0 VAN 스페셜</t>
  </si>
  <si>
    <t>LPG</t>
  </si>
  <si>
    <t>ALL NEW MORNING (L) 1.0 디럭스</t>
  </si>
  <si>
    <t>ALL NEW MORNING (L) 1.0 럭셔리</t>
  </si>
  <si>
    <t>레이</t>
  </si>
  <si>
    <t>THE NEW RAY (G) 1.0 디럭스</t>
  </si>
  <si>
    <t>THE NEW RAY (G) 1.0 트렌디</t>
  </si>
  <si>
    <t>THE NEW RAY (G) 1.0 럭셔리</t>
  </si>
  <si>
    <t>THE NEW RAY (G) 1.0 프레스티지</t>
  </si>
  <si>
    <t>THE NEW RAY (G) 1.0 VAN</t>
  </si>
  <si>
    <t>THE NEW RAY (G) 1.0 VAN 고급형</t>
  </si>
  <si>
    <t>THE NEW RAY (G) 1.0 스탠다드</t>
  </si>
  <si>
    <t>THE NEW RAY (G) 1.0 VAN 스탠다드</t>
  </si>
  <si>
    <t>RAY (G) 1.0 VAN _</t>
  </si>
  <si>
    <t>THE NEW RAY (G) 1.0 VAN 럭셔리</t>
  </si>
  <si>
    <t>THE NEW RAY (G) 1.0 VAN 스페셜</t>
  </si>
  <si>
    <t>THE NEW RAY (G) 1.0 시그니처</t>
  </si>
  <si>
    <t>THE NEW RAY (G) 1.0 VAN 프레스티지</t>
  </si>
  <si>
    <t>THE NEW RAY (G) 1.0 VAN 프레스티지 스페셜</t>
  </si>
  <si>
    <t>THE NEW RAY (L) 1.0 프레스티지</t>
  </si>
  <si>
    <t>1600CC 이하</t>
    <phoneticPr fontId="1" type="noConversion"/>
  </si>
  <si>
    <t>아베오</t>
  </si>
  <si>
    <t>AVEO (G) 1.4 4DOOR TURBO L</t>
  </si>
  <si>
    <t>AVEO (G) 1.4 4DOOR TURBO LS</t>
  </si>
  <si>
    <t>AVEO (G) 1.4 4DOOR TURBO LT</t>
  </si>
  <si>
    <t>AVEO (G) 1.4 5DOOR TURBO LS</t>
  </si>
  <si>
    <t>AVEO (G) 1.4 5DOOR TURBO LT</t>
  </si>
  <si>
    <t>말리부</t>
  </si>
  <si>
    <t>MALIBU (D) 1.6 디젤 LT</t>
  </si>
  <si>
    <t>MALIBU (D) 1.6 디젤 LT 프리미엄</t>
  </si>
  <si>
    <t>MALIBU (G) E-TURBO LS</t>
  </si>
  <si>
    <t>MALIBU (G) E-TURBO LS 디럭스</t>
  </si>
  <si>
    <t>MALIBU (G) E-TURBO LT</t>
  </si>
  <si>
    <t>MALIBU (G) E-TURBO LT 디럭스</t>
  </si>
  <si>
    <t>MALIBU (G) E-TURBO PREMIER</t>
  </si>
  <si>
    <t>MALIBU (G) E-TURBO PREMIER 프라임 세이프티</t>
  </si>
  <si>
    <t>MALIBU (G) E-TURBO 퍼펙트 블랙 PREMIER</t>
  </si>
  <si>
    <t>MALIBU (G) E-TURBO 퍼펙트 블랙 PREMIER 프라임세이프</t>
  </si>
  <si>
    <t>MALIBU (G) E-TURBO 레드라인 PREMIER</t>
  </si>
  <si>
    <t>MALIBU (G) E-TURBO 레드라인 PREMIER 프라임세이프티</t>
  </si>
  <si>
    <t>MALIBU (G) E-TURBO PREMIER 프라임세이프티</t>
  </si>
  <si>
    <t>MALIBU (G) E-TURBO 퍼펙트블랙 PREMIER</t>
  </si>
  <si>
    <t>MALIBU (G) E-TURBO 퍼펙트블랙 PREMIER 프라임세이프티</t>
  </si>
  <si>
    <t>볼트</t>
  </si>
  <si>
    <t>가솔린하이브리드</t>
  </si>
  <si>
    <t>VOLT (H) 1.5</t>
  </si>
  <si>
    <t>VOLT (H) 1.5 스마트 드라이빙 패키지</t>
  </si>
  <si>
    <t>쏘나타</t>
  </si>
  <si>
    <t>LF SONATA NEWRISE (G) 1.6 T STYLE</t>
  </si>
  <si>
    <t>LF SONATA NEWRISE (G) 1.6 T SMART</t>
  </si>
  <si>
    <t>SONATA DN8 (G) 1.6 터보 스마트</t>
  </si>
  <si>
    <t>SONATA DN8 (G) 1.6 터보 프리미엄</t>
  </si>
  <si>
    <t>SONATA DN8 (G) 1.6 터보 프리미엄 패밀리</t>
  </si>
  <si>
    <t>SONATA DN8 (G) 1.6 터보 프리미엄 밀레니얼</t>
  </si>
  <si>
    <t>SONATA DN8 (G) 1.6 터보 인스퍼레이션</t>
  </si>
  <si>
    <t>아이써티</t>
  </si>
  <si>
    <t>I30 (G) 1.4 터보 PREMIUM</t>
  </si>
  <si>
    <t>I30 (G) 1.4 터보 STYLE</t>
  </si>
  <si>
    <t>I30 (G) 1.6 터보 N LINE</t>
  </si>
  <si>
    <t>I30 (G) 1.6 터보 스포츠 에센스 에디션</t>
  </si>
  <si>
    <t>아반떼</t>
  </si>
  <si>
    <t>THE NEW AVANTE AD (D) 1.6 STYLE F/L</t>
  </si>
  <si>
    <t>THE NEW AVANTE AD (D) 1.6 SMART F/L</t>
  </si>
  <si>
    <t>THE NEW AVANTE AD (D) 1.6 PREMIUM F/L</t>
  </si>
  <si>
    <t>THE NEW AVANTE AD (G) 1.6 STYLE F/L</t>
  </si>
  <si>
    <t>THE NEW AVANTE AD (G) 1.6 SMART F/L</t>
  </si>
  <si>
    <t>THE NEW AVANTE AD (G) 1.6 PREMIUM F/L</t>
  </si>
  <si>
    <t>THE NEW AVANTE AD(G)1.6 스포츠 MODERN F/L</t>
  </si>
  <si>
    <t>THE NEW AVANTE AD(G)1.6 스포츠 PREMIUM F/L</t>
  </si>
  <si>
    <t>THE NEW AVANTE AD(G)1.6 SMART CHOICE F/L</t>
  </si>
  <si>
    <t>THE NEW AVANTE AD(G)1.6 BEST CHOICE F/L</t>
  </si>
  <si>
    <t>ALL NEW AVANTE (G) 1.6 SMART</t>
  </si>
  <si>
    <t>ALL NEW AVANTE (G) 1.6 MODERN</t>
  </si>
  <si>
    <t>ALL NEW AVANTE (G) 1.6 INSPIRATION</t>
  </si>
  <si>
    <t>ALL NEW AVANTE (G) 1.6 N SPORT</t>
  </si>
  <si>
    <t>ALL NEW AVANTE (G) 1.6 N INSPIRATION</t>
  </si>
  <si>
    <t>ALL NEW AVANTE (H) 1.6 SMART</t>
  </si>
  <si>
    <t>ALL NEW AVANTE (H) 1.6 MODERN</t>
  </si>
  <si>
    <t>ALL NEW AVANTE (H) 1.6 INSPIRATION</t>
  </si>
  <si>
    <t>THE NEW AVANTE AD (L) 1.6 렌터카 STYLE F/L</t>
  </si>
  <si>
    <t>THE NEW AVANTE AD (L) 1.6 렌터카 SMART F/L</t>
  </si>
  <si>
    <t>THE NEW AVANTE AD (L) 1.6 MODERN왼발장애F/L</t>
  </si>
  <si>
    <t>THE NEW AVANTE AD(L)1.6 모던 왼발왼손장애 F/L</t>
  </si>
  <si>
    <t>ALL NEW AVANTE (L) 1.6 렌터카 STYLE</t>
  </si>
  <si>
    <t>ALL NEW AVANTE (L) 1.6 렌터카 SMART</t>
  </si>
  <si>
    <t>ALL NEW AVANTE (L) 1.6 장애인용 MODERN 왼발</t>
  </si>
  <si>
    <t>ALL NEW AVANTE (L) 1.6 스마트 일반 자가용</t>
  </si>
  <si>
    <t>ALL NEW AVANTE (L) 1.6 스타일 일반 자가용</t>
  </si>
  <si>
    <t>ALL NEW AVANTE (L) 1.6 모던 일반 자가용</t>
  </si>
  <si>
    <t>엑센트</t>
  </si>
  <si>
    <t>ACCENT (G) 1.4 4DOOR STYLE</t>
  </si>
  <si>
    <t>ACCENT (G) 1.4 4DOOR MODERN</t>
  </si>
  <si>
    <t>ACCENT (G) 1.4 4DOOR PREMIUM</t>
  </si>
  <si>
    <t>ACCENT (G) 1.4 4DOOR SMART SPECIAL</t>
  </si>
  <si>
    <t>ACCENT (G) 1.4 WIT 5DOOR MODERN</t>
  </si>
  <si>
    <t>ACCENT (G) 1.4 WIT 5DOOR PREMIUM</t>
  </si>
  <si>
    <t>ACCENT (G) 1.4 WIT 5DOOR SMART</t>
  </si>
  <si>
    <t>벨로스터</t>
  </si>
  <si>
    <t>THE ALL-NEW VELOSTER (G) 1.4 MODERN</t>
  </si>
  <si>
    <t>THE ALL-NEW VELOSTER (G) 1.4 MODERN CORE</t>
  </si>
  <si>
    <t>THE ALL-NEW VELOSTER (G) 1.6 SPORT</t>
  </si>
  <si>
    <t>THE ALL-NEW VELOSTER (G) 1.6 SPORT CORE</t>
  </si>
  <si>
    <t>THE ALL-NEW VELOSTER (G) 1.6 JBL익스트림사운드</t>
  </si>
  <si>
    <t>THE ALL-NEW VELOSTER (G) 1.6 익스트림드라이빙에디션</t>
  </si>
  <si>
    <t>아이오닉</t>
  </si>
  <si>
    <t>THE NEW IONIQ (H) 1.6 I</t>
  </si>
  <si>
    <t>THE NEW IONIQ (H) 1.6 N</t>
  </si>
  <si>
    <t>THE NEW IONIQ (H) 1.6 Q</t>
  </si>
  <si>
    <t>THE NEW IONIQ (H) 1.6 플러그인 N</t>
  </si>
  <si>
    <t>THE NEW IONIQ (H) 1.6 플러그인 Q</t>
  </si>
  <si>
    <t>K5</t>
  </si>
  <si>
    <t>THE NEW K5 (G) 1.6 터보 프레스티지</t>
  </si>
  <si>
    <t>THE NEW K5 (G) 1.6 터보 노블레스</t>
  </si>
  <si>
    <t>THE NEW K5 (G) 1.6 터보 노블레스스페셜</t>
  </si>
  <si>
    <t>INTERACTIVE K5 (G) 1.6 터보 트렌디</t>
  </si>
  <si>
    <t>INTERACTIVE K5 (G) 1.6 터보 프레스티지</t>
  </si>
  <si>
    <t>INTERACTIVE K5 (G) 1.6 터보 노블레스</t>
  </si>
  <si>
    <t>INTERACTIVE K5 (G) 1.6 터보 시그니처</t>
  </si>
  <si>
    <t>K3</t>
  </si>
  <si>
    <t>K3 SMARTSTREAM (G) 1.6 트렌디</t>
  </si>
  <si>
    <t>K3 SMARTSTREAM (G) 1.6 럭셔리</t>
  </si>
  <si>
    <t>K3 SMARTSTREAM (G) 1.6 프레스티지</t>
  </si>
  <si>
    <t>K3 SMARTSTREAM (G) 1.6 노블레스</t>
  </si>
  <si>
    <t>K3 (G) 1.6 4도어 GT BASIC</t>
  </si>
  <si>
    <t>K3 (G) 1.6 4도어 GT PLUS</t>
  </si>
  <si>
    <t>K3 (G) 1.6 5도어 GT BASIC</t>
  </si>
  <si>
    <t>K3 (G) 1.6 5도어 GT PLUS</t>
  </si>
  <si>
    <t>K3 (G) 1.6 GT 5도어 프레스티지</t>
  </si>
  <si>
    <t>K3 (G) 1.6 GT 5도어 시그니처</t>
  </si>
  <si>
    <t>K3 SMARTSTREAM (G) 1.6 스탠다드</t>
  </si>
  <si>
    <t>K3 SMARTSTREAM (G) 1.6 시그니처</t>
  </si>
  <si>
    <t>K3 SMARTSTREAM (G) 1.6 스탠다드 LED팩</t>
  </si>
  <si>
    <t>르노삼성</t>
  </si>
  <si>
    <t>SM3</t>
  </si>
  <si>
    <t>SM3 (G) 1.6 PE</t>
  </si>
  <si>
    <t>SM3 (G) 1.6 SE</t>
  </si>
  <si>
    <t>SM3 (G) 1.6 LE</t>
  </si>
  <si>
    <t>SM6</t>
  </si>
  <si>
    <t>SM6 TCE260 (G) 1.4 SE</t>
  </si>
  <si>
    <t>SM6 TCE260 (G) 1.4 SE PLUS</t>
  </si>
  <si>
    <t>SM6 TCE260 (G) 1.4 LE</t>
  </si>
  <si>
    <t>SM6 TCE260 (G) 1.4 RE</t>
  </si>
  <si>
    <t>SM6 TCE260 (G) 1.4 PREMIERE</t>
  </si>
  <si>
    <t>클리오</t>
  </si>
  <si>
    <t>CLIO (D) 1.5 INTENS</t>
  </si>
  <si>
    <t>CLIO (D) 1.5 ZEN</t>
  </si>
  <si>
    <t>CLIO (D) 1.5 INTENS PANORAMIC</t>
  </si>
  <si>
    <t>CLIO (D) 1.5 ICONIC</t>
  </si>
  <si>
    <t>2200CC 이하</t>
    <phoneticPr fontId="1" type="noConversion"/>
  </si>
  <si>
    <t>MALIBU (G) 2.0 TURBO 퍼펙트 블랙</t>
  </si>
  <si>
    <t>MALIBU (G) 2.0 TURBO LT 스페셜</t>
  </si>
  <si>
    <t>MALIBU (G) 2.0 TURBO PREMIER 스페셜</t>
  </si>
  <si>
    <t>MALIBU (G) 2.0 TURBO 레드라인</t>
  </si>
  <si>
    <t>MALIBU (H) 1.8 하이브리드 LT</t>
  </si>
  <si>
    <t>MALIBU (H) 1.8 하이브리드 LT 디럭스</t>
  </si>
  <si>
    <t>LF SONATA (G) 2.0 CVVL STYLE SPECIAL</t>
  </si>
  <si>
    <t>LF SONATA NEWRISE (G) 2.0 STYLE</t>
  </si>
  <si>
    <t>LF SONATA NEWRISE (G) 2.0 MODERN</t>
  </si>
  <si>
    <t>LF SONATA NEWRISE (G) 2.0 PREMIUM SP</t>
  </si>
  <si>
    <t>LF SONATA NEWRISE (G) 2.0 SMART CHOICE</t>
  </si>
  <si>
    <t>LF SONATA NEWRISE (G) 2.0 SMART SPECIAL</t>
  </si>
  <si>
    <t>LF SONATA NEWRISE(G)2.0 EXTREMESELECTION</t>
  </si>
  <si>
    <t>LF SONATA NEWRISE (G) 2.0 T SMART</t>
  </si>
  <si>
    <t>LF SONATA NEWRISE (G) 2.0 T EXCLUSIVE</t>
  </si>
  <si>
    <t>SONATA DN8 (G) 2.0 스마트</t>
  </si>
  <si>
    <t>SONATA DN8 (G) 2.0 프리미엄</t>
  </si>
  <si>
    <t>SONATA DN8 (G) 2.0 프리미엄 패밀리</t>
  </si>
  <si>
    <t>SONATA DN8 (G) 2.0 프리미엄 밀레니얼</t>
  </si>
  <si>
    <t>SONATA DN8 (G) 2.0 인스퍼레이션</t>
  </si>
  <si>
    <t>LF SONATA NEWRISE (H) 2.0 SMART</t>
  </si>
  <si>
    <t>LF SONATA NEWRISE (H) 2.0 MODERN</t>
  </si>
  <si>
    <t>LF SONATA NEWRISE (H) 2.0 PREMIUM</t>
  </si>
  <si>
    <t>LF SONATA NEWRISE (H) 2.0 PREMIUM SP</t>
  </si>
  <si>
    <t>LF SONATA NEWRISE (H) 2.0 플러그인 PREMIUM</t>
  </si>
  <si>
    <t>LF SONATA NEWRISE (H) 2.0 플러그인 EXCLUSIVE</t>
  </si>
  <si>
    <t>SONATA DN8 (H) 2.0 스마트</t>
  </si>
  <si>
    <t>SONATA DN8 (H) 2.0 프리미엄</t>
  </si>
  <si>
    <t>SONATA DN8 (H) 2.0 프리미엄패밀리</t>
  </si>
  <si>
    <t>SONATA DN8 (H) 2.0 프리미엄밀레니얼</t>
  </si>
  <si>
    <t>SONATA DN8 (H) 2.0 인스퍼레이션</t>
  </si>
  <si>
    <t>LF SONATA NEWRISE (L) 2.0 렌터카 STYLE</t>
  </si>
  <si>
    <t>LF SONATA NEWRISE (L) 2.0 렌터카 PREMIUM</t>
  </si>
  <si>
    <t>LF SONATA NEWRISE (L) 2.0 장애인용 SMART 왼발</t>
  </si>
  <si>
    <t>LF SONATA NEWRISE (L) 2.0 장애인용 MODERN 왼발</t>
  </si>
  <si>
    <t>LF SONATA NEWRISE(L)2.0 렌터카 MODERN(19MY)</t>
  </si>
  <si>
    <t>SONATA DN8 (L) 2.0 스타일 렌터카</t>
  </si>
  <si>
    <t>SONATA DN8 (L) 2.0 스마트 렌터카</t>
  </si>
  <si>
    <t>SONATA DN8 (L) 2.0 장애인용 모던 왼발</t>
  </si>
  <si>
    <t>SONATA DN8 (L) 2.0 장애인용 프리미엄 왼발</t>
  </si>
  <si>
    <t>SONATA DN8 (L) 2.0 장애인용 인스퍼레이션 왼발</t>
  </si>
  <si>
    <t>SONATA DN8 (L) 2.0 프리미엄 일반 자가용</t>
  </si>
  <si>
    <t>SONATA DN8 (L) 2.0 인스퍼레이션 일반 자가용</t>
  </si>
  <si>
    <t>SONATA DN8 (L) 2.0 프리미엄패밀리 일반 자가용</t>
  </si>
  <si>
    <t>SONATA DN8 (L) 2.0 프리미엄밀레니얼 일반 자가용</t>
  </si>
  <si>
    <t>THE ALL-NEW VELOSTER (G) 2.0 N</t>
  </si>
  <si>
    <t>아이포티</t>
  </si>
  <si>
    <t>I40 (G) 2.0 PREMIUM</t>
  </si>
  <si>
    <t>I40 (G) 2.0 SMART</t>
  </si>
  <si>
    <t>I40 SALOON (G) 2.0 SMART</t>
  </si>
  <si>
    <t>I40 SALOON (G) 2.0 PREMIUM</t>
  </si>
  <si>
    <t>제네시스</t>
  </si>
  <si>
    <t>GENESIS G70 (D) 2.2 ADVANCED</t>
  </si>
  <si>
    <t>GENESIS G70 (D) 2.2 ELITE</t>
  </si>
  <si>
    <t>THE NEW GENESIS G70 (D) 2.2</t>
  </si>
  <si>
    <t>GENESIS G70 (G) 2.0 T ADVANCED</t>
  </si>
  <si>
    <t>GENESIS G70 (G) 2.0 T SPORT PACKAGE</t>
  </si>
  <si>
    <t>GENESIS G70 (G) 2.0 T ELITE</t>
  </si>
  <si>
    <t>THE NEW GENESIS G70 (G) 2.0 T</t>
  </si>
  <si>
    <t>THE ALL NEW GENESIS G80 (D) 2.2</t>
  </si>
  <si>
    <t>GENESIS G80 (D) 2.2</t>
    <phoneticPr fontId="1" type="noConversion"/>
  </si>
  <si>
    <t>THE NEW K5 (D) 1.7 프레스티지</t>
  </si>
  <si>
    <t>THE NEW K5 (D) 1.7 노블레스스페셜</t>
  </si>
  <si>
    <t>K5 MX (G) 2.0 럭셔리</t>
  </si>
  <si>
    <t>THE NEW K5 (G) 2.0 럭셔리</t>
  </si>
  <si>
    <t>THE NEW K5 (G) 2.0 프레스티지</t>
  </si>
  <si>
    <t>THE NEW K5 (G) 2.0 노블레스</t>
  </si>
  <si>
    <t>THE NEW K5 (G) 2.0 인텔리전트</t>
  </si>
  <si>
    <t>INTERACTIVE K5 (G) 2.0 트렌디</t>
  </si>
  <si>
    <t>INTERACTIVE K5 (G) 2.0 프레스티지</t>
  </si>
  <si>
    <t>INTERACTIVE K5 (G) 2.0 노블레스</t>
  </si>
  <si>
    <t>INTERACTIVE K5 (G) 2.0 시그니처</t>
  </si>
  <si>
    <t>THE NEW K5 (H) 2.0 프레스티지</t>
  </si>
  <si>
    <t>THE NEW K5 (H) 2.0 노블레스</t>
  </si>
  <si>
    <t>THE NEW K5 (H) 2.0 노블레스스페셜</t>
  </si>
  <si>
    <t>INTERACTIVE K5 (H) 2.0 트렌디</t>
  </si>
  <si>
    <t>INTERACTIVE K5 (H) 2.0 프레스티지</t>
  </si>
  <si>
    <t>INTERACTIVE K5 (H) 2.0 노블레스</t>
  </si>
  <si>
    <t>INTERACTIVE K5 (H) 2.0 시그니처</t>
  </si>
  <si>
    <t>K5 (L) 2.0 TF 택시 럭셔리 A/T</t>
  </si>
  <si>
    <t>INTERACTIVE K5 (L) 2.0</t>
  </si>
  <si>
    <t>THE NEW K5 (L) 2.0 럭셔리_렌터카</t>
  </si>
  <si>
    <t>THE NEW K5 (L) 2.0 프레스티지_렌터카</t>
  </si>
  <si>
    <t>THE NEW K5 (L) 2.0 노블레스_렌터카</t>
  </si>
  <si>
    <t>THE NEW K5 (L) 2.0 노블레스스페셜_렌터카</t>
  </si>
  <si>
    <t>THE NEW K5 (L) 2.0 노블레스 왼발장애</t>
  </si>
  <si>
    <t>THE NEW K5 (L) 2.0 노블레스스페셜 왼발장애</t>
  </si>
  <si>
    <t>INTERACTIVE K5 (L) 2.0 스탠다드 렌터카</t>
  </si>
  <si>
    <t>INTERACTIVE K5 (L) 2.0 트렌디 렌터카</t>
  </si>
  <si>
    <t>INTERACTIVE K5 (L) 2.0 프레스티지 일반 자가용</t>
  </si>
  <si>
    <t>INTERACTIVE K5 (L) 2.0 노블레스 일반 자가용</t>
  </si>
  <si>
    <t>INTERACTIVE K5 (L) 2.0 시그니처 일반 자가용</t>
  </si>
  <si>
    <t>INTERACTIVE K5 (L) 2.0 프레스티지 왼발장애</t>
  </si>
  <si>
    <t>INTERACTIVE K5 (L) 2.0 노블레스 왼발장애</t>
  </si>
  <si>
    <t>INTERACTIVE K5 (L) 2.0 시그니처 왼발장애</t>
  </si>
  <si>
    <t>K7</t>
  </si>
  <si>
    <t>ALL NEW K7 (D) 2.2 프레스티지</t>
  </si>
  <si>
    <t>ALL NEW K7 (D) 2.2 노블레스</t>
  </si>
  <si>
    <t>K7 PREMIER (D) 2.2 프레스티지</t>
  </si>
  <si>
    <t>K7 PREMIER (D) 2.2 노블레스</t>
  </si>
  <si>
    <t>스팅어</t>
  </si>
  <si>
    <t>STINGER (D) 2.2 프라임</t>
  </si>
  <si>
    <t>STINGER (D) 2.2 플래티넘</t>
  </si>
  <si>
    <t>STINGER (D) 2.2 프라임라이트</t>
  </si>
  <si>
    <t>STINGER (G) 2.0 터보 프라임</t>
  </si>
  <si>
    <t>STINGER (G) 2.0 터보 플래티넘</t>
  </si>
  <si>
    <t>STINGER (G) 2.0 터보 알칸타라 에디션</t>
  </si>
  <si>
    <t>SM5</t>
  </si>
  <si>
    <t>SM5 (G) 2.0 CLASSIC</t>
  </si>
  <si>
    <t>SM5 (L) 2.0 고급형</t>
  </si>
  <si>
    <t>SM7</t>
  </si>
  <si>
    <t>SM7 (L) 2.0 장애인용</t>
  </si>
  <si>
    <t>SM7 (L) 2.0 택시/렌터카</t>
  </si>
  <si>
    <t>SM7 (L) 2.0 LPE</t>
  </si>
  <si>
    <t>SM6 (G) 1.6 SE</t>
  </si>
  <si>
    <t>SM6 (G) 1.6 LE</t>
  </si>
  <si>
    <t>SM6 (G) 1.6 RE</t>
  </si>
  <si>
    <t>SM6 (G) 1.6 PREMIERE</t>
  </si>
  <si>
    <t>SM6 TCE300 (G) 1.8 LE</t>
  </si>
  <si>
    <t>SM6 TCE300 (G) 1.8 PREMIERE</t>
  </si>
  <si>
    <t>SM6 (G) 2.0 LE</t>
  </si>
  <si>
    <t>SM6 (G) 2.0 PRIME PE</t>
  </si>
  <si>
    <t>SM6 (G) 2.0 PRIME SE</t>
  </si>
  <si>
    <t>SM6 (G) 2.0 PREMIERE</t>
  </si>
  <si>
    <t>SM6 (L) 2.0 LPE SE (장애인용)</t>
  </si>
  <si>
    <t>SM6 (L) 2.0 LPE LE (장애인용)</t>
  </si>
  <si>
    <t>SM6 (L) 2.0 LPE RE (장애인용)</t>
  </si>
  <si>
    <t>SM6 (L) 2.0 LPE SE_</t>
  </si>
  <si>
    <t>SM6 (L) 2.0 LPE LE_</t>
  </si>
  <si>
    <t>SM6 (L) 2.0 LPE RE_</t>
  </si>
  <si>
    <t>SM6 (L) 2.0 LPE SE</t>
  </si>
  <si>
    <t>SM6 (L) 2.0 LPE SE PLUS</t>
  </si>
  <si>
    <t>SM6 (L) 2.0 LPE LE</t>
  </si>
  <si>
    <t>SM6 (L) 2.0 LPE RE</t>
  </si>
  <si>
    <t>3200CC 이하</t>
    <phoneticPr fontId="1" type="noConversion"/>
  </si>
  <si>
    <t>임팔라</t>
  </si>
  <si>
    <t>IMPALA (G) 2.5 LT</t>
  </si>
  <si>
    <t>IMPALA (G) 2.5 PREMIER</t>
  </si>
  <si>
    <t>IMPALA (G) 2.5 미드나이트 블랙</t>
  </si>
  <si>
    <t>SONATA DN8 (G) 2.5 N LINE 프리미엄</t>
  </si>
  <si>
    <t>SONATA DN8 (G) 2.5 N LINE 익스클루시브</t>
  </si>
  <si>
    <t>SONATA DN8 (G) 2.5 N LINE 인스퍼레이션</t>
  </si>
  <si>
    <t>그랜져</t>
  </si>
  <si>
    <t>GRANDEUR IG (G) 2.4 렌터카 MODERN BASIC</t>
  </si>
  <si>
    <t>THE NEW GRANDEUR (G) 2.5 프리미엄</t>
  </si>
  <si>
    <t>THE NEW GRANDEUR (G) 2.5 익스클루시브</t>
  </si>
  <si>
    <t>THE NEW GRANDEUR (G) 2.5 캘리그래피</t>
  </si>
  <si>
    <t>GRANDEUR IG (G) 3.0 렌터카 MODERN BASIC</t>
  </si>
  <si>
    <t>THE NEW GRANDEUR (H) 2.4 프리미엄</t>
  </si>
  <si>
    <t>THE NEW GRANDEUR (H) 2.4 익스클루시브</t>
  </si>
  <si>
    <t>THE NEW GRANDEUR (H) 2.4 캘리그래피</t>
  </si>
  <si>
    <t>GRANDEUR IG (L) 3.0 렌터카 MODERN BASIC</t>
  </si>
  <si>
    <t>GRANDEUR IG (L) 3.0 렌터카 EXCLUSIVE</t>
  </si>
  <si>
    <t>GRANDEUR IG (L) 3.0 렌터카 MODERN</t>
    <phoneticPr fontId="1" type="noConversion"/>
  </si>
  <si>
    <t>GRANDEUR IG (L) 3.0 택시 개인형</t>
  </si>
  <si>
    <t>THE NEW GRANDEUR (L) 3.0 렌터카 프리미엄</t>
  </si>
  <si>
    <t>THE NEW GRANDEUR (L) 3.0 렌터카 익스클루시브</t>
  </si>
  <si>
    <t>THE NEW GRANDEUR (L) 3.0 장애인용 프리미엄 왼발</t>
  </si>
  <si>
    <t>THE NEW GRANDEUR (L) 3.0 장애인용 익스클루시브 왼발</t>
  </si>
  <si>
    <t>THE NEW GRANDEUR (L) 3.0 프리미엄 일반 자가용</t>
  </si>
  <si>
    <t>THE NEW GRANDEUR (L) 3.0 익스클루시브 일반 자가용</t>
  </si>
  <si>
    <t>THE NEW GRANDEUR (L) 3.0 렌터카 모던</t>
  </si>
  <si>
    <t>THE NEW GRANDEUR (L) 3.0 장애인용 프리미엄 양발장애</t>
  </si>
  <si>
    <t>THE NEW GRANDEUR (L) 3.0 장애인용 익스클루시브 양발</t>
  </si>
  <si>
    <t>THE ALL NEW GENESIS G80 (G) 2.5T</t>
  </si>
  <si>
    <t>ALL NEW K7 (G) 2.4 프레스티지</t>
  </si>
  <si>
    <t>ALL NEW K7 (G) 2.4 노블레스</t>
  </si>
  <si>
    <t>K7 PREMIER (G) 2.5 프레스티지</t>
  </si>
  <si>
    <t>K7 PREMIER (G) 2.5 노블레스</t>
  </si>
  <si>
    <t>K7 PREMIER (G) 2.5 X 에디션</t>
  </si>
  <si>
    <t>ALL NEW K7 (G) 3.0 프레스티지</t>
  </si>
  <si>
    <t>ALL NEW K7 (G) 3.0 노블레스</t>
  </si>
  <si>
    <t>K7 PREMIER (G) 3.0 노블레스</t>
  </si>
  <si>
    <t>K7 PREMIER (G) 3.0 시그니처</t>
  </si>
  <si>
    <t>ALL NEW K7 (H) 2.4 프레스티지</t>
  </si>
  <si>
    <t>ALL NEW K7 (H) 2.4 노블레스</t>
  </si>
  <si>
    <t>ALL NEW K7 (H) 2.4 노블레스스페셜</t>
  </si>
  <si>
    <t>K7 PREMIER (H) 2.4 프레스티지</t>
  </si>
  <si>
    <t>K7 PREMIER (H) 2.4 노블레스</t>
  </si>
  <si>
    <t>K7 PREMIER (H) 2.4 시그니처</t>
  </si>
  <si>
    <t>ALL NEW K7 (L) 3.0 럭셔리_렌터카</t>
  </si>
  <si>
    <t>ALL NEW K7 (L) 3.0 프레스티지_렌터카</t>
  </si>
  <si>
    <t>ALL NEW K7 (L) 3.0 프레스티지 왼발장애</t>
  </si>
  <si>
    <t>ALL NEW K7 (L) 3.0 디럭스_렌터카</t>
  </si>
  <si>
    <t>ALL NEW K7 (L) 3.0 노블레스 왼발장애</t>
  </si>
  <si>
    <t>K7 PREMIER (L) 3.0 스탠다드 렌터카</t>
  </si>
  <si>
    <t>K7 PREMIER (L) 3.0 트렌디 렌터카</t>
  </si>
  <si>
    <t>K7 PREMIER (L) 3.0 프레스티지 렌터카</t>
  </si>
  <si>
    <t>K7 PREMIER (L) 3.0 프레스티지 일반 자가용</t>
  </si>
  <si>
    <t>K7 PREMIER (L) 3.0 노블레스 일반 자가용</t>
  </si>
  <si>
    <t>K7 PREMIER (L) 3.0 프레스티지 왼발장애</t>
  </si>
  <si>
    <t>K7 PREMIER (L) 3.0 노블레스 왼발장애</t>
  </si>
  <si>
    <t>STINGER MEISTER (G) 2.5 터보 플래티넘</t>
  </si>
  <si>
    <t>STINGER MEISTER (G) 2.5 터보 마스터즈</t>
  </si>
  <si>
    <t>SM7 (G) 2.5 V6</t>
  </si>
  <si>
    <t>3900CC 이하</t>
    <phoneticPr fontId="1" type="noConversion"/>
  </si>
  <si>
    <t>IMPALA (G) 3.6 PREMIER</t>
  </si>
  <si>
    <t>IMPALA (G) 3.6 미드나이트 블랙</t>
  </si>
  <si>
    <t>THE NEW GRANDEUR (G) 3.3 프리미엄</t>
  </si>
  <si>
    <t>THE NEW GRANDEUR (G) 3.3 익스클루시브</t>
  </si>
  <si>
    <t>THE NEW GRANDEUR (G) 3.3 캘리그래피</t>
  </si>
  <si>
    <t>GENESIS G80 (G) 3.3 LUXURY SPECIAL</t>
  </si>
  <si>
    <t>GENESIS G80 (G) 3.8</t>
  </si>
  <si>
    <t>GENESIS EQ900 (G) 3.3 T LUXURY</t>
  </si>
  <si>
    <t>GENESIS EQ900 (G) 3.3 T PREMIUM LUXURY</t>
  </si>
  <si>
    <t>GENESIS EQ900 (G) 3.3 T PRESTIGE</t>
  </si>
  <si>
    <t>GENESIS EQ900 (G) 3.8 LUXURY</t>
  </si>
  <si>
    <t>GENESIS EQ900 (G) 3.8 PREMIUM LUXURY</t>
  </si>
  <si>
    <t>GENESIS EQ900 (G) 3.8 PRESTIGE</t>
  </si>
  <si>
    <t>GENESIS G70 (G) 3.3 T SPORT ELITE</t>
  </si>
  <si>
    <t>GENESIS G70 (G) 3.3 T SPORT PRESTIGE</t>
  </si>
  <si>
    <t>THE NEW GENESIS G70 (G) 3.3 T</t>
  </si>
  <si>
    <t>GENESIS G90 (G) 3.3T LUXURY</t>
  </si>
  <si>
    <t>GENESIS G90 (G) 3.3T PREMIUM LUXURY</t>
  </si>
  <si>
    <t>GENESIS G90 (G) 3.3T PRESTIGE</t>
  </si>
  <si>
    <t>GENESIS G90 (G) 3.8 LUXURY</t>
  </si>
  <si>
    <t>GENESIS G90 (G) 3.8 PREMIUM LUXURY</t>
  </si>
  <si>
    <t>GENESIS G90 (G) 3.8 PRESTIGE</t>
  </si>
  <si>
    <t>THE ALL NEW GENESIS G80 (G) 3.5T</t>
  </si>
  <si>
    <t>ALL NEW K7 (G) 3.3 노블레스</t>
  </si>
  <si>
    <t>ALL NEW K7 (G) 3.3 노블레스스페셜</t>
  </si>
  <si>
    <t>K9</t>
  </si>
  <si>
    <t>THE K9 (G) 3.3 T 마스터즈II</t>
  </si>
  <si>
    <t>THE K9 (G) 3.3 T 마스터즈III</t>
  </si>
  <si>
    <t>THE K9 (G) 3.3 T 그랜드마스터즈</t>
  </si>
  <si>
    <t>THE K9 (G) 3.3 T 마스터즈</t>
  </si>
  <si>
    <t>THE K9 (G) 3.3 T 그랜드마스터즈 베스트셀렉션Ⅱ</t>
  </si>
  <si>
    <t>THE K9 (G) 3.8 플래티넘I</t>
  </si>
  <si>
    <t>THE K9 (G) 3.8 플래티넘II</t>
  </si>
  <si>
    <t>THE K9 (G) 3.8 플래티넘III</t>
  </si>
  <si>
    <t>THE K9 (G) 3.8 그랜드플래티넘</t>
  </si>
  <si>
    <t>THE K9 (G) 3.8 플래티넘</t>
  </si>
  <si>
    <t>THE K9 (G) 3.8 플래티넘 베스트셀렉션Ⅰ</t>
  </si>
  <si>
    <t>THE K9 (G) 3.8 그랜드플래티넘 베스트셀렉션Ⅱ</t>
  </si>
  <si>
    <t>STINGER (G) 3.3 터보 GT</t>
  </si>
  <si>
    <t>STINGER MEISTER (G) 3.3 터보 마스터즈</t>
  </si>
  <si>
    <t>3900CC 초과</t>
    <phoneticPr fontId="1" type="noConversion"/>
  </si>
  <si>
    <t>GENESIS EQ900 (G) 5.0 PRESTIGE</t>
  </si>
  <si>
    <t>GENESIS EQ900 (G) 5.0 PRESTIGE LIMOUSINE</t>
  </si>
  <si>
    <t>GENESIS G90 (G) 5.0 PRESTIGE</t>
  </si>
  <si>
    <t>GENESIS G90 L (G) 5.0 PRESTIGE</t>
  </si>
  <si>
    <t>GENESIS G90 (G) 5.0 STARDUST</t>
  </si>
  <si>
    <t>THE K9 (G) 5.0 퀀텀</t>
  </si>
  <si>
    <t>쌍용</t>
  </si>
  <si>
    <t>체어맨</t>
  </si>
  <si>
    <t>CHAIRMAN W (G) 5.0 V8 5000</t>
  </si>
  <si>
    <t>RV고가형(2000CC 초과)</t>
    <phoneticPr fontId="1" type="noConversion"/>
  </si>
  <si>
    <t>트래버스</t>
  </si>
  <si>
    <t>TRAVERSE (G) 3.6 LT LEATHER</t>
  </si>
  <si>
    <t>TRAVERSE (G) 3.6 LT LEATHER PREMIUM</t>
  </si>
  <si>
    <t>TRAVERSE (G) 3.6 RS</t>
  </si>
  <si>
    <t>TRAVERSE (G) 3.6 PREMIER</t>
  </si>
  <si>
    <t>TRAVERSE (G) 3.6 REDLINE</t>
  </si>
  <si>
    <t>그랜드</t>
  </si>
  <si>
    <t>THE NEW GRAND STAREX(D)2.5 리무진 익스클루시브 6인</t>
  </si>
  <si>
    <t>THE NEW GRAND STAREX(D)2.5 리무진 듀얼 선루프 6인</t>
  </si>
  <si>
    <t>THE NEW GRAND STAREX(D)2.5 리무진 익스클루시브 9인</t>
  </si>
  <si>
    <t>THE NEW GRAND STAREX(D)2.5 리무진 듀얼 선루프 9인</t>
  </si>
  <si>
    <t>THE NEW GRAND STAREX(D)2.5 어반 프리미엄 9인</t>
  </si>
  <si>
    <t>THE NEW GRAND STAREX(D)2.5 어반 프리미엄스페셜 9인</t>
  </si>
  <si>
    <t>THE NEW GRAND STAREX(D)2.5 어반 익스클루시브 9인</t>
  </si>
  <si>
    <t>싼타페</t>
  </si>
  <si>
    <t>SANTAFE TM (D) 2.2 익스클루시브 5인승</t>
  </si>
  <si>
    <t>SANTAFE TM (D) 2.2 프레스티지 5인승</t>
  </si>
  <si>
    <t>SANTAFE TM (D) 2.2 익스클루시브 7인승</t>
  </si>
  <si>
    <t>SANTAFE TM (D) 2.2 프레스티지 7인승</t>
  </si>
  <si>
    <t>SANTAFE TM (D) 2.2 익스클루시브 5인승 4WD</t>
  </si>
  <si>
    <t>SANTAFE TM (D) 2.2 프레스티지 5인승 4WD</t>
  </si>
  <si>
    <t>SANTAFE TM (D) 2.2 익스클루시브 7인승 4WD</t>
  </si>
  <si>
    <t>SANTAFE TM (D) 2.2 프레스티지 7인승 4WD</t>
  </si>
  <si>
    <t>SANTAFE TM (D) 2.2 인스퍼레이션 5인승</t>
  </si>
  <si>
    <t>SANTAFE TM (D) 2.2 인스퍼레이션 5인승 4WD</t>
  </si>
  <si>
    <t>SANTAFE TM (D) 2.2 인스퍼레이션 7인승</t>
  </si>
  <si>
    <t>SANTAFE TM (D) 2.2 인스퍼레이션 7인승 4WD</t>
  </si>
  <si>
    <t>SANTAFE TM (D) 2.2 프리미엄 5인승</t>
  </si>
  <si>
    <t>SANTAFE TM (D) 2.2 프리미엄 5인승 4WD</t>
  </si>
  <si>
    <t>SANTAFE TM (D) 2.2 프리미엄 7인승</t>
  </si>
  <si>
    <t>SANTAFE TM (D) 2.2 프리미엄 7인승 4WD</t>
  </si>
  <si>
    <t>THE NEW SANTAFE (D) 2.2 프리미엄 5인승 2WD</t>
  </si>
  <si>
    <t>THE NEW SANTAFE (D) 2.2 프리미엄초이스 5인승 2WD</t>
  </si>
  <si>
    <t>THE NEW SANTAFE (D) 2.2 프레스티지 5인승 2WD</t>
  </si>
  <si>
    <t>THE NEW SANTAFE (D) 2.2 캘리그래피 5인승 2WD</t>
  </si>
  <si>
    <t>THE NEW SANTAFE (D) 2.2 프리미엄 5인승 4WD</t>
  </si>
  <si>
    <t>THE NEW SANTAFE (D) 2.2 프리미엄초이스 5인승 4WD</t>
  </si>
  <si>
    <t>THE NEW SANTAFE (D) 2.2 프레스티지 5인승 4WD</t>
  </si>
  <si>
    <t>THE NEW SANTAFE (D) 2.2 캘리그래피 5인승 4WD</t>
  </si>
  <si>
    <t>THE NEW SANTAFE (D) 2.2 프리미엄 7인승 2WD</t>
  </si>
  <si>
    <t>THE NEW SANTAFE (D) 2.2 프리미엄초이스 7인승 2WD</t>
  </si>
  <si>
    <t>THE NEW SANTAFE (D) 2.2 프레스티지 7인승 2WD</t>
  </si>
  <si>
    <t>THE NEW SANTAFE (D) 2.2 캘리그래피 7인승 2WD</t>
  </si>
  <si>
    <t>THE NEW SANTAFE (D) 2.2 프리미엄 7인승 4WD</t>
  </si>
  <si>
    <t>THE NEW SANTAFE (D) 2.2 프리미엄초이스 7인승 4WD</t>
  </si>
  <si>
    <t>THE NEW SANTAFE (D) 2.2 프레스티지 7인승 4WD</t>
  </si>
  <si>
    <t>THE NEW SANTAFE (D) 2.2 캘리그래피 7인승 4WD</t>
  </si>
  <si>
    <t>THE NEW SANTAFE (G) 2.5 프리미엄 5인승 2WD</t>
  </si>
  <si>
    <t>THE NEW SANTAFE (G) 2.5 프리미엄초이스 5인승 2WD</t>
  </si>
  <si>
    <t>THE NEW SANTAFE (G) 2.5 프레스티지 5인승 2WD</t>
  </si>
  <si>
    <t>THE NEW SANTAFE (G) 2.5 캘리그래피 5인승 2WD</t>
  </si>
  <si>
    <t>THE NEW SANTAFE (G) 2.5 프리미엄 5인승 4WD</t>
  </si>
  <si>
    <t>THE NEW SANTAFE (G) 2.5 프리미엄초이스 5인승 4WD</t>
  </si>
  <si>
    <t>THE NEW SANTAFE (G) 2.5 프레스티지 5인승 4WD</t>
  </si>
  <si>
    <t>THE NEW SANTAFE (G) 2.5 캘리그래피 5인승 4WD</t>
  </si>
  <si>
    <t>THE NEW SANTAFE (G) 2.5 프리미엄 7인승 2WD</t>
  </si>
  <si>
    <t>THE NEW SANTAFE (G) 2.5 프리미엄초이스 7인승 2WD</t>
  </si>
  <si>
    <t>THE NEW SANTAFE (G) 2.5 프레스티지 7인승 2WD</t>
  </si>
  <si>
    <t>THE NEW SANTAFE (G) 2.5 캘리그래피 7인승 2WD</t>
  </si>
  <si>
    <t>THE NEW SANTAFE (G) 2.5 프리미엄 7인승 4WD</t>
  </si>
  <si>
    <t>THE NEW SANTAFE (G) 2.5 프리미엄초이스 7인승 4WD</t>
  </si>
  <si>
    <t>THE NEW SANTAFE (G) 2.5 프레스티지 7인승 4WD</t>
  </si>
  <si>
    <t>THE NEW SANTAFE (G) 2.5 캘리그래피 7인승 4WD</t>
  </si>
  <si>
    <t>팰리세이드</t>
  </si>
  <si>
    <t>PALISADE (D) 2.2 익스클루시브 2WD 7인</t>
  </si>
  <si>
    <t>PALISADE (D) 2.2 익스클루시브 2WD 8인</t>
  </si>
  <si>
    <t>PALISADE (D) 2.2 익스클루시브 4WD 7인</t>
  </si>
  <si>
    <t>PALISADE (D) 2.2 익스클루시브 4WD 8인</t>
  </si>
  <si>
    <t>PALISADE (D) 2.2 프레스티지 2WD 7인</t>
  </si>
  <si>
    <t>PALISADE (D) 2.2 프레스티지 2WD 8인</t>
  </si>
  <si>
    <t>PALISADE (D) 2.2 프레스티지 4WD 7인</t>
  </si>
  <si>
    <t>PALISADE (D) 2.2 프레스티지 4WD 8인</t>
  </si>
  <si>
    <t>PALISADE (D) 2.2 캘리그래피 2WD 7인</t>
  </si>
  <si>
    <t>PALISADE (D) 2.2 캘리그래피 4WD 7인</t>
  </si>
  <si>
    <t>PALISADE (D) 2.2 VIP 2WD 7인</t>
  </si>
  <si>
    <t>PALISADE (D) 2.2 VIP 4WD 7인</t>
  </si>
  <si>
    <t>PALISADE (G) 3.8 익스클루시브 2WD 7인</t>
  </si>
  <si>
    <t>PALISADE (G) 3.8 익스클루시브 2WD 8인</t>
  </si>
  <si>
    <t>PALISADE (G) 3.8 익스클루시브 4WD 7인</t>
  </si>
  <si>
    <t>PALISADE (G) 3.8 익스클루시브 4WD 8인</t>
  </si>
  <si>
    <t>PALISADE (G) 3.8 프레스티지 2WD 7인</t>
  </si>
  <si>
    <t>PALISADE (G) 3.8 프레스티지 2WD 8인</t>
  </si>
  <si>
    <t>PALISADE (G) 3.8 프레스티지 4WD 7인</t>
  </si>
  <si>
    <t>PALISADE (G) 3.8 프레스티지 4WD 8인</t>
  </si>
  <si>
    <t>PALISADE (G) 3.8 캘리그래피 2WD 7인</t>
  </si>
  <si>
    <t>PALISADE (G) 3.8 캘리그래피 4WD 7인</t>
  </si>
  <si>
    <t>PALISADE (G) 3.8 VIP 2WD 7인</t>
  </si>
  <si>
    <t>PALISADE (G) 3.8 VIP 4WD 7인</t>
  </si>
  <si>
    <t>GENESIS GV80 (D) 3.0 2WD 5인승</t>
  </si>
  <si>
    <t>GENESIS GV80 (D) 3.0 4WD 5인승</t>
  </si>
  <si>
    <t>GENESIS GV80 (D) 3.0 2WD 7인승</t>
  </si>
  <si>
    <t>GENESIS GV80 (D) 3.0 4WD 7인승</t>
  </si>
  <si>
    <t>GENESIS GV80 (G) 2.5T 2WD 5인승</t>
  </si>
  <si>
    <t>GENESIS GV80 (G) 2.5T 4WD 5인승</t>
  </si>
  <si>
    <t>GENESIS GV80 (G) 2.5T 2WD 7인승</t>
  </si>
  <si>
    <t>GENESIS GV80 (G) 2.5T 4WD 7인승</t>
  </si>
  <si>
    <t>GENESIS GV80 (G) 3.5T 2WD 5인승</t>
  </si>
  <si>
    <t>GENESIS GV80 (G) 3.5T 4WD 5인승</t>
  </si>
  <si>
    <t>GENESIS GV80 (G) 3.5T 2WD 7인승</t>
  </si>
  <si>
    <t>GENESIS GV80 (G) 3.5T 4WD 7인승</t>
  </si>
  <si>
    <t>GENESIS GV70 (D) 2.2 2WD</t>
  </si>
  <si>
    <t>GENESIS GV70 (D) 2.2 4WD</t>
  </si>
  <si>
    <t>GENESIS GV70 (G) 2.5T 2WD</t>
  </si>
  <si>
    <t>GENESIS GV70 (G) 2.5T 4WD</t>
  </si>
  <si>
    <t>GENESIS GV70 (G) 3.5T 4WD</t>
  </si>
  <si>
    <t>쏘렌토</t>
  </si>
  <si>
    <t>THE MASTER SORENTO (D) 2.2 럭셔리 5인승</t>
  </si>
  <si>
    <t>THE MASTER SORENTO (D) 2.2 프레스티지 5인승</t>
  </si>
  <si>
    <t>THE MASTER SORENTO (D) 2.2 노블레스 5인승</t>
  </si>
  <si>
    <t>THE MASTER SORENTO (D) 2.2 노블레스스페셜 5인승</t>
  </si>
  <si>
    <t>THE MASTER SORENTO (D) 2.2 마스터 5인승</t>
  </si>
  <si>
    <t>THE MASTER SORENTO (D) 2.2 프레스티지 5인승 4WD</t>
  </si>
  <si>
    <t>THE MASTER SORENTO (D) 2.2 노블레스 5인승 4WD</t>
  </si>
  <si>
    <t>THE MASTER SORENTO(D)2.2 노블레스스페셜 5인승 4WD</t>
  </si>
  <si>
    <t>THE MASTER SORENTO (D) 2.2 마스터 5인승 4WD</t>
  </si>
  <si>
    <t>THE MASTER SORENTO (D) 2.2 프레스티지 7인승</t>
  </si>
  <si>
    <t>THE MASTER SORENTO (D) 2.2 노블레스 7인승</t>
  </si>
  <si>
    <t>THE MASTER SORENTO (D) 2.2 노블레스스페셜 7인승</t>
  </si>
  <si>
    <t>THE MASTER SORENTO (D) 2.2 마스터 7인승</t>
  </si>
  <si>
    <t>THE MASTER SORENTO (D) 2.2 프레스티지 7인승 4WD</t>
  </si>
  <si>
    <t>THE MASTER SORENTO (D) 2.2 노블레스 7인승 4WD</t>
  </si>
  <si>
    <t>THE MASTER SORENTO(D)2.2 노블레스스페셜 7인승 4WD</t>
  </si>
  <si>
    <t>THE MASTER SORENTO (D) 2.2 마스터 7인승 4WD</t>
  </si>
  <si>
    <t>THE MASTER SORENTO (D) 2.2 마스터스페셜 5인승</t>
  </si>
  <si>
    <t>THE MASTER SORENTO(D)2.2 마스터스페셜 5인승 4WD</t>
  </si>
  <si>
    <t>THE MASTER SORENTO (D) 2.2 마스터스페셜 7인승</t>
  </si>
  <si>
    <t>THE MASTER SORENTO(D)2.2 마스터스페셜 7인승 4WD</t>
  </si>
  <si>
    <t>SORENTO MQ4 (D) 2.2 트렌디 5인승</t>
  </si>
  <si>
    <t>SORENTO MQ4 (D) 2.2 프레스티지 5인승</t>
  </si>
  <si>
    <t>SORENTO MQ4 (D) 2.2 노블레스 5인승</t>
  </si>
  <si>
    <t>SORENTO MQ4 (D) 2.2 시그니처 5인승</t>
  </si>
  <si>
    <t>SORENTO MQ4 (D) 2.2 트렌디 5인승 4WD</t>
  </si>
  <si>
    <t>SORENTO MQ4 (D) 2.2 프레스티지 5인승 4WD</t>
  </si>
  <si>
    <t>SORENTO MQ4 (D) 2.2 노블레스 5인승 4WD</t>
  </si>
  <si>
    <t>SORENTO MQ4 (D) 2.2 시그니처 5인승 4WD</t>
  </si>
  <si>
    <t>SORENTO MQ4 (D) 2.2 트렌디 6인승</t>
  </si>
  <si>
    <t>SORENTO MQ4 (D) 2.2 프레스티지 6인승</t>
  </si>
  <si>
    <t>SORENTO MQ4 (D) 2.2 노블레스 6인승</t>
  </si>
  <si>
    <t>SORENTO MQ4 (D) 2.2 시그니처 6인승</t>
  </si>
  <si>
    <t>SORENTO MQ4 (D) 2.2 트렌디 6인승 4WD</t>
  </si>
  <si>
    <t>SORENTO MQ4 (D) 2.2 프레스티지 6인승 4WD</t>
  </si>
  <si>
    <t>SORENTO MQ4 (D) 2.2 노블레스 6인승 4WD</t>
  </si>
  <si>
    <t>SORENTO MQ4 (D) 2.2 시그니처 6인승 4WD</t>
  </si>
  <si>
    <t>SORENTO MQ4 (D) 2.2 트렌디 7인승</t>
  </si>
  <si>
    <t>SORENTO MQ4 (D) 2.2 프레스티지 7인승</t>
  </si>
  <si>
    <t>SORENTO MQ4 (D) 2.2 노블레스 7인승</t>
  </si>
  <si>
    <t>SORENTO MQ4 (D) 2.2 시그니처 7인승</t>
  </si>
  <si>
    <t>SORENTO MQ4 (D) 2.2 트렌디 7인승 4WD</t>
  </si>
  <si>
    <t>SORENTO MQ4 (D) 2.2 프레스티지 7인승 4WD</t>
  </si>
  <si>
    <t>SORENTO MQ4 (D) 2.2 노블레스 7인승 4WD</t>
  </si>
  <si>
    <t>SORENTO MQ4 (D) 2.2 시그니처 7인승 4WD</t>
  </si>
  <si>
    <t>SORENTO MQ4 (G) 2.5 터보 트렌디 5인승</t>
  </si>
  <si>
    <t>SORENTO MQ4 (G) 2.5 터보 프레스티지 5인승</t>
  </si>
  <si>
    <t>SORENTO MQ4 (G) 2.5 터보 노블레스 5인승</t>
  </si>
  <si>
    <t>SORENTO MQ4 (G) 2.5 터보 시그니처 5인승</t>
  </si>
  <si>
    <t>SORENTO MQ4 (G) 2.5 터보 시그니처 그래비티 5인승</t>
  </si>
  <si>
    <t>SORENTO MQ4 (G) 2.5 터보 트렌디 5인승 4WD</t>
  </si>
  <si>
    <t>SORENTO MQ4 (G) 2.5 터보 프레스티지 5인승 4WD</t>
  </si>
  <si>
    <t>SORENTO MQ4 (G) 2.5 터보 노블레스 5인승 4WD</t>
  </si>
  <si>
    <t>SORENTO MQ4 (G) 2.5 터보 시그니처 5인승 4WD</t>
  </si>
  <si>
    <t>SORENTO MQ4 (G) 2.5 터보 시그니처 그래비티 5인승 4WD</t>
  </si>
  <si>
    <t>SORENTO MQ4 (G) 2.5 터보 트렌디 6인승</t>
  </si>
  <si>
    <t>SORENTO MQ4 (G) 2.5 터보 프레스티지 6인승</t>
  </si>
  <si>
    <t>SORENTO MQ4 (G) 2.5 터보 노블레스 6인승</t>
  </si>
  <si>
    <t>SORENTO MQ4 (G) 2.5 터보 시그니처 6인승</t>
  </si>
  <si>
    <t>SORENTO MQ4 (G) 2.5 터보 시그니처 그래비티 6인승</t>
  </si>
  <si>
    <t>SORENTO MQ4 (G) 2.5 터보 트렌디 6인승 4WD</t>
  </si>
  <si>
    <t>SORENTO MQ4 (G) 2.5 터보 프레스티지 6인승 4WD</t>
  </si>
  <si>
    <t>SORENTO MQ4 (G) 2.5 터보 노블레스 6인승 4WD</t>
  </si>
  <si>
    <t>SORENTO MQ4 (G) 2.5 터보 시그니처 6인승 4WD</t>
  </si>
  <si>
    <t>SORENTO MQ4 (G) 2.5 터보 시그니처 그래비티 6인승 4WD</t>
  </si>
  <si>
    <t>SORENTO MQ4 (G) 2.5 터보 트렌디 7인승</t>
  </si>
  <si>
    <t>SORENTO MQ4 (G) 2.5 터보 프레스티지 7인승</t>
  </si>
  <si>
    <t>SORENTO MQ4 (G) 2.5 터보 노블레스 7인승</t>
  </si>
  <si>
    <t>SORENTO MQ4 (G) 2.5 터보 시그니처 7인승</t>
  </si>
  <si>
    <t>SORENTO MQ4 (G) 2.5 터보 시그니처 그래비티 7인승</t>
  </si>
  <si>
    <t>SORENTO MQ4 (G) 2.5 터보 트렌디 7인승 4WD</t>
  </si>
  <si>
    <t>SORENTO MQ4 (G) 2.5 터보 프레스티지 7인승 4WD</t>
  </si>
  <si>
    <t>SORENTO MQ4 (G) 2.5 터보 노블레스 7인승 4WD</t>
  </si>
  <si>
    <t>SORENTO MQ4 (G) 2.5 터보 시그니처 7인승 4WD</t>
  </si>
  <si>
    <t>SORENTO MQ4 (G) 2.5 터보 시그니처 그래비티 7인승 4WD</t>
  </si>
  <si>
    <t>모하비</t>
  </si>
  <si>
    <t>THE NEW MOHAVE (D) 3.0 2WD 노블레스 5인승</t>
  </si>
  <si>
    <t>THE NEW MOHAVE (D) 3.0 4WD VIP 5인승</t>
  </si>
  <si>
    <t>THE NEW MOHAVE (D) 3.0 4WD 프레지던트 5인승</t>
  </si>
  <si>
    <t>THE NEW MOHAVE (D) 3.0 2WD 노블레스 7인승</t>
  </si>
  <si>
    <t>THE NEW MOHAVE (D) 3.0 4WD VIP 7인승</t>
  </si>
  <si>
    <t>THE NEW MOHAVE (D) 3.0 4WD 프레지던트 7인승</t>
  </si>
  <si>
    <t>MOHAVE THE MASTER (D) 3.0 플래티넘 5인승</t>
  </si>
  <si>
    <t>MOHAVE THE MASTER (D) 3.0 플래티넘 6인승</t>
  </si>
  <si>
    <t>MOHAVE THE MASTER (D) 3.0 플래티넘 7인승</t>
  </si>
  <si>
    <t>MOHAVE THE MASTER (D) 3.0 마스터즈 5인승</t>
  </si>
  <si>
    <t>MOHAVE THE MASTER (D) 3.0 마스터즈 6인승</t>
  </si>
  <si>
    <t>MOHAVE THE MASTER (D) 3.0 마스터즈 7인승</t>
  </si>
  <si>
    <t>MOHAVE THE MASTER (D) 3.0 마스터즈 그래비티 5인승</t>
  </si>
  <si>
    <t>MOHAVE THE MASTER (D) 3.0 마스터즈 그래비티 6인승</t>
  </si>
  <si>
    <t>MOHAVE THE MASTER (D) 3.0 마스터즈 그래비티 7인승</t>
  </si>
  <si>
    <t>THE NEW CARNIVAL (D) 2.2 VIP 리무진 7인승</t>
  </si>
  <si>
    <t>THE NEW CARNIVAL (D) 2.2 프레지던트 리무진 7인승</t>
  </si>
  <si>
    <t>THE NEW CARNIVAL (D) 2.2 하이리무진 VIP 7인승</t>
  </si>
  <si>
    <t>THE NEW CARNIVAL (D) 2.2 하이리무진 프레지던트 7인승</t>
  </si>
  <si>
    <t>CARNIVAL KA4 (D) 2.2 노블레스 7인승</t>
  </si>
  <si>
    <t>CARNIVAL KA4 (D) 2.2 시그니처 7인승</t>
  </si>
  <si>
    <t>CARNIVAL KA4 (D) 2.2 하이리무진 시그니처 7인승</t>
  </si>
  <si>
    <t>THE NEW CARNIVAL (G) 3.3 프레지던트 리무진 7인승</t>
  </si>
  <si>
    <t>THE NEW CARNIVAL(G)3.3 하이리무진 프레지던트 7인승</t>
  </si>
  <si>
    <t>THE NEW CARNIVAL (G) 3.3 VIP 리무진 7인승</t>
  </si>
  <si>
    <t>CARNIVAL KA4 (G) 3.5 노블레스 7인승</t>
  </si>
  <si>
    <t>CARNIVAL KA4 (G) 3.5 시그니처 7인승</t>
  </si>
  <si>
    <t>CARNIVAL KA4 (G) 3.5 하이리무진 시그니처 7인승</t>
  </si>
  <si>
    <t>렉스턴</t>
  </si>
  <si>
    <t>AL NEW REXTON (D) 2.2</t>
  </si>
  <si>
    <t>G4 REXTON (D) 2.2 럭셔리</t>
  </si>
  <si>
    <t>G4 REXTON (D) 2.2 럭셔리 7인승</t>
  </si>
  <si>
    <t>G4 REXTON (D) 2.2 마제스티</t>
  </si>
  <si>
    <t>G4 REXTON (D) 2.2 마제스티 7인승</t>
  </si>
  <si>
    <t>G4 REXTON (D) 2.2 헤리티지</t>
  </si>
  <si>
    <t>G4 REXTON (D) 2.2 헤리티지 7인승</t>
  </si>
  <si>
    <t>G4 REXTON (D) 2.2 유라시아 에디션</t>
  </si>
  <si>
    <t>G4 REXTON (D) 2.2 유라시아 에디션 7인승</t>
  </si>
  <si>
    <t>G4 REXTON (D) 2.2 마제스티 스페셜</t>
  </si>
  <si>
    <t>G4 REXTON (D) 2.2 마제스티 스페셜 7인승</t>
  </si>
  <si>
    <t>G4 REXTON (D) 2.2 헤리티지 스페셜</t>
  </si>
  <si>
    <t>G4 REXTON (D) 2.2 헤리티지 스페셜 7인승</t>
  </si>
  <si>
    <t>G4 REXTON (D) 2.2 화이트 에디션 4WD</t>
  </si>
  <si>
    <t>G4 REXTON (D) 2.2 화이트 에디션 7인승 4WD</t>
  </si>
  <si>
    <t>G4 REXTON (D) 2.2 화이트 에디션 7인승 4WD1</t>
  </si>
  <si>
    <t>G4 REXTON (D) 2.2 화이트 에디션 4WD 7인승</t>
  </si>
  <si>
    <t>ALL NEW REXTON (D) 2.2 럭셔리 5인승 2WD</t>
  </si>
  <si>
    <t>ALL NEW REXTON (D) 2.2 럭셔리 5인승 4WD</t>
  </si>
  <si>
    <t>ALL NEW REXTON (D) 2.2 럭셔리 7인승 2WD</t>
  </si>
  <si>
    <t>ALL NEW REXTON (D) 2.2 럭셔리 7인승 4WD</t>
  </si>
  <si>
    <t>ALL NEW REXTON (D) 2.2 프레스티지 5인승 2WD</t>
  </si>
  <si>
    <t>ALL NEW REXTON (D) 2.2 프레스티지 5인승 4WD</t>
  </si>
  <si>
    <t>ALL NEW REXTON (D) 2.2 프레스티지 7인승 2WD</t>
  </si>
  <si>
    <t>ALL NEW REXTON (D) 2.2 프레스티지 7인승 4WD</t>
  </si>
  <si>
    <t>ALL NEW REXTON (D) 2.2 더블랙 5인승 4WD</t>
  </si>
  <si>
    <t>ALL NEW REXTON (D) 2.2 더블랙 7인승 4WD</t>
  </si>
  <si>
    <t>코란도</t>
  </si>
  <si>
    <t>KORANDO TURISMO (D) 2.2 TX(4WD) 9인승</t>
  </si>
  <si>
    <t>KORANDO TURISMO (D) 2.2 RX(4WD) 9인승</t>
  </si>
  <si>
    <t>KORANDO TURISMO (D) 2.2 샤토(4WD) 하이루프 9인승</t>
  </si>
  <si>
    <t>KORANDO TURISMO (D) 2.2 샤토(4WD) 리무진 9인승</t>
  </si>
  <si>
    <t>KORANDO TURISMO (D) 2.2 익스트림 스포츠(4WD)9인승</t>
  </si>
  <si>
    <t>RV저가형(2000CC 이하)</t>
    <phoneticPr fontId="1" type="noConversion"/>
  </si>
  <si>
    <t>트랙스</t>
  </si>
  <si>
    <t>TRAX (D) 1.6 LS</t>
  </si>
  <si>
    <t>TRAX (D) 1.6 LS 디럭스</t>
  </si>
  <si>
    <t>TRAX (D) 1.6 LT</t>
  </si>
  <si>
    <t>TRAX (D) 1.6 LT 디럭스</t>
  </si>
  <si>
    <t>TRAX (D) 1.6 PREMIER</t>
  </si>
  <si>
    <t>TRAX (D) 1.6 퍼펙트 블랙</t>
  </si>
  <si>
    <t>TRAX (D) 1.6 LT 코어</t>
  </si>
  <si>
    <t>TRAX (D) 1.6 레드라인 LT코어</t>
  </si>
  <si>
    <t>TRAX (D) 1.6 레드라인 PREMIER</t>
  </si>
  <si>
    <t>TRAX (G) 1.4 TURBO LS</t>
  </si>
  <si>
    <t>TRAX (G) 1.4 TURBO LS 디럭스</t>
  </si>
  <si>
    <t>TRAX (G) 1.4 TURBO LT</t>
  </si>
  <si>
    <t>TRAX (G) 1.4 TURBO LTZ</t>
  </si>
  <si>
    <t>TRAX (G) 1.4 TURBO PREMIER</t>
  </si>
  <si>
    <t>TRAX (G) 1.4 TURBO 퍼펙트 블랙</t>
  </si>
  <si>
    <t>TRAX (G) 1.4 TURBO LT 코어</t>
  </si>
  <si>
    <t>TRAX (G) 1.4 TURBO 레드라인 LT코어</t>
  </si>
  <si>
    <t>TRAX (G) 1.4 TURBO 레드라인 PREMIER</t>
  </si>
  <si>
    <t>TRAX (G) 1.4 TURBO LS디럭스(2WD)</t>
  </si>
  <si>
    <t>TRAX (G) 1.4 TURBO LT(2WD)</t>
  </si>
  <si>
    <t>TRAX (G) 1.4 TURBO LT코어(2WD)</t>
  </si>
  <si>
    <t>TRAX (G) 1.4 TURBO PREMIER(2WD)</t>
  </si>
  <si>
    <t>TRAX (G) 1.4 TURBO 레드라인 LT코어(2WD)</t>
  </si>
  <si>
    <t>TRAX (G) 1.4 TURBO 레드라인 PREMIER(2WD)</t>
  </si>
  <si>
    <t>이쿼녹스</t>
  </si>
  <si>
    <t>EQUINOX (D) 1.6 LS</t>
  </si>
  <si>
    <t>EQUINOX (D) 1.6 LT</t>
  </si>
  <si>
    <t>EQUINOX (D) 1.6 LT EXCLUSIVE (2WD)</t>
  </si>
  <si>
    <t>EQUINOX (D) 1.6 PREMIER</t>
  </si>
  <si>
    <t>EQUINOX (D) 1.6 PREMIER EXCLUSIVE (2WD)</t>
  </si>
  <si>
    <t>EQUINOX (D) 1.6 LT EXCLUSIVE (4WD)</t>
  </si>
  <si>
    <t>EQUINOX (D) 1.6 PREMIER EXCLUSIVE (4WD)</t>
  </si>
  <si>
    <t>EQUINOX (D) 1.6 LT PLUS</t>
  </si>
  <si>
    <t>EQUINOX (D) 1.6 LT PLUS EXCLUSIVE (2WD)</t>
  </si>
  <si>
    <t>EQUINOX (D) 1.6 LT PLUS EXCLUSIVE (4WD)</t>
  </si>
  <si>
    <t>EQUINOX (D) 1.6 퍼펙트블랙</t>
  </si>
  <si>
    <t>EQUINOX (D) 1.6 퍼펙트블랙(4WD)</t>
  </si>
  <si>
    <t>트레일블레이저</t>
  </si>
  <si>
    <t>TRAILBLAZER (G) 1.2 TURBO LS</t>
  </si>
  <si>
    <t>TRAILBLAZER (G) 1.2 TURBO LT</t>
  </si>
  <si>
    <t>TRAILBLAZER (G) 1.35 TURBO LT</t>
  </si>
  <si>
    <t>TRAILBLAZER (G) 1.35 TURBO PREMIER</t>
  </si>
  <si>
    <t>TRAILBLAZER (G) 1.35 TURBO PREMIER(4WD)</t>
  </si>
  <si>
    <t>TRAILBLAZER (G) 1.35 TURBO ACTIV</t>
  </si>
  <si>
    <t>TRAILBLAZER (G) 1.35 TURBO ACTIV(4WD)</t>
  </si>
  <si>
    <t>TRAILBLAZER (G) 1.35 TURBO RS</t>
  </si>
  <si>
    <t>TRAILBLAZER (G) 1.35 TURBO RS(4WD)</t>
  </si>
  <si>
    <t>TRAILBLAZER (G) 1.35 TURBO LS</t>
  </si>
  <si>
    <t>ALL NEW SANTAFE (D) 2.0 2WD EXCLUSIVE 5인</t>
  </si>
  <si>
    <t>SANTAFE TM (D) 2.0 모던 5인승</t>
  </si>
  <si>
    <t>SANTAFE TM (D) 2.0 프리미엄 5인승</t>
  </si>
  <si>
    <t>SANTAFE TM (D) 2.0 익스클루시브 5인승</t>
  </si>
  <si>
    <t>SANTAFE TM (D) 2.0 익스클루시브스페셜 5인승</t>
  </si>
  <si>
    <t>SANTAFE TM (D) 2.0 프레스티지 5인승</t>
  </si>
  <si>
    <t>SANTAFE TM (D) 2.0 프리미엄 7인승</t>
  </si>
  <si>
    <t>SANTAFE TM (D) 2.0 익스클루시브 7인승</t>
  </si>
  <si>
    <t>SANTAFE TM (D) 2.0 익스클루시브스페셜 7인승</t>
  </si>
  <si>
    <t>SANTAFE TM (D) 2.0 프레스티지 7인승</t>
  </si>
  <si>
    <t>SANTAFE TM (D) 2.0 프리미엄 5인승 4WD</t>
  </si>
  <si>
    <t>SANTAFE TM (D) 2.0 익스클루시브 5인승 4WD</t>
  </si>
  <si>
    <t>SANTAFE TM (D) 2.0 익스클루시브스페셜 5인승 4WD</t>
  </si>
  <si>
    <t>SANTAFE TM (D) 2.0 프레스티지 5인승 4WD</t>
  </si>
  <si>
    <t>SANTAFE TM (D) 2.0 프리미엄 7인승 4WD</t>
  </si>
  <si>
    <t>SANTAFE TM (D) 2.0 익스클루시브 7인승 4WD</t>
  </si>
  <si>
    <t>SANTAFE TM (D) 2.0 익스클루시브스페셜 7인승 4WD</t>
  </si>
  <si>
    <t>SANTAFE TM (D) 2.0 프레스티지 7인승 4WD</t>
  </si>
  <si>
    <t>SANTAFE TM (D) 2.0 인스퍼레이션 5인승</t>
  </si>
  <si>
    <t>SANTAFE TM (D) 2.0 인스퍼레이션 5인승 4WD</t>
  </si>
  <si>
    <t>SANTAFE TM (D) 2.0 인스퍼레이션 7인승</t>
  </si>
  <si>
    <t>SANTAFE TM (D) 2.0 인스퍼레이션 7인승 4WD</t>
  </si>
  <si>
    <t>SANTAFE TM (G) 2.0 T 프리미엄 5인승</t>
  </si>
  <si>
    <t>SANTAFE TM (G) 2.0 T 익스클루시브스페셜 5인승</t>
  </si>
  <si>
    <t>SANTAFE TM (G) 2.0 T 프리미엄 7인승</t>
  </si>
  <si>
    <t>SANTAFE TM (G) 2.0 T 익스클루시브스페셜 7인승</t>
  </si>
  <si>
    <t>SANTAFE TM (G) 2.0 T 프리미엄 5인승 4WD</t>
  </si>
  <si>
    <t>SANTAFE TM (G) 2.0 T 익스클루시브스페셜 5인승 4WD</t>
  </si>
  <si>
    <t>SANTAFE TM (G) 2.0 T 프리미엄 7인승 4WD</t>
  </si>
  <si>
    <t>SANTAFE TM (G) 2.0 T 익스클루시브스페셜 7인승 4WD</t>
  </si>
  <si>
    <t>SANTAFE TM (G) 2.0 T 인스퍼레이션 5인승</t>
  </si>
  <si>
    <t>SANTAFE TM (G) 2.0 T 인스퍼레이션 5인승 4WD</t>
  </si>
  <si>
    <t>SANTAFE TM (G) 2.0 T 인스퍼레이션 7인승</t>
  </si>
  <si>
    <t>SANTAFE TM (G) 2.0 T 인스퍼레이션 7인승 4WD</t>
  </si>
  <si>
    <t>SANTAFE TM (G) 2.0 T 익스클루시브 5인승</t>
  </si>
  <si>
    <t>SANTAFE TM (G) 2.0 T 익스클루시브 7인승</t>
  </si>
  <si>
    <t>SANTAFE TM (G) 2.0 T 익스클루시브 5인승 4WD</t>
  </si>
  <si>
    <t>SANTAFE TM (G) 2.0 T 익스클루시브 7인승 4WD</t>
  </si>
  <si>
    <t>SANTAFE TM (G) 2.0 T 프레스티지 5인승</t>
  </si>
  <si>
    <t>SANTAFE TM (G) 2.0 T 프레스티지 7인승</t>
  </si>
  <si>
    <t>SANTAFE TM (G) 2.0 T 프레스티지 5인승 4WD</t>
  </si>
  <si>
    <t>SANTAFE TM (G) 2.0 T 프레스티지 7인승 4WD</t>
  </si>
  <si>
    <t>투싼</t>
  </si>
  <si>
    <t>TUCSON (D) 1.6 스마트 2WD</t>
  </si>
  <si>
    <t>TUCSON (D) 1.6 모던 2WD</t>
  </si>
  <si>
    <t>TUCSON (D) 1.6 프리미엄 2WD</t>
  </si>
  <si>
    <t>TUCSON (D) 1.6 얼티밋에디션 2WD</t>
  </si>
  <si>
    <t>TUCSON (D) 1.6 스마트 4WD</t>
  </si>
  <si>
    <t>TUCSON (D) 1.6 모던 4WD</t>
  </si>
  <si>
    <t>TUCSON (D) 1.6 프리미엄 4WD</t>
  </si>
  <si>
    <t>TUCSON (D) 1.6 얼티밋에디션 4WD</t>
  </si>
  <si>
    <t>TUCSON (D) 1.6 인스퍼레이션 2WD</t>
  </si>
  <si>
    <t>TUCSON (D) 1.6 인스퍼레이션 4WD</t>
  </si>
  <si>
    <t>TUCSON (D) 2.0 스마트 2WD</t>
  </si>
  <si>
    <t>TUCSON (D) 2.0 모던 2WD</t>
  </si>
  <si>
    <t>TUCSON (D) 2.0 프리미엄 2WD</t>
  </si>
  <si>
    <t>TUCSON (D) 2.0 얼티밋에디션 2WD</t>
  </si>
  <si>
    <t>TUCSON (D) 2.0 스마트 4WD</t>
  </si>
  <si>
    <t>TUCSON (D) 2.0 모던 4WD</t>
  </si>
  <si>
    <t>TUCSON (D) 2.0 프리미엄 4WD</t>
  </si>
  <si>
    <t>TUCSON (D) 2.0 얼티밋에디션 4WD</t>
  </si>
  <si>
    <t>TUCSON (D) 2.0 인스퍼레이션 2WD</t>
  </si>
  <si>
    <t>TUCSON (D) 2.0 인스퍼레이션 4WD</t>
  </si>
  <si>
    <t>THE ALL NEW TUCSON (D) 2.0 모던 2WD</t>
  </si>
  <si>
    <t>THE ALL NEW TUCSON (D) 2.0 프리미엄 2WD</t>
  </si>
  <si>
    <t>THE ALL NEW TUCSON (D) 2.0 인스퍼레이션 2WD</t>
  </si>
  <si>
    <t>THE ALL NEW TUCSON (D) 2.0 모던 4WD</t>
  </si>
  <si>
    <t>THE ALL NEW TUCSON (D) 2.0 프리미엄 4WD</t>
  </si>
  <si>
    <t>THE ALL NEW TUCSON (D) 2.0 인스퍼레이션 4WD</t>
  </si>
  <si>
    <t>TUCSON (G) 1.6 T 모던 2WD</t>
  </si>
  <si>
    <t>TUCSON (G) 1.6 T 프리미엄 2WD</t>
  </si>
  <si>
    <t>TUCSON (G) 1.6 T 얼티밋에디션 2WD</t>
  </si>
  <si>
    <t>TUCSON (G) 1.6 T 모던 4WD</t>
  </si>
  <si>
    <t>TUCSON (G) 1.6 T 프리미엄 4WD</t>
  </si>
  <si>
    <t>TUCSON (G) 1.6 T 얼티밋에디션 4WD</t>
  </si>
  <si>
    <t>TUCSON (G) 1.6 T 스마트 2WD</t>
  </si>
  <si>
    <t>TUCSON (G) 1.6 T 인스퍼레이션 2WD</t>
  </si>
  <si>
    <t>TUCSON (G) 1.6 T 스마트 4WD</t>
  </si>
  <si>
    <t>TUCSON (G) 1.6 T 인스퍼레이션 4WD</t>
  </si>
  <si>
    <t>THE ALL NEW TUCSON (G) 1.6 T 모던 2WD</t>
  </si>
  <si>
    <t>THE ALL NEW TUCSON (G) 1.6 T 프리미엄 2WD</t>
  </si>
  <si>
    <t>THE ALL NEW TUCSON (G) 1.6 T 인스퍼레이션 2WD</t>
  </si>
  <si>
    <t>THE ALL NEW TUCSON (G) 1.6 T 모던 4WD</t>
  </si>
  <si>
    <t>THE ALL NEW TUCSON (G) 1.6 T 프리미엄 4WD</t>
  </si>
  <si>
    <t>THE ALL NEW TUCSON (G) 1.6 T 인스퍼레이션 4WD</t>
  </si>
  <si>
    <t>THE ALL NEW TUCSON (H) 1.6 T 모던 2WD</t>
  </si>
  <si>
    <t>THE ALL NEW TUCSON (H) 1.6 T 프리미엄 2WD</t>
  </si>
  <si>
    <t>THE ALL NEW TUCSON (H) 1.6 T 인스퍼레이션 2WD</t>
  </si>
  <si>
    <t>THE ALL NEW TUCSON (H)</t>
  </si>
  <si>
    <t>코나</t>
  </si>
  <si>
    <t>KONA (D) 1.6 2WD SMART</t>
  </si>
  <si>
    <t>KONA (D) 1.6 2WD MODERN</t>
  </si>
  <si>
    <t>KONA (D) 1.6 2WD MODERN POP</t>
  </si>
  <si>
    <t>KONA (D) 1.6 2WD MODERN TECH</t>
  </si>
  <si>
    <t>KONA (D) 1.6 2WD MODERN ART</t>
  </si>
  <si>
    <t>KONA (D) 1.6 2WD PREMIUM</t>
  </si>
  <si>
    <t>KONA FLUX (D) 1.6 2WD MODERN</t>
  </si>
  <si>
    <t>KONA FLUX (D) 1.6 2WD PREMIUM</t>
  </si>
  <si>
    <t>KONA FLUX (D) 1.6 2WD PREMIUM SP</t>
  </si>
  <si>
    <t>KONA (D) 1.6 2WD MODERN CHOICE</t>
  </si>
  <si>
    <t>KONA (D) 1.6 4WD SMART</t>
  </si>
  <si>
    <t>KONA (D) 1.6 4WD MODERN CHOICE</t>
  </si>
  <si>
    <t>KONA (D) 1.6 4WD PREMIUM</t>
  </si>
  <si>
    <t>KONA (G) 1.6 2WD SMART</t>
  </si>
  <si>
    <t>KONA (G) 1.6 2WD MODERN</t>
  </si>
  <si>
    <t>KONA (G) 1.6 2WD MODERN POP</t>
  </si>
  <si>
    <t>KONA (G) 1.6 2WD MODERN TECH</t>
  </si>
  <si>
    <t>KONA (G) 1.6 2WD MODERN ART</t>
  </si>
  <si>
    <t>KONA (G) 1.6 2WD PREMIUM</t>
  </si>
  <si>
    <t>KONA (G) 1.6 4WD SMART</t>
  </si>
  <si>
    <t>KONA (G) 1.6 4WD MODERN</t>
  </si>
  <si>
    <t>KONA (G) 1.6 4WD MODERN POP</t>
  </si>
  <si>
    <t>KONA (G) 1.6 4WD MODERN TECH</t>
  </si>
  <si>
    <t>KONA (G) 1.6 4WD MODERN ART</t>
  </si>
  <si>
    <t>KONA (G) 1.6 4WD PREMIUM</t>
  </si>
  <si>
    <t>KONA FLUX (G) 1.6 2WD PREMIUM</t>
  </si>
  <si>
    <t>KONA FLUX (G) 1.6 2WD PREMIUM SP</t>
  </si>
  <si>
    <t>KONA (G) 1.6 2WD IRON MAN EDITION</t>
  </si>
  <si>
    <t>KONA (G) 1.6 4WD IRON MAN EDITION</t>
  </si>
  <si>
    <t>KONA (G) 1.6 2WD MODERN CHOICE</t>
  </si>
  <si>
    <t>KONA (G) 1.6 4WD MODERN CHOICE</t>
  </si>
  <si>
    <t>THE NEW KONA (G) 1.6 T 2WD 스마트</t>
  </si>
  <si>
    <t>THE NEW KONA (G) 1.6 T 4WD 스마트</t>
  </si>
  <si>
    <t>THE NEW KONA (G) 1.6 T 2WD 모던</t>
  </si>
  <si>
    <t>THE NEW KONA (G) 1.6 T 4WD 모던</t>
  </si>
  <si>
    <t>THE NEW KONA (G) 1.6 T 2WD 인스퍼레이션</t>
  </si>
  <si>
    <t>THE NEW KONA (G) 1.6 T 4WD 인스퍼레이션</t>
  </si>
  <si>
    <t>THE NEW KONA (G) 1.6 T N-LINE 2WD 모던</t>
  </si>
  <si>
    <t>THE NEW KONA (G) 1.6 T N-LINE 4WD 모던</t>
  </si>
  <si>
    <t>THE NEW KONA (G) 1.6 T N-LINE 2WD 인스퍼레이션</t>
  </si>
  <si>
    <t>THE NEW KONA (G) 1.6 T N-LINE 4WD 인스퍼레이션</t>
  </si>
  <si>
    <t>THE NEW KONA (G) 2.0 2WD 스마트</t>
  </si>
  <si>
    <t>THE NEW KONA (G) 2.0 4WD 스마트</t>
  </si>
  <si>
    <t>THE NEW KONA (G) 2.0 2WD 모던</t>
  </si>
  <si>
    <t>THE NEW KONA (G) 2.0 4WD 모던</t>
  </si>
  <si>
    <t>THE NEW KONA (G) 2.0 2WD 인스퍼레이션</t>
  </si>
  <si>
    <t>THE NEW KONA (G) 2.0 4WD 인스퍼레이션</t>
  </si>
  <si>
    <t>KONA (H) 1.6 2WD SMART SPECIAL</t>
  </si>
  <si>
    <t>KONA (H) 1.6 2WD MODERN SPECIAL</t>
  </si>
  <si>
    <t>KONA (H) 1.6 2WD PREMIUM SPECIAL</t>
  </si>
  <si>
    <t>THE NEW KONA (H) 1.6 2WD 스마트</t>
  </si>
  <si>
    <t>THE NEW KONA (H) 1.6 2WD 모던</t>
  </si>
  <si>
    <t>THE NEW KONA (H) 1.6 2WD 인스퍼레이션</t>
  </si>
  <si>
    <t>베뉴</t>
  </si>
  <si>
    <t>VENUE (G) 1.6 스마트</t>
  </si>
  <si>
    <t>VENUE (G) 1.6 모던</t>
  </si>
  <si>
    <t>VENUE (G) 1.6 FLUX</t>
  </si>
  <si>
    <t>ALL NEW SORENTO (D) 2.0 프레스티지 (5인승)</t>
  </si>
  <si>
    <t>ALL NEW SORENTO (D) 2.0 노블레스 (5인승)</t>
  </si>
  <si>
    <t>THE MASTER SORENTO (D) 2.0 럭셔리 5인승</t>
  </si>
  <si>
    <t>THE MASTER SORENTO (D) 2.0 프레스티지 5인승</t>
  </si>
  <si>
    <t>THE MASTER SORENTO (D) 2.0 노블레스 5인승</t>
  </si>
  <si>
    <t>THE MASTER SORENTO (D) 2.0 노블레스스페셜 5인승</t>
  </si>
  <si>
    <t>THE MASTER SORENTO (D) 2.0 마스터 5인승</t>
  </si>
  <si>
    <t>THE MASTER SORENTO (D) 2.0 프레스티지 5인승 4WD</t>
  </si>
  <si>
    <t>THE MASTER SORENTO (D) 2.0 노블레스 5인승 4WD</t>
  </si>
  <si>
    <t>THE MASTER SORENTO(D)2.0 노블레스스페셜 5인승 4WD</t>
  </si>
  <si>
    <t>THE MASTER SORENTO (D) 2.0 마스터 5인승 4WD</t>
  </si>
  <si>
    <t>THE MASTER SORENTO (D) 2.0 프레스티지 7인승</t>
  </si>
  <si>
    <t>THE MASTER SORENTO (D) 2.0 노블레스 7인승</t>
  </si>
  <si>
    <t>THE MASTER SORENTO (D) 2.0 노블레스스페셜 7인승</t>
  </si>
  <si>
    <t>THE MASTER SORENTO (D) 2.0 마스터 7인승</t>
  </si>
  <si>
    <t>THE MASTER SORENTO (D) 2.0 프레스티지 7인승 4WD</t>
  </si>
  <si>
    <t>THE MASTER SORENTO (D) 2.0 노블레스 7인승 4WD</t>
  </si>
  <si>
    <t>THE MASTER SORENTO(D)2.0 노블레스스페셜 7인승 4WD</t>
  </si>
  <si>
    <t>THE MASTER SORENTO (D) 2.0 마스터 7인승 4WD</t>
  </si>
  <si>
    <t>THE MASTER SORENTO (D) 2.0 마스터스페셜 5인승</t>
  </si>
  <si>
    <t>THE MASTER SORENTO(D)2.0 마스터스페셜 5인승 4WD</t>
  </si>
  <si>
    <t>THE MASTER SORENTO (D) 2.0 마스터스페셜 7인승</t>
  </si>
  <si>
    <t>THE MASTER SORENTO(D)2.0 마스터스페셜 7인승 4WD</t>
  </si>
  <si>
    <t>THE MASTER SORENTO (G) 2.0 T 프레스티지 5인승</t>
  </si>
  <si>
    <t>THE MASTER SORENTO (G) 2.0 T 노블레스 5인승</t>
  </si>
  <si>
    <t>THE MASTER SORENTO(G)2.0 T 프레스티지 5인승 4WD</t>
  </si>
  <si>
    <t>THE MASTER SORENTO(G)2.0 T 노블레스 5인승 4WD</t>
  </si>
  <si>
    <t>THE MASTER SORENTO (G) 2.0 T 프레스티지 7인승</t>
  </si>
  <si>
    <t>THE MASTER SORENTO (G) 2.0 T 노블레스 7인승</t>
  </si>
  <si>
    <t>THE MASTER SORENTO(G)2.0 T 프레스티지 7인승 4WD</t>
  </si>
  <si>
    <t>THE MASTER SORENTO(G)2.0 T 노블레스 7인승 4WD</t>
  </si>
  <si>
    <t>THE MASTER SORENTO (G) 2.0 T 마스터스페셜 5인승</t>
  </si>
  <si>
    <t>THE MASTER SORENTO(G)2.0T 마스터스페셜 5인승 4WD</t>
  </si>
  <si>
    <t>THE MASTER SORENTO (G) 2.0 T 마스터스페셜 7인승</t>
  </si>
  <si>
    <t>THE MASTER SORENTO(G)2.0T 마스터스페셜 7인승 4WD</t>
  </si>
  <si>
    <t>SORENTO MQ4 (H) 1.6 터보 프레스티지 5인승</t>
  </si>
  <si>
    <t>SORENTO MQ4 (H) 1.6 터보 노블레스 5인승</t>
  </si>
  <si>
    <t>SORENTO MQ4 (H) 1.6 터보 시그니처 5인승</t>
  </si>
  <si>
    <t>SORENTO MQ4 (H) 1.6 터보 프레스티지 5인승 4WD</t>
  </si>
  <si>
    <t>SORENTO MQ4 (H) 1.6 터보 노블레스 5인승 4WD</t>
  </si>
  <si>
    <t>SORENTO MQ4 (H) 1.6 터보 시그니처 5인승 4WD</t>
  </si>
  <si>
    <t>SORENTO MQ4 (H) 1.6 터보 프레스티지 6인승</t>
  </si>
  <si>
    <t>SORENTO MQ4 (H) 1.6 터보 노블레스 6인승</t>
  </si>
  <si>
    <t>SORENTO MQ4 (H) 1.6 터보 시그니처 6인승</t>
  </si>
  <si>
    <t>SORENTO MQ4 (H) 1.6 터보 프레스티지 6인승 4WD</t>
  </si>
  <si>
    <t>SORENTO MQ4 (H) 1.6 터보 노블레스 6인승 4WD</t>
  </si>
  <si>
    <t>SORENTO MQ4 (H) 1.6 터보 시그니처 6인승 4WD</t>
  </si>
  <si>
    <t>SORENTO MQ4 (H) 1.6 터보 프레스티지 7인승</t>
  </si>
  <si>
    <t>SORENTO MQ4 (H) 1.6 터보 노블레스 7인승</t>
  </si>
  <si>
    <t>SORENTO MQ4 (H) 1.6 터보 시그니처 7인승</t>
  </si>
  <si>
    <t>SORENTO MQ4 (H) 1.6 터보 프레스티지 7인승 4WD</t>
  </si>
  <si>
    <t>SORENTO MQ4 (H) 1.6 터보 노블레스 7인승 4WD</t>
  </si>
  <si>
    <t>SORENTO MQ4 (H) 1.6 터보 시그니처 7인승 4WD</t>
  </si>
  <si>
    <t>SORENTO MQ4 (H) 1.6 터보 시그니처 그래비티 5인승</t>
  </si>
  <si>
    <t>SORENTO MQ4 (H) 1.6 터보 시그니처 그래비티 5인승 4WD</t>
  </si>
  <si>
    <t>SORENTO MQ4 (H) 1.6 터보 시그니처 그래비티 6인승</t>
  </si>
  <si>
    <t>SORENTO MQ4 (H) 1.6 터보 시그니처 그래비티 6인승 4WD</t>
  </si>
  <si>
    <t>SORENTO MQ4 (H) 1.6 터보 시그니처 그래비티 7인승</t>
  </si>
  <si>
    <t>SORENTO MQ4 (H) 1.6 터보 시그니처 그래비티 7인승 4WD</t>
  </si>
  <si>
    <t>스포티지</t>
  </si>
  <si>
    <t>THE BOLD SPORTAGE (D) 1.6 2WD 럭셔리</t>
  </si>
  <si>
    <t>THE BOLD SPORTAGE (D) 1.6 2WD 프레스티지</t>
  </si>
  <si>
    <t>THE BOLD SPORTAGE (D) 1.6 2WD 노블레스</t>
  </si>
  <si>
    <t>THE BOLD SPORTAGE (D) 1.6 2WD 인텔리전트</t>
  </si>
  <si>
    <t>THE BOLD SPORTAGE (D) 1.6 4WD 럭셔리</t>
  </si>
  <si>
    <t>THE BOLD SPORTAGE (D) 1.6 4WD 프레스티지</t>
  </si>
  <si>
    <t>THE BOLD SPORTAGE (D) 1.6 4WD 노블레스</t>
  </si>
  <si>
    <t>THE BOLD SPORTAGE (D) 1.6 4WD 인텔리전트</t>
  </si>
  <si>
    <t>THE BOLD SPORTAGE (D) 1.6 2WD 트렌디</t>
  </si>
  <si>
    <t>THE BOLD SPORTAGE (D) 1.6 2WD 시그니처</t>
  </si>
  <si>
    <t>THE BOLD SPORTAGE (D) 1.6 4WD 트렌디</t>
  </si>
  <si>
    <t>THE BOLD SPORTAGE (D) 1.6 4WD 시그니처</t>
  </si>
  <si>
    <t>THE BOLD SPORTAGE (D) 1.6 2WD 프레스티지 그래비티</t>
  </si>
  <si>
    <t>THE BOLD SPORTAGE (D) 1.6 4WD 프레스티지 그래비티</t>
  </si>
  <si>
    <t>THE BOLD SPORTAGE (D) 1.6 2WD 시그니처 그래비티</t>
  </si>
  <si>
    <t>THE BOLD SPORTAGE (D) 1.6 4WD 시그니처 그래비티</t>
  </si>
  <si>
    <t>THE SUV SPORTAGE (D) 2.0 2WD 노블레스</t>
  </si>
  <si>
    <t>THE BOLD SPORTAGE (D) 2.0 2WD 럭셔리</t>
  </si>
  <si>
    <t>THE BOLD SPORTAGE (D) 2.0 2WD 프레스티지</t>
  </si>
  <si>
    <t>THE BOLD SPORTAGE (D) 2.0 2WD 노블레스</t>
  </si>
  <si>
    <t>THE BOLD SPORTAGE (D) 2.0 2WD 인텔리전트</t>
  </si>
  <si>
    <t>THE BOLD SPORTAGE (D) 2.0 4WD 럭셔리</t>
  </si>
  <si>
    <t>THE BOLD SPORTAGE (D) 2.0 4WD 프레스티지</t>
  </si>
  <si>
    <t>THE BOLD SPORTAGE (D) 2.0 4WD 노블레스</t>
  </si>
  <si>
    <t>THE BOLD SPORTAGE (D) 2.0 4WD 인텔리전트</t>
  </si>
  <si>
    <t>THE BOLD SPORTAGE (D) 2.0 2WD 트렌디</t>
  </si>
  <si>
    <t>THE BOLD SPORTAGE (D) 2.0 2WD 시그니처</t>
  </si>
  <si>
    <t>THE BOLD SPORTAGE (D) 2.0 4WD 트렌디</t>
  </si>
  <si>
    <t>THE BOLD SPORTAGE (D) 2.0 4WD 시그니처</t>
  </si>
  <si>
    <t>THE BOLD SPORTAGE (D) 2.0 2WD 프레스티지 그래비티</t>
  </si>
  <si>
    <t>THE BOLD SPORTAGE (D) 2.0 4WD 프레스티지 그래비티</t>
  </si>
  <si>
    <t>THE BOLD SPORTAGE (D) 2.0 2WD 시그니처 그래비티</t>
  </si>
  <si>
    <t>THE BOLD SPORTAGE (D) 2.0 4WD 시그니처 그래비티</t>
  </si>
  <si>
    <t>THE BOLD SPORTAGE (G) 2.0 럭셔리</t>
  </si>
  <si>
    <t>THE BOLD SPORTAGE (G) 2.0 프레스티지</t>
  </si>
  <si>
    <t>THE BOLD SPORTAGE (G) 2.0 노블레스</t>
  </si>
  <si>
    <t>THE BOLD SPORTAGE (G) 2.0 인텔리전트</t>
  </si>
  <si>
    <t>THE BOLD SPORTAGE (G) 2.0 트렌디</t>
  </si>
  <si>
    <t>THE BOLD SPORTAGE (G) 2.0 시그니처</t>
  </si>
  <si>
    <t>THE BOLD SPORTAGE (G) 2.0 프레스티지 그래비티</t>
  </si>
  <si>
    <t>THE BOLD SPORTAGE (G) 2.0 시그니처 그래비티</t>
  </si>
  <si>
    <t>쏘울</t>
  </si>
  <si>
    <t>SOUL BOOSTER (G) 1.6 프레스티지</t>
  </si>
  <si>
    <t>SOUL BOOSTER (G) 1.6 노블레스</t>
  </si>
  <si>
    <t>SOUL BOOSTER (G) 1.6 노블레스스페셜</t>
  </si>
  <si>
    <t>니로</t>
  </si>
  <si>
    <t>NIRO (H) 1.6 럭셔리</t>
  </si>
  <si>
    <t>NIRO (H) 1.6 프레스티지</t>
  </si>
  <si>
    <t>NIRO (H) 1.6 노블레스</t>
  </si>
  <si>
    <t>NIRO (H) 1.6 플러그인 프레스티지</t>
  </si>
  <si>
    <t>NIRO (H) 1.6 플러그인 노블레스</t>
  </si>
  <si>
    <t>NIRO (H) 1.6 노블레스 스페셜</t>
  </si>
  <si>
    <t>NIRO (H) 1.6 플러그인 노블레스 스페셜</t>
  </si>
  <si>
    <t>스토닉</t>
  </si>
  <si>
    <t>YES SUV STONIC (D) 1.6 트렌디</t>
  </si>
  <si>
    <t>YES SUV STONIC (D) 1.6 프레스티지</t>
  </si>
  <si>
    <t>YES SUV STONIC (G) 1.0 트렌디</t>
  </si>
  <si>
    <t>YES SUV STONIC (G) 1.0 프레스티지</t>
  </si>
  <si>
    <t>YES SUV STONIC (G) 1.4 디럭스</t>
  </si>
  <si>
    <t>YES SUV STONIC (G) 1.4 트렌디</t>
  </si>
  <si>
    <t>YES SUV STONIC (G) 1.4 프레스티지</t>
  </si>
  <si>
    <t>셀토스</t>
  </si>
  <si>
    <t>SELTOS (D) 1.6 트렌디 2WD</t>
  </si>
  <si>
    <t>SELTOS (D) 1.6 트렌디 4WD</t>
  </si>
  <si>
    <t>SELTOS (D) 1.6 프레스티지 2WD</t>
  </si>
  <si>
    <t>SELTOS (D) 1.6 프레스티지 4WD</t>
  </si>
  <si>
    <t>SELTOS (D) 1.6 노블레스 2WD</t>
  </si>
  <si>
    <t>SELTOS (D) 1.6 노블레스 4WD</t>
  </si>
  <si>
    <t>SELTOS (D) 1.6 시그니처 2WD</t>
  </si>
  <si>
    <t>SELTOS (D) 1.6 시그니처 4WD</t>
  </si>
  <si>
    <t>SELTOS (D) 1.6 시그니처 그래비티 2WD</t>
  </si>
  <si>
    <t>SELTOS (D) 1.6 시그니처 그래비티 4WD</t>
  </si>
  <si>
    <t>SELTOS (G) 1.6 트렌디 2WD</t>
  </si>
  <si>
    <t>SELTOS (G) 1.6 트렌디 4WD</t>
  </si>
  <si>
    <t>SELTOS (G) 1.6 프레스티지 2WD</t>
  </si>
  <si>
    <t>SELTOS (G) 1.6 프레스티지 4WD</t>
  </si>
  <si>
    <t>SELTOS (G) 1.6 노블레스 2WD</t>
  </si>
  <si>
    <t>SELTOS (G) 1.6 노블레스 4WD</t>
  </si>
  <si>
    <t>SELTOS (G) 1.6 시그니처 2WD</t>
  </si>
  <si>
    <t>SELTOS (G) 1.6 시그니처 4WD</t>
  </si>
  <si>
    <t>SELTOS (G) 1.6 시그니처 그래비티 2WD</t>
  </si>
  <si>
    <t>SELTOS (G) 1.6 시그니처 그래비티 4WD</t>
  </si>
  <si>
    <t>QM3</t>
  </si>
  <si>
    <t>QM3 (D) 1.5 SE</t>
  </si>
  <si>
    <t>QM3 (D) 1.5 LE</t>
  </si>
  <si>
    <t>QM3 (D) 1.5 RE</t>
  </si>
  <si>
    <t>QM3 (D) 1.5 RE SIGNITURE</t>
  </si>
  <si>
    <t>QM3 (D) 1.5 RE S-EDITION</t>
  </si>
  <si>
    <t>QM3 (D) 1.5 RE RED EDITION</t>
  </si>
  <si>
    <t>QM6</t>
  </si>
  <si>
    <t>QM6 (D) 1.7 2WD SE</t>
  </si>
  <si>
    <t>QM6 (D) 1.7 2WD RE</t>
  </si>
  <si>
    <t>QM6 (D) 1.7 2WD RE SIGNATURE</t>
  </si>
  <si>
    <t>QM6 (D) 2.0 2WD SE</t>
  </si>
  <si>
    <t>QM6 (D) 2.0 2WD RE</t>
  </si>
  <si>
    <t>QM6 (D) 2.0 4WD RE</t>
  </si>
  <si>
    <t>QM6 (D) 2.0 2WD RE SIGNATURE</t>
  </si>
  <si>
    <t>QM6 (D) 2.0 4WD RE SIGNATURE</t>
  </si>
  <si>
    <t>QM6 (D) 2.0 4WD PREMIERE</t>
  </si>
  <si>
    <t>QM6 (G) 2.0 2WD SE</t>
  </si>
  <si>
    <t>QM6 (G) 2.0 2WD LE</t>
  </si>
  <si>
    <t>QM6 (G) 2.0 2WD RE</t>
  </si>
  <si>
    <t>QM6 (G) 2.0 2WD RE SIGNATURE</t>
  </si>
  <si>
    <t>QM6 (G) 2.0 2WD PREMIERE</t>
  </si>
  <si>
    <t>QM6 (G) 2.0 2WD BOLD EDITION</t>
  </si>
  <si>
    <t>NEW QM6 (G) 2.0 2WD SE</t>
  </si>
  <si>
    <t>NEW QM6 (G) 2.0 2WD LE</t>
  </si>
  <si>
    <t>NEW QM6 (G) 2.0 2WD RE</t>
  </si>
  <si>
    <t>NEW QM6 (G) 2.0 2WD RE SIGNATURE</t>
  </si>
  <si>
    <t>NEW QM6 (G) 2.0 2WD PREMIERE</t>
  </si>
  <si>
    <t>QM6 (L) 2.0 2WD SE</t>
  </si>
  <si>
    <t>QM6 (L) 2.0 2WD LE</t>
  </si>
  <si>
    <t>QM6 (L) 2.0 2WD RE</t>
  </si>
  <si>
    <t>QM6 (L) 2.0 2WD RE SIGNATURE</t>
  </si>
  <si>
    <t>NEW QM6 (L) 2.0 2WD SE</t>
  </si>
  <si>
    <t>NEW QM6 (L) 2.0 2WD LE</t>
  </si>
  <si>
    <t>NEW QM6 (L) 2.0 2WD RE</t>
  </si>
  <si>
    <t>NEW QM6 (L) 2.0 2WD RE SIGNATURE</t>
  </si>
  <si>
    <t>NEW QM6 (L) 2.0 2WD PREMIERE</t>
  </si>
  <si>
    <t>XM3</t>
  </si>
  <si>
    <t>XM3 TCE260 (G) 1.4 LE</t>
  </si>
  <si>
    <t>XM3 TCE260 (G) 1.4 RE</t>
  </si>
  <si>
    <t>XM3 TCE260 (G) 1.4 RE SIGNATURE</t>
  </si>
  <si>
    <t>XM3 TCE260 (G) 1.3 RE SIGNATURE</t>
  </si>
  <si>
    <t>XM3 (G) 1.6 SE</t>
  </si>
  <si>
    <t>XM3 (G) 1.6 LE</t>
  </si>
  <si>
    <t>XM3 (G) 1.6 LE PLUS</t>
  </si>
  <si>
    <t>CAPTUR</t>
  </si>
  <si>
    <t>CAPTUR (D) 1.5 DCI ZEN</t>
  </si>
  <si>
    <t>CAPTUR (D) 1.5 DCI INTENS</t>
  </si>
  <si>
    <t>CAPTUR (G) 1.4 TCE 260 INTENS</t>
  </si>
  <si>
    <t>CAPTUR (G) 1.4 TCE 260 EDITION PARIS</t>
  </si>
  <si>
    <t>티볼리</t>
  </si>
  <si>
    <t>TIVOLI (D) 1.6 TX</t>
  </si>
  <si>
    <t>TIVOLI (D) 1.6 LX</t>
  </si>
  <si>
    <t>TIVOLI (D) 1.6 에어 AX</t>
  </si>
  <si>
    <t>TIVOLI (D) 1.6 에어 AX 4WD</t>
  </si>
  <si>
    <t>TIVOLI (D) 1.6 에어 IX</t>
  </si>
  <si>
    <t>TIVOLI (D) 1.6 에어 IX 4WD</t>
  </si>
  <si>
    <t>TIVOLI (D) 1.6 에어 RX</t>
  </si>
  <si>
    <t>TIVOLI (D) 1.6 에어 RX 4WD</t>
  </si>
  <si>
    <t>TIVOLI (D) 1.6 아머 TX</t>
  </si>
  <si>
    <t>TIVOLI (D) 1.6 아머 TX 4WD</t>
  </si>
  <si>
    <t>TIVOLI (D) 1.6 아머 VX</t>
  </si>
  <si>
    <t>TIVOLI (D) 1.6 아머 VX 4WD</t>
  </si>
  <si>
    <t>TIVOLI (D) 1.6 아머 LX</t>
  </si>
  <si>
    <t>TIVOLI (D) 1.6 아머 LX 4WD</t>
  </si>
  <si>
    <t>TIVOLI (D) 1.6 아머 기어 플러스</t>
  </si>
  <si>
    <t>TIVOLI (D) 1.6 아머 기어 플러스 4WD</t>
  </si>
  <si>
    <t>TIVOLI (D) 1.6 아머 기어 플러스Ⅱ</t>
  </si>
  <si>
    <t>TIVOLI (D) 1.6 아머 기어 플러스Ⅱ 4WD</t>
  </si>
  <si>
    <t>VERY NEW TIVOLI (D) 1.6 V1</t>
  </si>
  <si>
    <t>VERY NEW TIVOLI (D) 1.6 V3</t>
  </si>
  <si>
    <t>VERY NEW TIVOLI (D) 1.6 V5</t>
  </si>
  <si>
    <t>VERY NEW TIVOLI (D) 1.6 V7</t>
  </si>
  <si>
    <t>VERY NEW TIVOLI (D) 1.6 V1 4WD</t>
  </si>
  <si>
    <t>VERY NEW TIVOLI (D) 1.6 V3 4WD</t>
  </si>
  <si>
    <t>VERY NEW TIVOLI (D) 1.6 V5 4WD</t>
  </si>
  <si>
    <t>VERY NEW TIVOLI (D) 1.6 V7 4WD</t>
  </si>
  <si>
    <t>VERY NEW TIVOLI (D) 1.6 V3스페셜</t>
  </si>
  <si>
    <t>VERY NEW TIVOLI (D) 1.6 V3스페셜 4WD</t>
  </si>
  <si>
    <t>VERY NEW TIVOLI (D) 1.6 리미티드에디션</t>
  </si>
  <si>
    <t>VERY NEW TIVOLI (D) 1.6 리미티드에디션 4WD</t>
  </si>
  <si>
    <t>VERY NEW TIVOLI (G) 1.5 V1</t>
  </si>
  <si>
    <t>VERY NEW TIVOLI (G) 1.5 V3</t>
  </si>
  <si>
    <t>VERY NEW TIVOLI (G) 1.5 V5</t>
  </si>
  <si>
    <t>VERY NEW TIVOLI (G) 1.5 V7</t>
  </si>
  <si>
    <t>VERY NEW TIVOLI (G) 1.5 V1 4WD</t>
  </si>
  <si>
    <t>VERY NEW TIVOLI (G) 1.5 V3 4WD</t>
  </si>
  <si>
    <t>VERY NEW TIVOLI (G) 1.5 V5 4WD</t>
  </si>
  <si>
    <t>VERY NEW TIVOLI (G) 1.5 V7 4WD</t>
  </si>
  <si>
    <t>VERY NEW TIVOLI (G) 1.5 V3스페셜</t>
  </si>
  <si>
    <t>VERY NEW TIVOLI (G) 1.5 V3스페셜 4WD</t>
  </si>
  <si>
    <t>VERY NEW TIVOLI (G) 1.5 리미티드에디션</t>
  </si>
  <si>
    <t>VERY NEW TIVOLI (G) 1.5 리미티드에디션 4WD</t>
  </si>
  <si>
    <t>VERY NEW TIVOLI (G) 1.5 에어 A1</t>
  </si>
  <si>
    <t>VERY NEW TIVOLI (G) 1.5 에어 A3</t>
  </si>
  <si>
    <t>VERY NEW TIVOLI (G) 1.5 에어 파퓰러컬렉션패키지</t>
  </si>
  <si>
    <t>TIVOLI (G) 1.6 에어 IX</t>
  </si>
  <si>
    <t>TIVOLI (G) 1.6 에어 RX</t>
  </si>
  <si>
    <t>TIVOLI (G) 1.6 에어 RX 4WD</t>
  </si>
  <si>
    <t>TIVOLI (G) 1.6 아머 TX</t>
  </si>
  <si>
    <t>TIVOLI (G) 1.6 아머 VX</t>
  </si>
  <si>
    <t>TIVOLI (G) 1.6 아머 LX</t>
  </si>
  <si>
    <t>TIVOLI (G) 1.6 아머 LX 4WD</t>
  </si>
  <si>
    <t>TIVOLI (G) 1.6 에어 IX 4WD</t>
  </si>
  <si>
    <t>TIVOLI (G) 1.6 에어 AX</t>
  </si>
  <si>
    <t>TIVOLI (G) 1.6 에어 AX 4WD</t>
  </si>
  <si>
    <t>TIVOLI (G) 1.6 아머 기어 플러스</t>
  </si>
  <si>
    <t>TIVOLI (G) 1.6 아머 기어 플러스 4WD</t>
  </si>
  <si>
    <t>TIVOLI (G) 1.6 아머 기어 플러스Ⅱ</t>
  </si>
  <si>
    <t>TIVOLI (G) 1.6 아머 기어 플러스Ⅱ 4WD</t>
  </si>
  <si>
    <t>VIEWTIFUL KORANDO (D) 1.6 샤이니 2WD</t>
  </si>
  <si>
    <t>VIEWTIFUL KORANDO (D) 1.6 샤이니 4WD</t>
  </si>
  <si>
    <t>VIEWTIFUL KORANDO (D) 1.6 딜라이트 2WD</t>
  </si>
  <si>
    <t>VIEWTIFUL KORANDO (D) 1.6 딜라이트 4WD</t>
  </si>
  <si>
    <t>VIEWTIFUL KORANDO (D) 1.6 판타스틱 2WD</t>
  </si>
  <si>
    <t>VIEWTIFUL KORANDO (D) 1.6 판타스틱 4WD</t>
  </si>
  <si>
    <t>VIEWTIFUL KORANDO (D) 1.6 딜라이트 플러스 2WD</t>
  </si>
  <si>
    <t>VIEWTIFUL KORANDO (D) 1.6 딜라이트 플러스 4WD</t>
  </si>
  <si>
    <t>VIEWTIFUL KORANDO (D) 1.6 C3 2WD</t>
  </si>
  <si>
    <t>VIEWTIFUL KORANDO (D) 1.6 C3 4WD</t>
  </si>
  <si>
    <t>VIEWTIFUL KORANDO (D) 1.6 C5 2WD</t>
  </si>
  <si>
    <t>VIEWTIFUL KORANDO (D) 1.6 C5 4WD</t>
  </si>
  <si>
    <t>VIEWTIFUL KORANDO (D) 1.6 C7 2WD</t>
  </si>
  <si>
    <t>VIEWTIFUL KORANDO (D) 1.6 C7 4WD</t>
  </si>
  <si>
    <t>VIEWTIFUL KORANDO (D) 1.6 C5 플러스 2WD</t>
  </si>
  <si>
    <t>VIEWTIFUL KORANDO (D) 1.6 C5 플러스 4WD</t>
  </si>
  <si>
    <t>VIEWTIFUL KORANDO (D) 1.6 C3플러스 2WD</t>
  </si>
  <si>
    <t>VIEWTIFUL KORANDO (D) 1.6 R-PLUS 2WD</t>
  </si>
  <si>
    <t>VIEWTIFUL KORANDO (D) 1.6 R-PLUS 4WD</t>
  </si>
  <si>
    <t>VIEWTIFUL KORANDO (G) 1.5 C3 2WD</t>
  </si>
  <si>
    <t>VIEWTIFUL KORANDO (G) 1.5 C3 4WD</t>
  </si>
  <si>
    <t>VIEWTIFUL KORANDO (G) 1.5 C5 2WD</t>
  </si>
  <si>
    <t>VIEWTIFUL KORANDO (G) 1.5 C5 4WD</t>
  </si>
  <si>
    <t>VIEWTIFUL KORANDO (G) 1.5 C5 프라임 2WD</t>
  </si>
  <si>
    <t>VIEWTIFUL KORANDO (G) 1.5 C5 프라임 4WD</t>
  </si>
  <si>
    <t>VIEWTIFUL KORANDO (G) 1.5 C5 플러스 2WD</t>
  </si>
  <si>
    <t>VIEWTIFUL KORANDO (G) 1.5 C5 플러스 4WD</t>
  </si>
  <si>
    <t>VIEWTIFUL KORANDO (G) 1.5 C7 2WD</t>
  </si>
  <si>
    <t>VIEWTIFUL KORANDO (G) 1.5 C7 4WD</t>
  </si>
  <si>
    <t>VIEWTIFUL KORANDO (G) 1.5 C3플러스 2WD</t>
  </si>
  <si>
    <t>VIEWTIFUL KORANDO (G) 1.5 R-PLUS 2WD</t>
  </si>
  <si>
    <t>VIEWTIFUL KORANDO (G) 1.5 R-PLUS 4WD</t>
  </si>
  <si>
    <t>다마스</t>
  </si>
  <si>
    <t>DAMAS (L) 0.8 코치(5) SUPER</t>
  </si>
  <si>
    <t>DAMAS (L) 0.8 코치(5) LIBIG</t>
  </si>
  <si>
    <t>그랜드스타렉스</t>
  </si>
  <si>
    <t>THE NEW GRAND STAREX(D)2.5 왜건 스타일 11인</t>
  </si>
  <si>
    <t>THE NEW GRAND STAREX(D)2.5 왜건 스마트 11인</t>
  </si>
  <si>
    <t>THE NEW GRAND STAREX(D)2.5 왜건 모던 11인</t>
  </si>
  <si>
    <t>THE NEW GRAND STAREX(D)2.5 왜건 스타일 12인</t>
  </si>
  <si>
    <t>THE NEW GRAND STAREX(D)2.5 왜건 스마트 12인</t>
  </si>
  <si>
    <t>THE NEW GRAND STAREX(D)2.5 왜건 모던 12인</t>
  </si>
  <si>
    <t>THE NEW GRAND STAREX(D)2.5 특장 어린이보호차 12인</t>
  </si>
  <si>
    <t>THE NEW GRAND STAREX(D)2.5 특장 어린이버스 15인</t>
  </si>
  <si>
    <t>THE NEW GRAND STAREX(D)2.5 특장 구급차 5인</t>
  </si>
  <si>
    <t>THE NEW GRAND STAREX(D)2.5 특장 특수구급차 5인</t>
  </si>
  <si>
    <t>THE NEW GRAND STAREX(D)2.5 특장 특수구급차 6인</t>
  </si>
  <si>
    <t>THE NEW GRAND STAREX(D)2.5 특장 소방특수구급차 5인</t>
  </si>
  <si>
    <t>THE NEW GRAND STAREX(D)2.5 특장 소방특수구급차 6인</t>
  </si>
  <si>
    <t>THE NEW GRAND STAREX(D)2.5 특장 휠체어슬로프 7인</t>
  </si>
  <si>
    <t>THE NEW GRAND STAREX(D)2.5 특장 휠체어리프트 7인</t>
  </si>
  <si>
    <t>THE NEW GRAND STAREX(D)2.5 특장 하이루프 12인</t>
  </si>
  <si>
    <t>THE NEW GRAND STAREX (L) 2.4 왜건 스마트 12인</t>
  </si>
  <si>
    <t>THE NEW GRAND STAREX(L)2.4 특장 어린이보호차 12인</t>
  </si>
  <si>
    <t>THE NEW GRAND STAREX(L)2.4 특장 어린이버스 15인</t>
  </si>
  <si>
    <t>쏠라티</t>
  </si>
  <si>
    <t>SOLATI (D) 2.5 스탠다드 15인승</t>
  </si>
  <si>
    <t>SOLATI (D) 2.5 디럭스 15인승</t>
  </si>
  <si>
    <t>SOLATI (D) 2.5 럭셔리 15인승</t>
  </si>
  <si>
    <t>SOLATI (D) 2.5 디럭스 16인승</t>
  </si>
  <si>
    <t>SOLATI (D) 2.5 프리미엄 11인승</t>
  </si>
  <si>
    <t>THE NEW CARNIVAL (D) 2.2 럭셔리 9인승</t>
  </si>
  <si>
    <t>THE NEW CARNIVAL (D) 2.2 프레스티지 9인승</t>
  </si>
  <si>
    <t>THE NEW CARNIVAL (D) 2.2 노블레스 9인승</t>
  </si>
  <si>
    <t>THE NEW CARNIVAL (D) 2.2 노블레스스페셜 9인승</t>
  </si>
  <si>
    <t>THE NEW CARNIVAL (D) 2.2 디럭스 11인승</t>
  </si>
  <si>
    <t>THE NEW CARNIVAL (D) 2.2 프레스티지 11인승</t>
  </si>
  <si>
    <t>THE NEW CARNIVAL (D) 2.2 하이리무진 럭셔리 9인승</t>
  </si>
  <si>
    <t>THE NEW CARNIVAL (D) 2.2 하이리무진 프레스티지 9인승</t>
  </si>
  <si>
    <t>THE NEW CARNIVAL(D)2.2 하이리무진 노블레스스페셜 9인승</t>
  </si>
  <si>
    <t>THE NEW CARNIVAL (D) 2.2 하이리무진 하이루프 9인승</t>
  </si>
  <si>
    <t>THE NEW CARNIVAL(D)2.2 하이리무진 프레스티지 11인승</t>
  </si>
  <si>
    <t>THE NEW CARNIVAL(D)2.2 아웃도어 프레스티지 9인승</t>
  </si>
  <si>
    <t>THE NEW CARNIVAL (D) 2.2 하이루프 프레스티지 9인승</t>
  </si>
  <si>
    <t>CARNIVAL KA4 (D) 2.2 프레스티지 9인승</t>
  </si>
  <si>
    <t>CARNIVAL KA4 (D) 2.2 노블레스 9인승</t>
  </si>
  <si>
    <t>CARNIVAL KA4 (D) 2.2 시그니처 9인승</t>
  </si>
  <si>
    <t>CARNIVAL KA4 (D) 2.2 프레스티지 11인승</t>
  </si>
  <si>
    <t>CARNIVAL KA4 (D) 2.2 노블레스 11인승</t>
  </si>
  <si>
    <t>CARNIVAL KA4 (D) 2.2 시그니처 11인승</t>
  </si>
  <si>
    <t>CARNIVAL KA4 (D) 2.2 하이리무진 시그니처 9인승</t>
  </si>
  <si>
    <t>THE NEW CARNIVAL (G) 3.3 노블레스 9인승</t>
  </si>
  <si>
    <t>THE NEW CARNIVAL (G) 3.3 노블레스스페셜 9인승</t>
  </si>
  <si>
    <t>THE NEW CARNIVAL(G)3.3 하이리무진 노블레스스페셜 9인승</t>
  </si>
  <si>
    <t>THE NEW CARNIVAL (G) 3.3 프레스티지 9인승</t>
  </si>
  <si>
    <t>THE NEW CARNIVAL (G) 3.3 프레스티지 11인승</t>
  </si>
  <si>
    <t>THE NEW CARNIVAL(G) 3.3 하이루프 노블레스스페셜 9인승</t>
  </si>
  <si>
    <t>CARNIVAL KA4 (G) 3.5 프레스티지 9인승</t>
  </si>
  <si>
    <t>CARNIVAL KA4 (G) 3.5 노블레스 9인승</t>
  </si>
  <si>
    <t>CARNIVAL KA4 (G) 3.5 시그니처 9인승</t>
  </si>
  <si>
    <t>CARNIVAL KA4 (G) 3.5 프레스티지 11인승</t>
  </si>
  <si>
    <t>CARNIVAL KA4 (G) 3.5 노블레스 11인승</t>
  </si>
  <si>
    <t>CARNIVAL KA4 (G) 3.5 시그니처 11인승</t>
  </si>
  <si>
    <t>CARNIVAL KA4 (G) 3.5 하이리무진 시그니처 9인승</t>
  </si>
  <si>
    <t>마스터</t>
  </si>
  <si>
    <t>MASTER (D) 2.3 BUS 13인승</t>
  </si>
  <si>
    <t>MASTER (D) 2.3 BUS 15인승</t>
  </si>
  <si>
    <t>KORANDO TURISMO (D) 2.2 TX(4WD) 11인승</t>
  </si>
  <si>
    <t>KORANDO TURISMO (D) 2.2 RX(4WD) 11인승</t>
  </si>
  <si>
    <t>KORANDO TURISMO (D) 2.2 샤토(4WD) 하이루프11인승</t>
  </si>
  <si>
    <t>KORANDO TURISMO (D) 2.2 KX 2WD 11인승</t>
  </si>
  <si>
    <t>일반형</t>
  </si>
  <si>
    <t>일반형</t>
    <phoneticPr fontId="1" type="noConversion"/>
  </si>
  <si>
    <t>경제형</t>
    <phoneticPr fontId="1" type="noConversion"/>
  </si>
  <si>
    <t>고급형</t>
    <phoneticPr fontId="1" type="noConversion"/>
  </si>
  <si>
    <t>공급가</t>
    <phoneticPr fontId="1" type="noConversion"/>
  </si>
  <si>
    <t>부가세</t>
    <phoneticPr fontId="1" type="noConversion"/>
  </si>
  <si>
    <t>확인</t>
    <phoneticPr fontId="1" type="noConversion"/>
  </si>
  <si>
    <t>code</t>
    <phoneticPr fontId="1" type="noConversion"/>
  </si>
  <si>
    <t>견적2</t>
    <phoneticPr fontId="1" type="noConversion"/>
  </si>
  <si>
    <t>견적3</t>
    <phoneticPr fontId="1" type="noConversion"/>
  </si>
  <si>
    <t>조합비</t>
    <phoneticPr fontId="1" type="noConversion"/>
  </si>
  <si>
    <t>잔가율</t>
    <phoneticPr fontId="1" type="noConversion"/>
  </si>
  <si>
    <t>무보증잔존가치</t>
    <phoneticPr fontId="1" type="noConversion"/>
  </si>
  <si>
    <t>계약기간</t>
    <phoneticPr fontId="1" type="noConversion"/>
  </si>
  <si>
    <t>수수료</t>
    <phoneticPr fontId="1" type="noConversion"/>
  </si>
  <si>
    <t>보증금</t>
    <phoneticPr fontId="1" type="noConversion"/>
  </si>
  <si>
    <t>선납금</t>
    <phoneticPr fontId="1" type="noConversion"/>
  </si>
  <si>
    <t>선납금 차감액</t>
    <phoneticPr fontId="1" type="noConversion"/>
  </si>
  <si>
    <t>할인율</t>
    <phoneticPr fontId="1" type="noConversion"/>
  </si>
  <si>
    <t>상품명</t>
    <phoneticPr fontId="1" type="noConversion"/>
  </si>
  <si>
    <t>선택형</t>
  </si>
  <si>
    <t>선택형</t>
    <phoneticPr fontId="1" type="noConversion"/>
  </si>
  <si>
    <t>유종</t>
    <phoneticPr fontId="1" type="noConversion"/>
  </si>
  <si>
    <t>정비등급</t>
    <phoneticPr fontId="1" type="noConversion"/>
  </si>
  <si>
    <t>출고지 / 도착지</t>
    <phoneticPr fontId="1" type="noConversion"/>
  </si>
  <si>
    <t>보험등급</t>
    <phoneticPr fontId="1" type="noConversion"/>
  </si>
  <si>
    <t>배기량</t>
    <phoneticPr fontId="1" type="noConversion"/>
  </si>
  <si>
    <t>CODE</t>
    <phoneticPr fontId="1" type="noConversion"/>
  </si>
  <si>
    <t>보험코드</t>
    <phoneticPr fontId="1" type="noConversion"/>
  </si>
  <si>
    <t>운전자연령</t>
    <phoneticPr fontId="1" type="noConversion"/>
  </si>
  <si>
    <t>대물</t>
    <phoneticPr fontId="1" type="noConversion"/>
  </si>
  <si>
    <t>정비상품</t>
    <phoneticPr fontId="1" type="noConversion"/>
  </si>
  <si>
    <t>주행거리</t>
    <phoneticPr fontId="1" type="noConversion"/>
  </si>
  <si>
    <t>출고지</t>
    <phoneticPr fontId="1" type="noConversion"/>
  </si>
  <si>
    <t>도착지</t>
    <phoneticPr fontId="1" type="noConversion"/>
  </si>
  <si>
    <t>2억</t>
  </si>
  <si>
    <t>만21세이상</t>
    <phoneticPr fontId="1" type="noConversion"/>
  </si>
  <si>
    <t>만26세이상</t>
    <phoneticPr fontId="1" type="noConversion"/>
  </si>
  <si>
    <t>만21세이상</t>
    <phoneticPr fontId="1" type="noConversion"/>
  </si>
  <si>
    <t>만26세이상</t>
    <phoneticPr fontId="1" type="noConversion"/>
  </si>
  <si>
    <t>법인사업자</t>
    <phoneticPr fontId="1" type="noConversion"/>
  </si>
  <si>
    <t>특약</t>
  </si>
  <si>
    <t>특약</t>
    <phoneticPr fontId="1" type="noConversion"/>
  </si>
  <si>
    <t>법인사업자특약</t>
    <phoneticPr fontId="1" type="noConversion"/>
  </si>
  <si>
    <t>고객구분</t>
    <phoneticPr fontId="1" type="noConversion"/>
  </si>
  <si>
    <t>특약코드</t>
    <phoneticPr fontId="1" type="noConversion"/>
  </si>
  <si>
    <t>정비코드</t>
    <phoneticPr fontId="1" type="noConversion"/>
  </si>
  <si>
    <t>CODE</t>
    <phoneticPr fontId="1" type="noConversion"/>
  </si>
  <si>
    <t>서울시</t>
  </si>
  <si>
    <t>경기도</t>
  </si>
  <si>
    <t>인천시</t>
  </si>
  <si>
    <t>강원(영동)</t>
  </si>
  <si>
    <t>강원(영서)</t>
  </si>
  <si>
    <t>충청남도</t>
  </si>
  <si>
    <t>충청북도</t>
  </si>
  <si>
    <t>경상북도</t>
  </si>
  <si>
    <t>경상남도</t>
  </si>
  <si>
    <t>전라북도</t>
  </si>
  <si>
    <t>전라남도</t>
  </si>
  <si>
    <t>광주시</t>
  </si>
  <si>
    <t>울산시</t>
  </si>
  <si>
    <t>부산시</t>
  </si>
  <si>
    <t>도착지</t>
    <phoneticPr fontId="1" type="noConversion"/>
  </si>
  <si>
    <t>서울시</t>
    <phoneticPr fontId="1" type="noConversion"/>
  </si>
  <si>
    <t>경기도</t>
    <phoneticPr fontId="1" type="noConversion"/>
  </si>
  <si>
    <t>출발지</t>
    <phoneticPr fontId="1" type="noConversion"/>
  </si>
  <si>
    <t>공급가액</t>
    <phoneticPr fontId="1" type="noConversion"/>
  </si>
  <si>
    <t>세액</t>
    <phoneticPr fontId="1" type="noConversion"/>
  </si>
  <si>
    <t>아산</t>
    <phoneticPr fontId="1" type="noConversion"/>
  </si>
  <si>
    <t>광주</t>
    <phoneticPr fontId="1" type="noConversion"/>
  </si>
  <si>
    <t>화성</t>
    <phoneticPr fontId="1" type="noConversion"/>
  </si>
  <si>
    <t>덕평</t>
    <phoneticPr fontId="1" type="noConversion"/>
  </si>
  <si>
    <t>광명</t>
    <phoneticPr fontId="1" type="noConversion"/>
  </si>
  <si>
    <t>서산</t>
    <phoneticPr fontId="1" type="noConversion"/>
  </si>
  <si>
    <t>르노삼성</t>
    <phoneticPr fontId="1" type="noConversion"/>
  </si>
  <si>
    <t>부산</t>
    <phoneticPr fontId="1" type="noConversion"/>
  </si>
  <si>
    <t>쌍용</t>
    <phoneticPr fontId="1" type="noConversion"/>
  </si>
  <si>
    <t>평택</t>
    <phoneticPr fontId="1" type="noConversion"/>
  </si>
  <si>
    <t>쉐보레</t>
    <phoneticPr fontId="1" type="noConversion"/>
  </si>
  <si>
    <t>창원</t>
    <phoneticPr fontId="1" type="noConversion"/>
  </si>
  <si>
    <t>인천</t>
    <phoneticPr fontId="1" type="noConversion"/>
  </si>
  <si>
    <t>도착지</t>
    <phoneticPr fontId="1" type="noConversion"/>
  </si>
  <si>
    <t>탁송료</t>
    <phoneticPr fontId="1" type="noConversion"/>
  </si>
  <si>
    <t>월 대여료</t>
    <phoneticPr fontId="1" type="noConversion"/>
  </si>
  <si>
    <t>선납금 차감 후</t>
    <phoneticPr fontId="1" type="noConversion"/>
  </si>
  <si>
    <t>선납금 차감후</t>
    <phoneticPr fontId="1" type="noConversion"/>
  </si>
  <si>
    <t>인수금액</t>
    <phoneticPr fontId="1" type="noConversion"/>
  </si>
  <si>
    <t>썬팅-전면</t>
  </si>
  <si>
    <t>루마-GG</t>
  </si>
  <si>
    <t>루마-SUPER</t>
  </si>
  <si>
    <t>루마-피너클</t>
  </si>
  <si>
    <t>3M-XP</t>
  </si>
  <si>
    <t>3M-DK</t>
  </si>
  <si>
    <t>대상</t>
    <phoneticPr fontId="1" type="noConversion"/>
  </si>
  <si>
    <t>썬팅-측후면</t>
  </si>
  <si>
    <t xml:space="preserve">◎ 고객명 </t>
    <phoneticPr fontId="1" type="noConversion"/>
  </si>
  <si>
    <t>귀하</t>
    <phoneticPr fontId="1" type="noConversion"/>
  </si>
  <si>
    <t xml:space="preserve">◎ 견적일자 </t>
    <phoneticPr fontId="1" type="noConversion"/>
  </si>
  <si>
    <t>◎ 견적담당</t>
    <phoneticPr fontId="1" type="noConversion"/>
  </si>
  <si>
    <t>◎ 연락처</t>
    <phoneticPr fontId="1" type="noConversion"/>
  </si>
  <si>
    <t>◎ 차량정보</t>
    <phoneticPr fontId="1" type="noConversion"/>
  </si>
  <si>
    <t>제조사</t>
    <phoneticPr fontId="1" type="noConversion"/>
  </si>
  <si>
    <t>차량명</t>
    <phoneticPr fontId="1" type="noConversion"/>
  </si>
  <si>
    <t>옵션사양</t>
    <phoneticPr fontId="1" type="noConversion"/>
  </si>
  <si>
    <t>외장색상</t>
    <phoneticPr fontId="1" type="noConversion"/>
  </si>
  <si>
    <t>내장색상</t>
    <phoneticPr fontId="1" type="noConversion"/>
  </si>
  <si>
    <t>총 차량가격</t>
    <phoneticPr fontId="1" type="noConversion"/>
  </si>
  <si>
    <t>연료</t>
    <phoneticPr fontId="1" type="noConversion"/>
  </si>
  <si>
    <t>배기량</t>
    <phoneticPr fontId="1" type="noConversion"/>
  </si>
  <si>
    <t>◎ 유효기간</t>
    <phoneticPr fontId="1" type="noConversion"/>
  </si>
  <si>
    <t>◎ 계약조건</t>
    <phoneticPr fontId="1" type="noConversion"/>
  </si>
  <si>
    <t>견적2</t>
    <phoneticPr fontId="1" type="noConversion"/>
  </si>
  <si>
    <t>견적3</t>
    <phoneticPr fontId="1" type="noConversion"/>
  </si>
  <si>
    <t>구분</t>
    <phoneticPr fontId="1" type="noConversion"/>
  </si>
  <si>
    <t>계약기간</t>
    <phoneticPr fontId="1" type="noConversion"/>
  </si>
  <si>
    <t>보증금</t>
    <phoneticPr fontId="1" type="noConversion"/>
  </si>
  <si>
    <t>정비서비스</t>
    <phoneticPr fontId="1" type="noConversion"/>
  </si>
  <si>
    <t>만기 인수금액</t>
    <phoneticPr fontId="1" type="noConversion"/>
  </si>
  <si>
    <t>만기 처리</t>
    <phoneticPr fontId="1" type="noConversion"/>
  </si>
  <si>
    <t>약정주행거리/년</t>
    <phoneticPr fontId="1" type="noConversion"/>
  </si>
  <si>
    <t>담보</t>
    <phoneticPr fontId="1" type="noConversion"/>
  </si>
  <si>
    <t>이행보증보험</t>
    <phoneticPr fontId="1" type="noConversion"/>
  </si>
  <si>
    <t>선납
대여료</t>
    <phoneticPr fontId="1" type="noConversion"/>
  </si>
  <si>
    <t>총액</t>
    <phoneticPr fontId="1" type="noConversion"/>
  </si>
  <si>
    <t>월 차감액</t>
    <phoneticPr fontId="1" type="noConversion"/>
  </si>
  <si>
    <t>선납금 차감 후 월 대여료</t>
    <phoneticPr fontId="1" type="noConversion"/>
  </si>
  <si>
    <t>공급가액</t>
    <phoneticPr fontId="1" type="noConversion"/>
  </si>
  <si>
    <t>부가세</t>
    <phoneticPr fontId="1" type="noConversion"/>
  </si>
  <si>
    <t xml:space="preserve"> 월 대여료</t>
    <phoneticPr fontId="1" type="noConversion"/>
  </si>
  <si>
    <t>◎ 보험조건</t>
    <phoneticPr fontId="1" type="noConversion"/>
  </si>
  <si>
    <t>자기부담금</t>
  </si>
  <si>
    <t>기본가입</t>
    <phoneticPr fontId="1" type="noConversion"/>
  </si>
  <si>
    <t>운전자연령</t>
    <phoneticPr fontId="1" type="noConversion"/>
  </si>
  <si>
    <t>보험담보</t>
    <phoneticPr fontId="1" type="noConversion"/>
  </si>
  <si>
    <t>대물보상</t>
    <phoneticPr fontId="1" type="noConversion"/>
  </si>
  <si>
    <t>임직원한정특약</t>
    <phoneticPr fontId="1" type="noConversion"/>
  </si>
  <si>
    <t>임직원한정특약</t>
    <phoneticPr fontId="1" type="noConversion"/>
  </si>
  <si>
    <t>자기부담금</t>
    <phoneticPr fontId="1" type="noConversion"/>
  </si>
  <si>
    <t>대인</t>
    <phoneticPr fontId="1" type="noConversion"/>
  </si>
  <si>
    <t>무한</t>
    <phoneticPr fontId="1" type="noConversion"/>
  </si>
  <si>
    <t>자기신체손해</t>
    <phoneticPr fontId="1" type="noConversion"/>
  </si>
  <si>
    <t>1억</t>
    <phoneticPr fontId="1" type="noConversion"/>
  </si>
  <si>
    <t>자차손해면책</t>
    <phoneticPr fontId="1" type="noConversion"/>
  </si>
  <si>
    <t>가입</t>
    <phoneticPr fontId="1" type="noConversion"/>
  </si>
  <si>
    <t>무보험/긴급출동</t>
    <phoneticPr fontId="1" type="noConversion"/>
  </si>
  <si>
    <t>2억/년5회</t>
    <phoneticPr fontId="1" type="noConversion"/>
  </si>
  <si>
    <t>운전자범위</t>
    <phoneticPr fontId="1" type="noConversion"/>
  </si>
  <si>
    <t>개인</t>
    <phoneticPr fontId="1" type="noConversion"/>
  </si>
  <si>
    <t>법인</t>
    <phoneticPr fontId="1" type="noConversion"/>
  </si>
  <si>
    <t>개인 범위 + 임직원</t>
    <phoneticPr fontId="1" type="noConversion"/>
  </si>
  <si>
    <t>임직원(임원의 경우 개인범위)</t>
    <phoneticPr fontId="1" type="noConversion"/>
  </si>
  <si>
    <t>임직원</t>
    <phoneticPr fontId="1" type="noConversion"/>
  </si>
  <si>
    <t>사업자-①
(임직원특약
미가입)</t>
    <phoneticPr fontId="1" type="noConversion"/>
  </si>
  <si>
    <t>사업자-②
(임직원특약
가입)</t>
    <phoneticPr fontId="1" type="noConversion"/>
  </si>
  <si>
    <t>고객 본인 및 
부모, 자녀,
 배우자</t>
    <phoneticPr fontId="1" type="noConversion"/>
  </si>
  <si>
    <t>※ 임직원 외 차량사고 보상 불가</t>
    <phoneticPr fontId="1" type="noConversion"/>
  </si>
  <si>
    <t>◎ 정비서비스 항목</t>
    <phoneticPr fontId="1" type="noConversion"/>
  </si>
  <si>
    <t xml:space="preserve"> ※ 차량관련비용 손금 불인정</t>
    <phoneticPr fontId="1" type="noConversion"/>
  </si>
  <si>
    <t>정비상품</t>
    <phoneticPr fontId="1" type="noConversion"/>
  </si>
  <si>
    <t>상품설명</t>
    <phoneticPr fontId="1" type="noConversion"/>
  </si>
  <si>
    <t>고급형(순회정비)</t>
    <phoneticPr fontId="1" type="noConversion"/>
  </si>
  <si>
    <t>경제형(입고정비)</t>
    <phoneticPr fontId="1" type="noConversion"/>
  </si>
  <si>
    <t>일반형(정비제외)</t>
    <phoneticPr fontId="1" type="noConversion"/>
  </si>
  <si>
    <t>고객부담으로 자가 정비</t>
    <phoneticPr fontId="1" type="noConversion"/>
  </si>
  <si>
    <t>점검주기</t>
    <phoneticPr fontId="1" type="noConversion"/>
  </si>
  <si>
    <t>소모품</t>
    <phoneticPr fontId="1" type="noConversion"/>
  </si>
  <si>
    <t>타이어</t>
    <phoneticPr fontId="1" type="noConversion"/>
  </si>
  <si>
    <t>대차</t>
    <phoneticPr fontId="1" type="noConversion"/>
  </si>
  <si>
    <t>법정검사</t>
    <phoneticPr fontId="1" type="noConversion"/>
  </si>
  <si>
    <t>2개월(년 6회)</t>
    <phoneticPr fontId="1" type="noConversion"/>
  </si>
  <si>
    <t>Ⅹ</t>
  </si>
  <si>
    <t>Ⅹ</t>
    <phoneticPr fontId="1" type="noConversion"/>
  </si>
  <si>
    <t>9종</t>
    <phoneticPr fontId="1" type="noConversion"/>
  </si>
  <si>
    <t>10종</t>
    <phoneticPr fontId="1" type="noConversion"/>
  </si>
  <si>
    <t>마모시 제공</t>
    <phoneticPr fontId="1" type="noConversion"/>
  </si>
  <si>
    <t>2~6본</t>
    <phoneticPr fontId="1" type="noConversion"/>
  </si>
  <si>
    <t>●</t>
    <phoneticPr fontId="1" type="noConversion"/>
  </si>
  <si>
    <t>정비센터로 고객이 차량입고</t>
    <phoneticPr fontId="1" type="noConversion"/>
  </si>
  <si>
    <t>정비사 주기별 방문</t>
    <phoneticPr fontId="1" type="noConversion"/>
  </si>
  <si>
    <t>◎ 기타사항</t>
    <phoneticPr fontId="1" type="noConversion"/>
  </si>
  <si>
    <t>◎ 고객별 준비서류</t>
    <phoneticPr fontId="1" type="noConversion"/>
  </si>
  <si>
    <r>
      <t xml:space="preserve">○ </t>
    </r>
    <r>
      <rPr>
        <b/>
        <sz val="10"/>
        <color theme="1"/>
        <rFont val="맑은 고딕"/>
        <family val="3"/>
        <charset val="129"/>
        <scheme val="minor"/>
      </rPr>
      <t>상기견적은 제조사의 차량가격 및 정부시책의 변동, 계약조건 등에 따라 변경될 수 있으며 계약체결 시 확정됩니다.</t>
    </r>
    <phoneticPr fontId="1" type="noConversion"/>
  </si>
  <si>
    <r>
      <t xml:space="preserve">○ </t>
    </r>
    <r>
      <rPr>
        <b/>
        <sz val="10"/>
        <color theme="1"/>
        <rFont val="맑은 고딕"/>
        <family val="3"/>
        <charset val="129"/>
        <scheme val="minor"/>
      </rPr>
      <t>중도 반납 시에는 계약서 약관에 규정한 중도해지 수수료를 납부하셔야 합니다. (약관 제14조 중도해지수수료 참조)</t>
    </r>
    <phoneticPr fontId="1" type="noConversion"/>
  </si>
  <si>
    <r>
      <t xml:space="preserve">○ </t>
    </r>
    <r>
      <rPr>
        <b/>
        <sz val="10"/>
        <color theme="1"/>
        <rFont val="맑은 고딕"/>
        <family val="3"/>
        <charset val="129"/>
        <scheme val="minor"/>
      </rPr>
      <t>차량의 정비는 당사와 제휴된 정비업체에서만 가능하며, 사전협의 없는 임의 수리 시 해당비용은 고객이 직접 부담하셔야 합니다.</t>
    </r>
    <phoneticPr fontId="1" type="noConversion"/>
  </si>
  <si>
    <t>연대보증인</t>
    <phoneticPr fontId="1" type="noConversion"/>
  </si>
  <si>
    <t>초과운행부담금</t>
    <phoneticPr fontId="1" type="noConversion"/>
  </si>
  <si>
    <t>블랙박스</t>
  </si>
  <si>
    <t>파인드라이브-LX700-16G</t>
  </si>
  <si>
    <t>파인드라이브-LX700-32G</t>
  </si>
  <si>
    <t>아이나비-A300-16G</t>
  </si>
  <si>
    <t>아이나비-A300-32G</t>
  </si>
  <si>
    <t>아이나비-QXD5000-32G</t>
  </si>
  <si>
    <t>내비게이션</t>
    <phoneticPr fontId="1" type="noConversion"/>
  </si>
  <si>
    <t>내비게이션</t>
  </si>
  <si>
    <t>아이나비-파로스
SN830-800*480</t>
  </si>
  <si>
    <t>파인드라이브-몬스터 8-HD DMB
1280*720</t>
  </si>
  <si>
    <t>롯데캐피탈 주식회사. 서울특별시 강남구 테헤란로 142 7층  ☎ 대표전화 1577-7700</t>
    <phoneticPr fontId="1" type="noConversion"/>
  </si>
  <si>
    <t>썬팅전면</t>
    <phoneticPr fontId="1" type="noConversion"/>
  </si>
  <si>
    <t>네비</t>
    <phoneticPr fontId="1" type="noConversion"/>
  </si>
  <si>
    <t>없음</t>
    <phoneticPr fontId="1" type="noConversion"/>
  </si>
  <si>
    <t>루마-GG</t>
    <phoneticPr fontId="1" type="noConversion"/>
  </si>
  <si>
    <t>아이나비-파로스
SN830-800*480</t>
    <phoneticPr fontId="1" type="noConversion"/>
  </si>
  <si>
    <t>썬팅농도</t>
    <phoneticPr fontId="1" type="noConversion"/>
  </si>
  <si>
    <t xml:space="preserve"> ①신분증 ②개인인감증명서</t>
    <phoneticPr fontId="1" type="noConversion"/>
  </si>
  <si>
    <t>차량모델</t>
    <phoneticPr fontId="1" type="noConversion"/>
  </si>
  <si>
    <t>대여기간</t>
    <phoneticPr fontId="1" type="noConversion"/>
  </si>
  <si>
    <t>대물담보</t>
    <phoneticPr fontId="1" type="noConversion"/>
  </si>
  <si>
    <t>임직원보험</t>
    <phoneticPr fontId="1" type="noConversion"/>
  </si>
  <si>
    <t>인승</t>
    <phoneticPr fontId="1" type="noConversion"/>
  </si>
  <si>
    <t>용품비</t>
    <phoneticPr fontId="1" type="noConversion"/>
  </si>
  <si>
    <t>차량대금</t>
    <phoneticPr fontId="1" type="noConversion"/>
  </si>
  <si>
    <t>출하장</t>
    <phoneticPr fontId="1" type="noConversion"/>
  </si>
  <si>
    <t>제등록비용(제세금)</t>
    <phoneticPr fontId="1" type="noConversion"/>
  </si>
  <si>
    <t>제등록비용(등록대행)</t>
    <phoneticPr fontId="1" type="noConversion"/>
  </si>
  <si>
    <t>개소세</t>
    <phoneticPr fontId="1" type="noConversion"/>
  </si>
  <si>
    <t>썬팅(측후)쿠폰</t>
    <phoneticPr fontId="1" type="noConversion"/>
  </si>
  <si>
    <t>견적1</t>
    <phoneticPr fontId="1" type="noConversion"/>
  </si>
  <si>
    <t>회차</t>
    <phoneticPr fontId="1" type="noConversion"/>
  </si>
  <si>
    <t>기본대여료</t>
    <phoneticPr fontId="1" type="noConversion"/>
  </si>
  <si>
    <t>원금</t>
    <phoneticPr fontId="1" type="noConversion"/>
  </si>
  <si>
    <t>이자</t>
    <phoneticPr fontId="1" type="noConversion"/>
  </si>
  <si>
    <t>미회수원금</t>
    <phoneticPr fontId="1" type="noConversion"/>
  </si>
  <si>
    <t>총현금흐름</t>
    <phoneticPr fontId="1" type="noConversion"/>
  </si>
  <si>
    <t>실질IRR</t>
    <phoneticPr fontId="1" type="noConversion"/>
  </si>
  <si>
    <t>적용금리</t>
    <phoneticPr fontId="1" type="noConversion"/>
  </si>
  <si>
    <t>IRR검증</t>
    <phoneticPr fontId="1" type="noConversion"/>
  </si>
  <si>
    <t>견적2</t>
    <phoneticPr fontId="1" type="noConversion"/>
  </si>
  <si>
    <t>무보증잔가</t>
    <phoneticPr fontId="1" type="noConversion"/>
  </si>
  <si>
    <t>견적3</t>
    <phoneticPr fontId="1" type="noConversion"/>
  </si>
  <si>
    <t>프로모션수수료</t>
    <phoneticPr fontId="1" type="noConversion"/>
  </si>
  <si>
    <t>리워드</t>
    <phoneticPr fontId="1" type="noConversion"/>
  </si>
  <si>
    <t>듀레이션</t>
    <phoneticPr fontId="1" type="noConversion"/>
  </si>
  <si>
    <t>구  분</t>
    <phoneticPr fontId="1" type="noConversion"/>
  </si>
  <si>
    <t>내  용</t>
    <phoneticPr fontId="1" type="noConversion"/>
  </si>
  <si>
    <t>비  고</t>
    <phoneticPr fontId="1" type="noConversion"/>
  </si>
  <si>
    <t>렌탈기간</t>
    <phoneticPr fontId="1" type="noConversion"/>
  </si>
  <si>
    <t>보증/선납금</t>
    <phoneticPr fontId="1" type="noConversion"/>
  </si>
  <si>
    <t>36개월, 48개월, 60개월</t>
    <phoneticPr fontId="1" type="noConversion"/>
  </si>
  <si>
    <t>상품종류</t>
    <phoneticPr fontId="1" type="noConversion"/>
  </si>
  <si>
    <t>일반(Self), 경제(입고), 고급(순회)</t>
    <phoneticPr fontId="1" type="noConversion"/>
  </si>
  <si>
    <t>내용</t>
    <phoneticPr fontId="1" type="noConversion"/>
  </si>
  <si>
    <t>중도해지수수료율</t>
    <phoneticPr fontId="1" type="noConversion"/>
  </si>
  <si>
    <t>40,35,30,25,20(1년이하~4년초과)</t>
    <phoneticPr fontId="1" type="noConversion"/>
  </si>
  <si>
    <t>%</t>
    <phoneticPr fontId="1" type="noConversion"/>
  </si>
  <si>
    <t>계약자조건</t>
    <phoneticPr fontId="1" type="noConversion"/>
  </si>
  <si>
    <t>취급불가</t>
    <phoneticPr fontId="1" type="noConversion"/>
  </si>
  <si>
    <t>자격미달</t>
    <phoneticPr fontId="1" type="noConversion"/>
  </si>
  <si>
    <t>◎ 심사조건</t>
    <phoneticPr fontId="1" type="noConversion"/>
  </si>
  <si>
    <t>← 실행견적번호 필히 적용바람!!</t>
    <phoneticPr fontId="1" type="noConversion"/>
  </si>
  <si>
    <t>롯데캐피탈 장기렌터카 실행요청서</t>
    <phoneticPr fontId="1" type="noConversion"/>
  </si>
  <si>
    <t>차량가격</t>
    <phoneticPr fontId="1" type="noConversion"/>
  </si>
  <si>
    <t>만기처리</t>
    <phoneticPr fontId="1" type="noConversion"/>
  </si>
  <si>
    <t>탁송주소</t>
    <phoneticPr fontId="1" type="noConversion"/>
  </si>
  <si>
    <t>월대여료</t>
    <phoneticPr fontId="1" type="noConversion"/>
  </si>
  <si>
    <t>선납대여료(월)</t>
    <phoneticPr fontId="1" type="noConversion"/>
  </si>
  <si>
    <t>선납대여료(총)</t>
    <phoneticPr fontId="1" type="noConversion"/>
  </si>
  <si>
    <t>만기인수가</t>
    <phoneticPr fontId="1" type="noConversion"/>
  </si>
  <si>
    <t>선납감안대여료</t>
    <phoneticPr fontId="1" type="noConversion"/>
  </si>
  <si>
    <t>전면썬팅</t>
    <phoneticPr fontId="1" type="noConversion"/>
  </si>
  <si>
    <t>전면농도</t>
    <phoneticPr fontId="1" type="noConversion"/>
  </si>
  <si>
    <t>측후면썬팅</t>
    <phoneticPr fontId="1" type="noConversion"/>
  </si>
  <si>
    <t>측후면농도</t>
    <phoneticPr fontId="1" type="noConversion"/>
  </si>
  <si>
    <t>수수료(AG)</t>
    <phoneticPr fontId="1" type="noConversion"/>
  </si>
  <si>
    <t>지급처</t>
    <phoneticPr fontId="1" type="noConversion"/>
  </si>
  <si>
    <t>운전연령</t>
    <phoneticPr fontId="1" type="noConversion"/>
  </si>
  <si>
    <t>수수료(CM)</t>
    <phoneticPr fontId="1" type="noConversion"/>
  </si>
  <si>
    <t>※ 최종 견적조건 선택 후 제출 필수 ※</t>
    <phoneticPr fontId="1" type="noConversion"/>
  </si>
  <si>
    <t>탁송지주소</t>
    <phoneticPr fontId="1" type="noConversion"/>
  </si>
  <si>
    <t>★ 정비,사고 대표번호 : 1588-4800★</t>
    <phoneticPr fontId="1" type="noConversion"/>
  </si>
  <si>
    <t>★ 일반,문의 대표번호 : 1577-7700★</t>
    <phoneticPr fontId="1" type="noConversion"/>
  </si>
  <si>
    <r>
      <t xml:space="preserve">○ </t>
    </r>
    <r>
      <rPr>
        <b/>
        <sz val="10"/>
        <color theme="1"/>
        <rFont val="맑은 고딕"/>
        <family val="3"/>
        <charset val="129"/>
        <scheme val="minor"/>
      </rPr>
      <t xml:space="preserve">최초 납입액은 </t>
    </r>
    <r>
      <rPr>
        <b/>
        <u/>
        <sz val="12"/>
        <color rgb="FFFF0000"/>
        <rFont val="맑은 고딕"/>
        <family val="3"/>
        <charset val="129"/>
        <scheme val="minor"/>
      </rPr>
      <t>(신한은행, 249-05-005304, 롯데캐피탈(주))</t>
    </r>
    <r>
      <rPr>
        <b/>
        <sz val="10"/>
        <color theme="1"/>
        <rFont val="맑은 고딕"/>
        <family val="3"/>
        <charset val="129"/>
        <scheme val="minor"/>
      </rPr>
      <t xml:space="preserve"> 입금해야하며, 타 계좌 입금 요구시 필히 본사로 확인하시기 바랍니다.</t>
    </r>
    <phoneticPr fontId="1" type="noConversion"/>
  </si>
  <si>
    <t>없음</t>
  </si>
  <si>
    <t>개인</t>
  </si>
  <si>
    <t>Max 10% (AG+CM)</t>
    <phoneticPr fontId="1" type="noConversion"/>
  </si>
  <si>
    <t>HEV</t>
  </si>
  <si>
    <t>G70</t>
  </si>
  <si>
    <t>G80</t>
  </si>
  <si>
    <t>프레스티지</t>
  </si>
  <si>
    <t>GV70</t>
  </si>
  <si>
    <t>GV80</t>
  </si>
  <si>
    <t>스타리아</t>
  </si>
  <si>
    <t>K8</t>
  </si>
  <si>
    <t>E1</t>
  </si>
  <si>
    <t>D1</t>
  </si>
  <si>
    <t>B1</t>
  </si>
  <si>
    <t>C1</t>
  </si>
  <si>
    <t>F1</t>
  </si>
  <si>
    <t>K8_2.5_가솔린_5인승_</t>
  </si>
  <si>
    <t>K8_3.5_가솔린_5인승_</t>
  </si>
  <si>
    <t>K8_1.6_HEV_5인승_</t>
  </si>
  <si>
    <t>셀토스_1.6_가솔린_5인승_</t>
  </si>
  <si>
    <t>셀토스_1.6_디젤_5인승_</t>
  </si>
  <si>
    <t>카니발_2.2_디젤_7인승_</t>
  </si>
  <si>
    <t>카니발_2.2_디젤_9인승_</t>
  </si>
  <si>
    <t>카니발_2.2_디젤_11인승_</t>
  </si>
  <si>
    <t>그랜저_2.5_가솔린_5인승_</t>
  </si>
  <si>
    <t>팰리세이드_3.8_가솔린_7인승_</t>
  </si>
  <si>
    <t>팰리세이드_3.8_가솔린_8인승_</t>
  </si>
  <si>
    <t>팰리세이드_2.2_디젤_7인승_</t>
  </si>
  <si>
    <t>팰리세이드_2.2_디젤_8인승_</t>
  </si>
  <si>
    <t>특판구분</t>
    <phoneticPr fontId="1" type="noConversion"/>
  </si>
  <si>
    <t>특판</t>
    <phoneticPr fontId="1" type="noConversion"/>
  </si>
  <si>
    <t>대리점/지점</t>
    <phoneticPr fontId="1" type="noConversion"/>
  </si>
  <si>
    <t>만26세이상</t>
  </si>
  <si>
    <t>1만km</t>
    <phoneticPr fontId="1" type="noConversion"/>
  </si>
  <si>
    <t>1.5만km</t>
    <phoneticPr fontId="1" type="noConversion"/>
  </si>
  <si>
    <t>2.5만km</t>
    <phoneticPr fontId="1" type="noConversion"/>
  </si>
  <si>
    <t>사고적립금21세</t>
    <phoneticPr fontId="1" type="noConversion"/>
  </si>
  <si>
    <t>사고적립금26세</t>
    <phoneticPr fontId="1" type="noConversion"/>
  </si>
  <si>
    <t>집하장 / 제조사 탁송료</t>
    <phoneticPr fontId="1" type="noConversion"/>
  </si>
  <si>
    <t>GV70_2.2_디젤_5인승_</t>
  </si>
  <si>
    <t>자기부담금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</si>
  <si>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</si>
  <si>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</si>
  <si>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</si>
  <si>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</si>
  <si>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</si>
  <si>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</si>
  <si>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</si>
  <si>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</si>
  <si>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</si>
  <si>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J1</t>
    <phoneticPr fontId="1" type="noConversion"/>
  </si>
  <si>
    <t>K1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</si>
  <si>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</si>
  <si>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</si>
  <si>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</si>
  <si>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O1</t>
    <phoneticPr fontId="1" type="noConversion"/>
  </si>
  <si>
    <t>P1</t>
    <phoneticPr fontId="1" type="noConversion"/>
  </si>
  <si>
    <t>Q1</t>
    <phoneticPr fontId="1" type="noConversion"/>
  </si>
  <si>
    <t>R1</t>
    <phoneticPr fontId="1" type="noConversion"/>
  </si>
  <si>
    <t>S1</t>
    <phoneticPr fontId="1" type="noConversion"/>
  </si>
  <si>
    <t>T1</t>
    <phoneticPr fontId="1" type="noConversion"/>
  </si>
  <si>
    <t>U1</t>
    <phoneticPr fontId="1" type="noConversion"/>
  </si>
  <si>
    <t>V1</t>
    <phoneticPr fontId="1" type="noConversion"/>
  </si>
  <si>
    <t>W1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</si>
  <si>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</si>
  <si>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</si>
  <si>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</si>
  <si>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</si>
  <si>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</si>
  <si>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</si>
  <si>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</si>
  <si>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E2</t>
    <phoneticPr fontId="1" type="noConversion"/>
  </si>
  <si>
    <t>F2</t>
    <phoneticPr fontId="1" type="noConversion"/>
  </si>
  <si>
    <t>G2</t>
    <phoneticPr fontId="1" type="noConversion"/>
  </si>
  <si>
    <t>H2</t>
    <phoneticPr fontId="1" type="noConversion"/>
  </si>
  <si>
    <t>잔가등급</t>
    <phoneticPr fontId="1" type="noConversion"/>
  </si>
  <si>
    <t>주행거리 잔가</t>
    <phoneticPr fontId="1" type="noConversion"/>
  </si>
  <si>
    <t>36개월</t>
    <phoneticPr fontId="1" type="noConversion"/>
  </si>
  <si>
    <t>48개월</t>
    <phoneticPr fontId="1" type="noConversion"/>
  </si>
  <si>
    <t>60개월</t>
    <phoneticPr fontId="1" type="noConversion"/>
  </si>
  <si>
    <t>그랜저_3.3_가솔린_5인승_</t>
  </si>
  <si>
    <t>그랜저_2.4_HEV_5인승_</t>
  </si>
  <si>
    <t>G80_2.5_가솔린_5인승_</t>
  </si>
  <si>
    <t>G80_3.5_가솔린_5인승_</t>
  </si>
  <si>
    <t>GV70_2.5_가솔린_5인승_</t>
  </si>
  <si>
    <t>GV70_3.5_가솔린_5인승_</t>
  </si>
  <si>
    <t>GV80_3.0_디젤_5인승_</t>
  </si>
  <si>
    <t>GV80_3.0_디젤_7인승_</t>
  </si>
  <si>
    <t>GV80_2.5_가솔린_5인승_</t>
  </si>
  <si>
    <t>GV80_2.5_가솔린_7인승_</t>
  </si>
  <si>
    <t>GV80_3.5_가솔린_5인승_</t>
  </si>
  <si>
    <t>GV80_3.5_가솔린_7인승_</t>
  </si>
  <si>
    <t>쏘렌토_2.2_디젤_5인승_</t>
  </si>
  <si>
    <t>쏘렌토_2.2_디젤_6인승_</t>
  </si>
  <si>
    <t>쏘렌토_2.2_디젤_7인승_</t>
  </si>
  <si>
    <t>대리점/지점 할인금액</t>
    <phoneticPr fontId="1" type="noConversion"/>
  </si>
  <si>
    <t>출고구분</t>
    <phoneticPr fontId="1" type="noConversion"/>
  </si>
  <si>
    <t>지점할인금액</t>
    <phoneticPr fontId="1" type="noConversion"/>
  </si>
  <si>
    <t>1만km ~ 3만km</t>
    <phoneticPr fontId="1" type="noConversion"/>
  </si>
  <si>
    <t>보증+선납 Max 30%</t>
    <phoneticPr fontId="1" type="noConversion"/>
  </si>
  <si>
    <t>재고차량 출고기간</t>
    <phoneticPr fontId="1" type="noConversion"/>
  </si>
  <si>
    <t>단톡방 확인 필수</t>
    <phoneticPr fontId="1" type="noConversion"/>
  </si>
  <si>
    <t>할인후면세가</t>
    <phoneticPr fontId="1" type="noConversion"/>
  </si>
  <si>
    <t>연료 / 배기량</t>
    <phoneticPr fontId="1" type="noConversion"/>
  </si>
  <si>
    <t>재고차량 계약번호</t>
    <phoneticPr fontId="1" type="noConversion"/>
  </si>
  <si>
    <t>구분/고객명</t>
    <phoneticPr fontId="1" type="noConversion"/>
  </si>
  <si>
    <t>재고계약번호</t>
    <phoneticPr fontId="1" type="noConversion"/>
  </si>
  <si>
    <t>공지사항</t>
    <phoneticPr fontId="1" type="noConversion"/>
  </si>
  <si>
    <t>만 26세 이상</t>
    <phoneticPr fontId="1" type="noConversion"/>
  </si>
  <si>
    <t>합계</t>
  </si>
  <si>
    <t>판매구분</t>
    <phoneticPr fontId="1" type="noConversion"/>
  </si>
  <si>
    <t>2차탁송비</t>
    <phoneticPr fontId="1" type="noConversion"/>
  </si>
  <si>
    <t>쏘렌토_1.6_HEV_5인승_2WD</t>
  </si>
  <si>
    <t>쏘렌토_1.6_HEV_6인승_2WD</t>
  </si>
  <si>
    <t>쏘렌토_1.6_HEV_7인승_2WD</t>
  </si>
  <si>
    <t>쏘렌토_1.6_HEV1_5인승_4WD</t>
  </si>
  <si>
    <t>쏘렌토_1.6_HEV1_6인승_4WD</t>
  </si>
  <si>
    <t>쏘렌토_1.6_HEV1_7인승_4WD</t>
  </si>
  <si>
    <t>승용</t>
  </si>
  <si>
    <t>1600CC 이하</t>
  </si>
  <si>
    <t>화성</t>
  </si>
  <si>
    <t>2200CC 이하</t>
  </si>
  <si>
    <t>2.0 가솔린 프레스티지</t>
  </si>
  <si>
    <t>2.0 가솔린 노블레스</t>
  </si>
  <si>
    <t>2.0 가솔린 시그니처</t>
  </si>
  <si>
    <t>1.6 가솔린 터보 프레스티지</t>
  </si>
  <si>
    <t>1.6 가솔린 터보 노블레스</t>
  </si>
  <si>
    <t>1.6 가솔린 터보 시그니처</t>
  </si>
  <si>
    <t>노블레스</t>
  </si>
  <si>
    <t>시그니처</t>
  </si>
  <si>
    <t>K8_2.5 GDI 노블레스 라이트</t>
  </si>
  <si>
    <t>2.5 GDI 노블레스 라이트</t>
  </si>
  <si>
    <t>3200CC 이하</t>
  </si>
  <si>
    <t>K8_2.5 GDI 노블레스</t>
  </si>
  <si>
    <t>2.5 GDI 노블레스</t>
  </si>
  <si>
    <t>K8_2.5 GDI 시그니처</t>
  </si>
  <si>
    <t>2.5 GDI 시그니처</t>
  </si>
  <si>
    <t>K8_3.5 GDI 2WD 노블레스 라이트</t>
  </si>
  <si>
    <t>3.5 GDI 2WD 노블레스 라이트</t>
  </si>
  <si>
    <t>3900CC 이하</t>
  </si>
  <si>
    <t>K8_3.5 GDI 2WD 노블레스</t>
  </si>
  <si>
    <t>3.5 GDI 2WD 노블레스</t>
  </si>
  <si>
    <t>K8_3.5 GDI 2WD 시그니처</t>
  </si>
  <si>
    <t>3.5 GDI 2WD 시그니처</t>
  </si>
  <si>
    <t>K8_3.5 GDI 4WD 노블레스</t>
  </si>
  <si>
    <t>3.5 GDI 4WD 노블레스</t>
  </si>
  <si>
    <t>K8_3.5 GDI 4WD 시그니처</t>
  </si>
  <si>
    <t>3.5 GDI 4WD 시그니처</t>
  </si>
  <si>
    <t>K8_3.5 GDI 4WD 플래티넘</t>
  </si>
  <si>
    <t>3.5 GDI 4WD 플래티넘</t>
  </si>
  <si>
    <t>K8 하이브리드_노블레스 라이트</t>
  </si>
  <si>
    <t>K8 하이브리드</t>
  </si>
  <si>
    <t>노블레스 라이트</t>
  </si>
  <si>
    <t>K8 하이브리드_노블레스</t>
  </si>
  <si>
    <t>K8 하이브리드_시그니처</t>
  </si>
  <si>
    <t>더 뉴K9(RJ)_3.8 가솔린 플래티넘</t>
  </si>
  <si>
    <t>더 뉴K9(RJ)</t>
  </si>
  <si>
    <t>3.8 가솔린 플래티넘</t>
  </si>
  <si>
    <t>광명</t>
  </si>
  <si>
    <t>더 뉴K9(RJ)_3.8 가솔린 AWD 플래티넘</t>
  </si>
  <si>
    <t>3.8 가솔린 AWD 플래티넘</t>
  </si>
  <si>
    <t>더 뉴K9(RJ)_3.8 가솔린 AWD 플래티넘 베스트셀렉션Ⅰ</t>
  </si>
  <si>
    <t>3.8 가솔린 AWD 플래티넘 베스트셀렉션Ⅰ</t>
  </si>
  <si>
    <t>더 뉴K9(RJ)_3.8 가솔린 AWD 마스터즈</t>
  </si>
  <si>
    <t>3.8 가솔린 AWD 마스터즈</t>
  </si>
  <si>
    <t>더 뉴K9(RJ)_3.8 가솔린 AWD 마스터즈 베스트셀렉션Ⅱ</t>
  </si>
  <si>
    <t>3.8 가솔린 AWD 마스터즈 베스트셀렉션Ⅱ</t>
  </si>
  <si>
    <t>더 뉴K9(RJ)_3.3 가솔린 터보 플래티넘</t>
  </si>
  <si>
    <t>3.3 가솔린 터보 플래티넘</t>
  </si>
  <si>
    <t>더 뉴K9(RJ)_3.3 가솔린 터보 AWD 플래티넘</t>
  </si>
  <si>
    <t>3.3 가솔린 터보 AWD 플래티넘</t>
  </si>
  <si>
    <t>더 뉴K9(RJ)_3.3 가솔린 터보 AWD 플래티넘 베스트셀렉션Ⅰ</t>
  </si>
  <si>
    <t>3.3 가솔린 터보 AWD 플래티넘 베스트셀렉션Ⅰ</t>
  </si>
  <si>
    <t>더 뉴K9(RJ)_3.3 가솔린 터보 AWD 마스터즈</t>
  </si>
  <si>
    <t>3.3 가솔린 터보 AWD 마스터즈</t>
  </si>
  <si>
    <t>더 뉴K9(RJ)_3.3 가솔린 터보 AWD 마스터즈 베스트셀렉션Ⅱ</t>
  </si>
  <si>
    <t>3.3 가솔린 터보 AWD 마스터즈 베스트셀렉션Ⅱ</t>
  </si>
  <si>
    <t>더 뉴니로_HEV 트렌디</t>
  </si>
  <si>
    <t>더 뉴니로</t>
  </si>
  <si>
    <t>HEV 트렌디</t>
  </si>
  <si>
    <t>RV저가형(2000CC 이하)</t>
  </si>
  <si>
    <t>더 뉴니로_HEV 프레스티지</t>
  </si>
  <si>
    <t>HEV 프레스티지</t>
  </si>
  <si>
    <t>더 뉴니로_HEV 시그니처</t>
  </si>
  <si>
    <t>HEV 시그니처</t>
  </si>
  <si>
    <t>더 뉴레이</t>
  </si>
  <si>
    <t>1000CC 이하</t>
  </si>
  <si>
    <t>서산</t>
  </si>
  <si>
    <t>RV고가형(2000CC 초과)</t>
  </si>
  <si>
    <t>다인승</t>
  </si>
  <si>
    <t>셀토스_1.6 가솔린 터보 2WD 트렌디</t>
  </si>
  <si>
    <t>1.6 가솔린 터보 2WD 트렌디</t>
  </si>
  <si>
    <t>광주</t>
  </si>
  <si>
    <t>셀토스_1.6 가솔린 터보 2WD 프레스티지</t>
  </si>
  <si>
    <t>1.6 가솔린 터보 2WD 프레스티지</t>
  </si>
  <si>
    <t>셀토스_1.6 가솔린 터보 2WD 시그니처</t>
  </si>
  <si>
    <t>1.6 가솔린 터보 2WD 시그니처</t>
  </si>
  <si>
    <t>셀토스_1.6 가솔린 터보 2WD 그래비티</t>
  </si>
  <si>
    <t>1.6 가솔린 터보 2WD 그래비티</t>
  </si>
  <si>
    <t>셀토스_1.6 가솔린 터보 4WD 트렌디</t>
  </si>
  <si>
    <t>1.6 가솔린 터보 4WD 트렌디</t>
  </si>
  <si>
    <t>셀토스_1.6 가솔린 터보 4WD 프레스티지</t>
  </si>
  <si>
    <t>1.6 가솔린 터보 4WD 프레스티지</t>
  </si>
  <si>
    <t>셀토스_1.6 가솔린 터보 4WD 시그니처</t>
  </si>
  <si>
    <t>1.6 가솔린 터보 4WD 시그니처</t>
  </si>
  <si>
    <t>셀토스_1.6 가솔린 터보 4WD 그래비티</t>
  </si>
  <si>
    <t>1.6 가솔린 터보 4WD 그래비티</t>
  </si>
  <si>
    <t>셀토스_1.6 디젤 2WD 트렌디</t>
  </si>
  <si>
    <t>셀토스_1.6 디젤 2WD 프레스티지</t>
  </si>
  <si>
    <t>셀토스_1.6 디젤 2WD 시그니처</t>
  </si>
  <si>
    <t>셀토스_1.6 디젤 2WD 그래비티</t>
  </si>
  <si>
    <t>셀토스_1.6 디젤 4WD 트렌디</t>
  </si>
  <si>
    <t>셀토스_1.6 디젤 4WD 프레스티지</t>
  </si>
  <si>
    <t>셀토스_1.6 디젤 4WD 시그니처</t>
  </si>
  <si>
    <t>셀토스_1.6 디젤 4WD 그래비티</t>
  </si>
  <si>
    <t>디 올뉴스포티지</t>
  </si>
  <si>
    <t>1.6 가솔린 터보 2WD 노블레스</t>
  </si>
  <si>
    <t>신형 쏘렌토(MQ4)_2.2 디젤 5인승 트렌디</t>
  </si>
  <si>
    <t>신형 쏘렌토(MQ4)_2.2 디젤 5인승 프레스티지</t>
  </si>
  <si>
    <t>신형 쏘렌토(MQ4)_2.2 디젤 5인승 노블레스</t>
  </si>
  <si>
    <t>신형 쏘렌토(MQ4)_2.2 디젤 5인승 시그니처</t>
  </si>
  <si>
    <t>신형 쏘렌토(MQ4)_2.2 디젤 5인승 시그니처 그래비티</t>
  </si>
  <si>
    <t>신형 쏘렌토(MQ4)_2.2 디젤 7인승 트렌디</t>
  </si>
  <si>
    <t>신형 쏘렌토(MQ4)_2.2 디젤 7인승 프레스티지</t>
  </si>
  <si>
    <t>신형 쏘렌토(MQ4)_2.2 디젤 7인승 노블레스</t>
  </si>
  <si>
    <t>신형 쏘렌토(MQ4)_2.2 디젤 7인승 시그니처</t>
  </si>
  <si>
    <t>신형 쏘렌토(MQ4)_2.2 디젤 7인승 시그니처 그래비티</t>
  </si>
  <si>
    <t>쏘렌토 하이브리드_HEV 1.6 5인승 2WD 프레스티지</t>
  </si>
  <si>
    <t>쏘렌토 하이브리드_HEV 1.6 5인승 2WD 노블레스</t>
  </si>
  <si>
    <t>쏘렌토 하이브리드_HEV 1.6 5인승 2WD 시그니처</t>
  </si>
  <si>
    <t>쏘렌토 하이브리드_HEV 1.6 5인승 2WD 시그니처 그래비티</t>
  </si>
  <si>
    <t>쏘렌토 하이브리드_HEV 1.6 5인승 4WD 프레스티지</t>
  </si>
  <si>
    <t>쏘렌토 하이브리드_HEV 1.6 5인승 4WD 노블레스</t>
  </si>
  <si>
    <t>쏘렌토 하이브리드_HEV 1.6 5인승 4WD 시그니처</t>
  </si>
  <si>
    <t>쏘렌토 하이브리드_HEV 1.6 5인승 4WD 시그니처 그래비티</t>
  </si>
  <si>
    <t>쏘렌토 하이브리드_HEV 1.6 7인승 2WD 프레스티지</t>
  </si>
  <si>
    <t>쏘렌토 하이브리드_HEV 1.6 7인승 2WD 노블레스</t>
  </si>
  <si>
    <t>쏘렌토 하이브리드_HEV 1.6 7인승 2WD 시그니처</t>
  </si>
  <si>
    <t>쏘렌토 하이브리드_HEV 1.6 7인승 2WD 시그니처 그래비티</t>
  </si>
  <si>
    <t>쏘렌토 하이브리드_HEV 1.6 7인승 4WD 프레스티지</t>
  </si>
  <si>
    <t>쏘렌토 하이브리드_HEV 1.6 7인승 4WD 노블레스</t>
  </si>
  <si>
    <t>쏘렌토 하이브리드_HEV 1.6 7인승 4WD 시그니처</t>
  </si>
  <si>
    <t>쏘렌토 하이브리드_HEV 1.6 7인승 4WD 시그니처 그래비티</t>
  </si>
  <si>
    <t>신형 카니발_9인승 디젤 프레스티지</t>
  </si>
  <si>
    <t>9인승 디젤 프레스티지</t>
  </si>
  <si>
    <t>신형 카니발_9인승 디젤 노블레스</t>
  </si>
  <si>
    <t>9인승 디젤 노블레스</t>
  </si>
  <si>
    <t>신형 카니발_9인승 디젤 시그니처</t>
  </si>
  <si>
    <t>9인승 디젤 시그니처</t>
  </si>
  <si>
    <t>신형 카니발_11인승 디젤 프레스티지</t>
  </si>
  <si>
    <t>승합</t>
  </si>
  <si>
    <t>신형 카니발_11인승 디젤 노블레스</t>
  </si>
  <si>
    <t>신형 카니발_11인승 디젤 시그니처</t>
  </si>
  <si>
    <t>9인승 가솔린 프레스티지</t>
  </si>
  <si>
    <t>9인승 가솔린 노블레스</t>
  </si>
  <si>
    <t>9인승 가솔린 시그니처</t>
  </si>
  <si>
    <t>신형 카니발_7인승 디젤 노블레스</t>
  </si>
  <si>
    <t>7인승 디젤 노블레스</t>
  </si>
  <si>
    <t>신형 카니발_7인승 디젤 시그니처</t>
  </si>
  <si>
    <t>7인승 디젤 시그니처</t>
  </si>
  <si>
    <t>7인승 가솔린 노블레스</t>
  </si>
  <si>
    <t>7인승 가솔린 시그니처</t>
  </si>
  <si>
    <t>하이리무진 9인승 가솔린 시그니처</t>
  </si>
  <si>
    <t>하이리무진 7인승 가솔린 시그니처</t>
  </si>
  <si>
    <t>하이리무진 9인승 디젤 시그니처</t>
  </si>
  <si>
    <t>더 뉴G70</t>
  </si>
  <si>
    <t>더 뉴G70_가솔린 3.3 터보 2WD 기본형</t>
  </si>
  <si>
    <t>가솔린 3.3 터보 2WD 기본형</t>
  </si>
  <si>
    <t>더 뉴G70_가솔린 3.3 터보 2WD 스포츠 패키지</t>
  </si>
  <si>
    <t>가솔린 3.3 터보 2WD 스포츠 패키지</t>
  </si>
  <si>
    <t>더 뉴G70_가솔린 3.3 터보 AWD 기본형</t>
  </si>
  <si>
    <t>가솔린 3.3 터보 AWD 기본형</t>
  </si>
  <si>
    <t>더 뉴G70_가솔린 3.3 터보 AWD 스포츠 패키지</t>
  </si>
  <si>
    <t>가솔린 3.3 터보 AWD 스포츠 패키지</t>
  </si>
  <si>
    <t>더 올뉴G80_가솔린 2.5 터보 2WD 기본형</t>
  </si>
  <si>
    <t>가솔린 2.5 터보 2WD 기본형</t>
  </si>
  <si>
    <t>더 올뉴G80_가솔린 2.5 터보 AWD 기본형</t>
  </si>
  <si>
    <t>가솔린 2.5 터보 AWD 기본형</t>
  </si>
  <si>
    <t>더 올뉴G80_가솔린 3.5 터보 2WD 기본형</t>
  </si>
  <si>
    <t>가솔린 3.5 터보 2WD 기본형</t>
  </si>
  <si>
    <t>더 올뉴G80_가솔린 3.5 터보 AWD 기본형</t>
  </si>
  <si>
    <t>가솔린 3.5 터보 AWD 기본형</t>
  </si>
  <si>
    <t>GV70_가솔린 2.5 터보 2WD 기본형</t>
  </si>
  <si>
    <t>GV70_가솔린 2.5 터보 2WD 스포츠</t>
  </si>
  <si>
    <t>가솔린 2.5 터보 2WD 스포츠</t>
  </si>
  <si>
    <t>GV70_가솔린 2.5 터보 AWD 기본형</t>
  </si>
  <si>
    <t>GV70_가솔린 2.5 터보 AWD 스포츠</t>
  </si>
  <si>
    <t>가솔린 2.5 터보 AWD 스포츠</t>
  </si>
  <si>
    <t>GV70_가솔린 3.5 터보 AWD 기본형</t>
  </si>
  <si>
    <t>GV70_가솔린 3.5 터보 AWD 스포츠</t>
  </si>
  <si>
    <t>가솔린 3.5 터보 AWD 스포츠</t>
  </si>
  <si>
    <t>GV70_디젤 2.2 2WD 기본형</t>
  </si>
  <si>
    <t>GV70_디젤 2.2 2WD 스포츠</t>
  </si>
  <si>
    <t>GV70_디젤 2.2 AWD 기본형</t>
  </si>
  <si>
    <t>GV70_디젤 2.2 AWD 스포츠</t>
  </si>
  <si>
    <t>GV80_가솔린 2.5 터보 2WD 5인승 기본형</t>
  </si>
  <si>
    <t>가솔린 2.5 터보 2WD 5인승 기본형</t>
  </si>
  <si>
    <t>GV80_가솔린 2.5 터보 2WD 7인승 기본형</t>
  </si>
  <si>
    <t>가솔린 2.5 터보 2WD 7인승 기본형</t>
  </si>
  <si>
    <t>GV80_가솔린 2.5 터보 AWD 5인승 기본형</t>
  </si>
  <si>
    <t>가솔린 2.5 터보 AWD 5인승 기본형</t>
  </si>
  <si>
    <t>GV80_가솔린 2.5 터보 AWD 7인승 기본형</t>
  </si>
  <si>
    <t>가솔린 2.5 터보 AWD 7인승 기본형</t>
  </si>
  <si>
    <t>GV80_가솔린 3.5 터보 2WD 5인승 기본형</t>
  </si>
  <si>
    <t>가솔린 3.5 터보 2WD 5인승 기본형</t>
  </si>
  <si>
    <t>GV80_가솔린 3.5 터보 2WD 7인승 기본형</t>
  </si>
  <si>
    <t>가솔린 3.5 터보 2WD 7인승 기본형</t>
  </si>
  <si>
    <t>GV80_가솔린 3.5 터보 AWD 5인승 기본형</t>
  </si>
  <si>
    <t>가솔린 3.5 터보 AWD 5인승 기본형</t>
  </si>
  <si>
    <t>GV80_가솔린 3.5 터보 AWD 7인승 기본형</t>
  </si>
  <si>
    <t>가솔린 3.5 터보 AWD 7인승 기본형</t>
  </si>
  <si>
    <t>GV80_3.0 디젤 2WD 5인승 기본형</t>
  </si>
  <si>
    <t>GV80_3.0 디젤 2WD 7인승 기본형</t>
  </si>
  <si>
    <t>GV80_3.0 디젤 AWD 5인승 기본형</t>
  </si>
  <si>
    <t>GV80_3.0 디젤 AWD 7인승 기본형</t>
  </si>
  <si>
    <t>더 뉴그랜저IG_스마트스트림 가솔린 2.5 프리미엄</t>
  </si>
  <si>
    <t>그랜저</t>
  </si>
  <si>
    <t>아산</t>
  </si>
  <si>
    <t>더 뉴그랜저IG_스마트스트림 가솔린 2.5 르블랑</t>
  </si>
  <si>
    <t>더 뉴그랜저IG_스마트스트림 가솔린 2.5 익스클루시브</t>
  </si>
  <si>
    <t>더 뉴그랜저IG_스마트스트림 가솔린 2.5 캘리그래피</t>
  </si>
  <si>
    <t>더 뉴그랜저IG_가솔린 3.3 프리미엄</t>
  </si>
  <si>
    <t>더 뉴그랜저IG_가솔린 3.3 르블랑</t>
  </si>
  <si>
    <t>더 뉴그랜저IG_가솔린 3.3 익스클루시브</t>
  </si>
  <si>
    <t>더 뉴그랜저IG_가솔린 3.3 캘리그래피</t>
  </si>
  <si>
    <t>더 뉴그랜저IG 하이브리드_프리미엄</t>
  </si>
  <si>
    <t>더 뉴그랜저IG 하이브리드_르블랑</t>
  </si>
  <si>
    <t>더 뉴그랜저IG 하이브리드_익스클루시브</t>
  </si>
  <si>
    <t>더 뉴그랜저IG 하이브리드_캘리그래피</t>
  </si>
  <si>
    <t>모던</t>
  </si>
  <si>
    <t>베뉴_FLUX</t>
  </si>
  <si>
    <t>FLUX</t>
  </si>
  <si>
    <t>스타리아_2.2 디젤 투어러 11인승 2W 스마트 A/T</t>
  </si>
  <si>
    <t>2.2 디젤 투어러 11인승 2W 스마트 A/T</t>
  </si>
  <si>
    <t>스타리아_2.2 디젤 투어러 11인승 2W 모던</t>
  </si>
  <si>
    <t>2.2 디젤 투어러 11인승 2W 모던</t>
  </si>
  <si>
    <t>스타리아_2.2 디젤 투어러 11인승 4W 스마트</t>
  </si>
  <si>
    <t>2.2 디젤 투어러 11인승 4W 스마트</t>
  </si>
  <si>
    <t>스타리아_2.2 디젤 투어러 11인승 4W 모던</t>
  </si>
  <si>
    <t>2.2 디젤 투어러 11인승 4W 모던</t>
  </si>
  <si>
    <t>스타리아_2.2 디젤 투어러 9인승 2W 모던</t>
  </si>
  <si>
    <t>2.2 디젤 투어러 9인승 2W 모던</t>
  </si>
  <si>
    <t>스타리아_2.2 디젤 투어러 9인승 4W 모던</t>
  </si>
  <si>
    <t>2.2 디젤 투어러 9인승 4W 모던</t>
  </si>
  <si>
    <t>스타리아_2.2 디젤 라운지 9인승 2W 프레스티지</t>
  </si>
  <si>
    <t>2.2 디젤 라운지 9인승 2W 프레스티지</t>
  </si>
  <si>
    <t>스타리아_2.2 디젤 라운지 9인승 2W 인스퍼레이션</t>
  </si>
  <si>
    <t>2.2 디젤 라운지 9인승 2W 인스퍼레이션</t>
  </si>
  <si>
    <t>스타리아_2.2 디젤 라운지 9인승 4W 프레스티지</t>
  </si>
  <si>
    <t>2.2 디젤 라운지 9인승 4W 프레스티지</t>
  </si>
  <si>
    <t>스타리아_2.2 디젤 라운지 9인승 4W 인스퍼레이션</t>
  </si>
  <si>
    <t>2.2 디젤 라운지 9인승 4W 인스퍼레이션</t>
  </si>
  <si>
    <t>스타리아_2.2 디젤 라운지 7인승 2W 인스퍼레이션</t>
  </si>
  <si>
    <t>2.2 디젤 라운지 7인승 2W 인스퍼레이션</t>
  </si>
  <si>
    <t>스타리아_2.2 디젤 라운지 7인승 4W 인스퍼레이션</t>
  </si>
  <si>
    <t>2.2 디젤 라운지 7인승 4W 인스퍼레이션</t>
  </si>
  <si>
    <t>스타리아_3.5 LPG 투어러 11인승 모던</t>
  </si>
  <si>
    <t>3.5 LPG 투어러 11인승 모던</t>
  </si>
  <si>
    <t>스타리아_3.5 LPG 투어러 9인승 모던</t>
  </si>
  <si>
    <t>3.5 LPG 투어러 9인승 모던</t>
  </si>
  <si>
    <t>스타리아_3.5 LPG 라운지 9인승 프레스티지</t>
  </si>
  <si>
    <t>3.5 LPG 라운지 9인승 프레스티지</t>
  </si>
  <si>
    <t>스타리아_3.5 LPG 라운지 9인승 인스퍼레이션</t>
  </si>
  <si>
    <t>3.5 LPG 라운지 9인승 인스퍼레이션</t>
  </si>
  <si>
    <t>스타리아_3.5 LPG 라운지 7인승 인스퍼레이션</t>
  </si>
  <si>
    <t>3.5 LPG 라운지 7인승 인스퍼레이션</t>
  </si>
  <si>
    <t>쏘나타(DN8) 하이브리드</t>
  </si>
  <si>
    <t>인스퍼레이션</t>
  </si>
  <si>
    <t>아반떼 하이브리드(CN7)</t>
  </si>
  <si>
    <t>스마트스트림 가솔린 1.6 인스퍼레이션</t>
  </si>
  <si>
    <t>1.6 가솔린 2WD 모던</t>
  </si>
  <si>
    <t>1.6 가솔린 2WD 인스퍼레이션</t>
  </si>
  <si>
    <t>1.6 가솔린 4WD 인스퍼레이션</t>
  </si>
  <si>
    <t>2.0 가솔린 2WD 모던</t>
  </si>
  <si>
    <t>2.0 가솔린 2WD 인스퍼레이션</t>
  </si>
  <si>
    <t>가솔린 1.6 터보 2WD 모던</t>
  </si>
  <si>
    <t>가솔린 1.6 터보 2WD 프리미엄</t>
  </si>
  <si>
    <t>가솔린 1.6 터보 2WD 인스퍼레이션</t>
  </si>
  <si>
    <t>가솔린 1.6 터보 AWD 모던</t>
  </si>
  <si>
    <t>가솔린 1.6 터보 AWD 프리미엄</t>
  </si>
  <si>
    <t>가솔린 1.6 터보 AWD 인스퍼레이션</t>
  </si>
  <si>
    <t>디젤 2.0 2WD 모던</t>
  </si>
  <si>
    <t>디젤 2.0 2WD 프리미엄</t>
  </si>
  <si>
    <t>디젤 2.0 2WD 인스퍼레이션</t>
  </si>
  <si>
    <t>디젤 2.0 AWD 모던</t>
  </si>
  <si>
    <t>디젤 2.0 AWD 프리미엄</t>
  </si>
  <si>
    <t>디젤 2.0 AWD 인스퍼레이션</t>
  </si>
  <si>
    <t>팰리세이드_3.8 가솔린 2WD 8인승 익스클루시브</t>
  </si>
  <si>
    <t>팰리세이드_3.8 가솔린 2WD 7인승 익스클루시브</t>
  </si>
  <si>
    <t>팰리세이드_3.8 가솔린 2WD 8인승 프레스티지</t>
  </si>
  <si>
    <t>팰리세이드_3.8 가솔린 2WD 7인승 프레스티지</t>
  </si>
  <si>
    <t>팰리세이드_3.8 가솔린 2WD 7인승 캘리그래피</t>
  </si>
  <si>
    <t>팰리세이드_3.8 가솔린 2WD 7인승 캘리그래피 VIP</t>
  </si>
  <si>
    <t>팰리세이드_3.8 가솔린 AWD 8인승 익스클루시브</t>
  </si>
  <si>
    <t>팰리세이드_3.8 가솔린 AWD 7인승 익스클루시브</t>
  </si>
  <si>
    <t>팰리세이드_3.8 가솔린 AWD 8인승 프레스티지</t>
  </si>
  <si>
    <t>팰리세이드_3.8 가솔린 AWD 7인승 프레스티지</t>
  </si>
  <si>
    <t>팰리세이드_3.8 가솔린 AWD 7인승 캘리그래피</t>
  </si>
  <si>
    <t>팰리세이드_3.8 가솔린 AWD 7인승 캘리그래피 VIP</t>
  </si>
  <si>
    <t>팰리세이드_2.2 디젤 2WD 8인승 익스클루시브</t>
  </si>
  <si>
    <t>팰리세이드_2.2 디젤 2WD 7인승 익스클루시브</t>
  </si>
  <si>
    <t>팰리세이드_2.2 디젤 2WD 8인승 프레스티지</t>
  </si>
  <si>
    <t>팰리세이드_2.2 디젤 2WD 7인승 프레스티지</t>
  </si>
  <si>
    <t>2.2 디젤 2WD 7인승 프레스티지</t>
  </si>
  <si>
    <t>팰리세이드_2.2 디젤 2WD 7인승 캘리그래피</t>
  </si>
  <si>
    <t>팰리세이드_2.2 디젤 2WD 7인승 캘리그래피 VIP</t>
  </si>
  <si>
    <t>팰리세이드_2.2 디젤 AWD 8인승 익스클루시브</t>
  </si>
  <si>
    <t>팰리세이드_2.2 디젤 AWD 7인승 익스클루시브</t>
  </si>
  <si>
    <t>팰리세이드_2.2 디젤 AWD 8인승 프레스티지</t>
  </si>
  <si>
    <t>팰리세이드_2.2 디젤 AWD 7인승 프레스티지</t>
  </si>
  <si>
    <t>팰리세이드_2.2 디젤 AWD 7인승 캘리그래피</t>
  </si>
  <si>
    <t>팰리세이드_2.2 디젤 AWD 7인승 캘리그래피 VIP</t>
  </si>
  <si>
    <t>1.6 터보 HEV 2WD 5인승 익스클루시브</t>
  </si>
  <si>
    <t>1.6 터보 HEV 2WD 7인승 익스클루시브</t>
  </si>
  <si>
    <t>1.6 터보 HEV 2WD 5인승 프레스티지</t>
  </si>
  <si>
    <t>1.6 터보 HEV 2WD 7인승 프레스티지</t>
  </si>
  <si>
    <t>1.6 터보 HEV 2WD 5인승 캘리그래피</t>
  </si>
  <si>
    <t>1.6 터보 HEV 2WD 7인승 캘리그래피</t>
  </si>
  <si>
    <t>1.6 터보 HEV AWD 5인승 익스클루시브</t>
  </si>
  <si>
    <t>1.6 터보 HEV AWD 7인승 익스클루시브</t>
  </si>
  <si>
    <t>1.6 터보 HEV AWD 5인승 프레스티지</t>
  </si>
  <si>
    <t>1.6 터보 HEV AWD 7인승 프레스티지</t>
  </si>
  <si>
    <t>1.6 터보 HEV AWD 5인승 캘리그래피</t>
  </si>
  <si>
    <t>1.6 터보 HEV AWD 7인승 캘리그래피</t>
  </si>
  <si>
    <t>가솔린 2.5 터보 2WD 6인승 기본형</t>
  </si>
  <si>
    <t>가솔린 2.5 터보 AWD 6인승 기본형</t>
  </si>
  <si>
    <t>가솔린 3.5 터보 2WD 6인승 기본형</t>
  </si>
  <si>
    <t>가솔린 3.5 터보 AWD 6인승 기본형</t>
  </si>
  <si>
    <t>GV80_3.0 디젤 2WD 6인승 기본형</t>
  </si>
  <si>
    <t>GV80_3.0 디젤 AWD 6인승 기본형</t>
  </si>
  <si>
    <t>신형 쏘렌토(MQ4)_2.2 디젤 6인승 트렌디</t>
  </si>
  <si>
    <t>신형 쏘렌토(MQ4)_2.2 디젤 6인승 프레스티지</t>
  </si>
  <si>
    <t>신형 쏘렌토(MQ4)_2.2 디젤 6인승 노블레스</t>
  </si>
  <si>
    <t>신형 쏘렌토(MQ4)_2.2 디젤 6인승 시그니처</t>
  </si>
  <si>
    <t>신형 쏘렌토(MQ4)_2.2 디젤 6인승 시그니처 그래비티</t>
  </si>
  <si>
    <t>신형 쏘렌토(MQ4)_2.5 가솔린 6인승 트렌디</t>
  </si>
  <si>
    <t>신형 쏘렌토(MQ4)_2.5 가솔린 6인승 프레스티지</t>
  </si>
  <si>
    <t>신형 쏘렌토(MQ4)_2.5 가솔린 6인승 노블레스</t>
  </si>
  <si>
    <t>신형 쏘렌토(MQ4)_2.5 가솔린 6인승 시그니처</t>
  </si>
  <si>
    <t>신형 쏘렌토(MQ4)_2.5 가솔린 6인승 시그니처 그래비티</t>
  </si>
  <si>
    <t>쏘렌토 하이브리드_HEV 1.6_6인승 2WD 프레스티지</t>
  </si>
  <si>
    <t>쏘렌토 하이브리드_HEV 1.6_6인승 2WD 노블레스</t>
  </si>
  <si>
    <t>쏘렌토 하이브리드_HEV 1.6_6인승 2WD 시그니처</t>
  </si>
  <si>
    <t>쏘렌토 하이브리드_HEV 1.6_6인승 2WD 시그니처 그래비티</t>
  </si>
  <si>
    <t>쏘렌토 하이브리드_HEV 1.6_6인승 4WD 프레스티지</t>
  </si>
  <si>
    <t>쏘렌토 하이브리드_HEV 1.6_6인승 4WD 노블레스</t>
  </si>
  <si>
    <t>쏘렌토 하이브리드_HEV 1.6_6인승 4WD 시그니처</t>
  </si>
  <si>
    <t>쏘렌토 하이브리드_HEV 1.6_6인승 4WD 시그니처 그래비티</t>
  </si>
  <si>
    <t>GV80_3.0_디젤_6인승_</t>
  </si>
  <si>
    <t>GV80_2.5_가솔린_6인승_</t>
  </si>
  <si>
    <t>GV80_3.5_가솔린_6인승_</t>
  </si>
  <si>
    <t>GV80_가솔린 2.5 터보 2WD 6인승 기본형</t>
    <phoneticPr fontId="1" type="noConversion"/>
  </si>
  <si>
    <t>GV80_가솔린 2.5 터보 AWD 6인승 기본형</t>
    <phoneticPr fontId="1" type="noConversion"/>
  </si>
  <si>
    <t>GV80_가솔린 3.5 터보 2WD 6인승 기본형</t>
    <phoneticPr fontId="1" type="noConversion"/>
  </si>
  <si>
    <t>GV80_가솔린 3.5 터보 AWD 6인승 기본형</t>
    <phoneticPr fontId="1" type="noConversion"/>
  </si>
  <si>
    <t>개인사업자</t>
  </si>
  <si>
    <t>보험사</t>
    <phoneticPr fontId="1" type="noConversion"/>
  </si>
  <si>
    <t>렌터카공제조합</t>
    <phoneticPr fontId="1" type="noConversion"/>
  </si>
  <si>
    <t>삼성화재</t>
    <phoneticPr fontId="1" type="noConversion"/>
  </si>
  <si>
    <t>만21세이상</t>
  </si>
  <si>
    <t>법인사업자</t>
  </si>
  <si>
    <t>다인승</t>
    <phoneticPr fontId="1" type="noConversion"/>
  </si>
  <si>
    <t>\</t>
    <phoneticPr fontId="1" type="noConversion"/>
  </si>
  <si>
    <t>전략차종 없음 , 전차량 200원 / Km당</t>
    <phoneticPr fontId="1" type="noConversion"/>
  </si>
  <si>
    <t>현대</t>
    <phoneticPr fontId="1" type="noConversion"/>
  </si>
  <si>
    <t>기아</t>
    <phoneticPr fontId="1" type="noConversion"/>
  </si>
  <si>
    <t>싼타페</t>
    <phoneticPr fontId="1" type="noConversion"/>
  </si>
  <si>
    <t>G90</t>
    <phoneticPr fontId="1" type="noConversion"/>
  </si>
  <si>
    <t>스포티지</t>
    <phoneticPr fontId="1" type="noConversion"/>
  </si>
  <si>
    <t>디 올뉴스포티지 하이브리드</t>
    <phoneticPr fontId="1" type="noConversion"/>
  </si>
  <si>
    <t>HEV</t>
    <phoneticPr fontId="1" type="noConversion"/>
  </si>
  <si>
    <t>3.5T_기본</t>
    <phoneticPr fontId="1" type="noConversion"/>
  </si>
  <si>
    <t>3.5T_LWB</t>
    <phoneticPr fontId="1" type="noConversion"/>
  </si>
  <si>
    <t>승용</t>
    <phoneticPr fontId="1" type="noConversion"/>
  </si>
  <si>
    <t>E1</t>
    <phoneticPr fontId="1" type="noConversion"/>
  </si>
  <si>
    <t>J1</t>
    <phoneticPr fontId="1" type="noConversion"/>
  </si>
  <si>
    <t xml:space="preserve"> ①운전면허증 ②사업자등록증 ③매출증빙(부가가치세과세표준증명원 등) ④계좌사본</t>
    <phoneticPr fontId="1" type="noConversion"/>
  </si>
  <si>
    <t xml:space="preserve"> ①운전면허증 ②소득증빙(건강보험 납부확인서, 원천징수영수증 등) ③재직증명서 ④건강보험 자격득실확인서 ⑤ 계좌사본</t>
    <phoneticPr fontId="1" type="noConversion"/>
  </si>
  <si>
    <t xml:space="preserve"> ①사업자등록증 ②매출증빙(재무제표 2개년,부가가치세과세표준증명원) ③법인등기부등본 ④법인인감증명 ⑤계좌사본</t>
    <phoneticPr fontId="1" type="noConversion"/>
  </si>
  <si>
    <t>일반</t>
    <phoneticPr fontId="1" type="noConversion"/>
  </si>
  <si>
    <t>대인(무한), 자손(1억),무보험(2억),자차손해면책제도,
긴급출동(년5회, 견인 10Km)</t>
    <phoneticPr fontId="1" type="noConversion"/>
  </si>
  <si>
    <t>견적1</t>
    <phoneticPr fontId="1" type="noConversion"/>
  </si>
  <si>
    <t>롯데캐피탈 차량 발주서</t>
    <phoneticPr fontId="1" type="noConversion"/>
  </si>
  <si>
    <t xml:space="preserve">작성일자 : </t>
    <phoneticPr fontId="1" type="noConversion"/>
  </si>
  <si>
    <t>*엑셀양식으로 발주서 접수 요청드립니다.</t>
    <phoneticPr fontId="62" type="noConversion"/>
  </si>
  <si>
    <t>1. 발주담당</t>
    <phoneticPr fontId="1" type="noConversion"/>
  </si>
  <si>
    <t>접수 e-mail</t>
    <phoneticPr fontId="1" type="noConversion"/>
  </si>
  <si>
    <t>본사담당자</t>
    <phoneticPr fontId="1" type="noConversion"/>
  </si>
  <si>
    <t>연락처</t>
    <phoneticPr fontId="1" type="noConversion"/>
  </si>
  <si>
    <t>제휴사 발주요청자
(발송인)</t>
    <phoneticPr fontId="62" type="noConversion"/>
  </si>
  <si>
    <t>제휴사
(소속AG)</t>
    <phoneticPr fontId="62" type="noConversion"/>
  </si>
  <si>
    <t>연락처</t>
    <phoneticPr fontId="62" type="noConversion"/>
  </si>
  <si>
    <t>2. 발주현황</t>
    <phoneticPr fontId="1" type="noConversion"/>
  </si>
  <si>
    <t>고객명</t>
    <phoneticPr fontId="62" type="noConversion"/>
  </si>
  <si>
    <t>제작사 / 차종</t>
    <phoneticPr fontId="1" type="noConversion"/>
  </si>
  <si>
    <t>차량가</t>
    <phoneticPr fontId="1" type="noConversion"/>
  </si>
  <si>
    <t>옵션가</t>
    <phoneticPr fontId="1" type="noConversion"/>
  </si>
  <si>
    <t>3. 참고사항</t>
    <phoneticPr fontId="1" type="noConversion"/>
  </si>
  <si>
    <t>※ 특판 발주 및 출고마감시간 16:00 / 엑셀파일로 접수 요청 부탁드립니다!</t>
    <phoneticPr fontId="62" type="noConversion"/>
  </si>
  <si>
    <t xml:space="preserve">※ 지점 재고차량 선점발주시 계약번호 기재 </t>
    <phoneticPr fontId="62" type="noConversion"/>
  </si>
  <si>
    <t xml:space="preserve">지점 계약번호 </t>
    <phoneticPr fontId="62" type="noConversion"/>
  </si>
  <si>
    <t>_</t>
    <phoneticPr fontId="1" type="noConversion"/>
  </si>
  <si>
    <t>선팅측후면</t>
    <phoneticPr fontId="1" type="noConversion"/>
  </si>
  <si>
    <t>3M-XP</t>
    <phoneticPr fontId="1" type="noConversion"/>
  </si>
  <si>
    <t>루마-피너클</t>
    <phoneticPr fontId="1" type="noConversion"/>
  </si>
  <si>
    <t>허</t>
    <phoneticPr fontId="1" type="noConversion"/>
  </si>
  <si>
    <t>번호판</t>
    <phoneticPr fontId="1" type="noConversion"/>
  </si>
  <si>
    <t>루마-GG</t>
    <phoneticPr fontId="1" type="noConversion"/>
  </si>
  <si>
    <t>루마-GG</t>
    <phoneticPr fontId="1" type="noConversion"/>
  </si>
  <si>
    <t>보험사</t>
    <phoneticPr fontId="1" type="noConversion"/>
  </si>
  <si>
    <t>현재CM불가</t>
    <phoneticPr fontId="1" type="noConversion"/>
  </si>
  <si>
    <t>인수자정보</t>
    <phoneticPr fontId="1" type="noConversion"/>
  </si>
  <si>
    <t>인수자이름</t>
    <phoneticPr fontId="1" type="noConversion"/>
  </si>
  <si>
    <t>인수자연락처</t>
    <phoneticPr fontId="1" type="noConversion"/>
  </si>
  <si>
    <t>취급불가 차량</t>
    <phoneticPr fontId="1" type="noConversion"/>
  </si>
  <si>
    <t>개인사업자특약</t>
    <phoneticPr fontId="1" type="noConversion"/>
  </si>
  <si>
    <t>아이로드 NX7-16G</t>
    <phoneticPr fontId="1" type="noConversion"/>
  </si>
  <si>
    <t>아이로드 NX7-32G</t>
    <phoneticPr fontId="1" type="noConversion"/>
  </si>
  <si>
    <t>아이로드 NX10-32G</t>
    <phoneticPr fontId="1" type="noConversion"/>
  </si>
  <si>
    <t>승합만26세이상1억개인사업자특약</t>
    <phoneticPr fontId="1" type="noConversion"/>
  </si>
  <si>
    <t>승합만26세이상2억개인사업자특약</t>
    <phoneticPr fontId="1" type="noConversion"/>
  </si>
  <si>
    <t>승합만21세이상1억개인사업자특약</t>
    <phoneticPr fontId="1" type="noConversion"/>
  </si>
  <si>
    <t>승합만21세이상2억개인사업자특약</t>
    <phoneticPr fontId="1" type="noConversion"/>
  </si>
  <si>
    <t>승용만26세이상1억개인사업자특약</t>
    <phoneticPr fontId="1" type="noConversion"/>
  </si>
  <si>
    <t>승용만26세이상2억개인사업자특약</t>
    <phoneticPr fontId="1" type="noConversion"/>
  </si>
  <si>
    <t>승용만21세이상1억개인사업자특약</t>
    <phoneticPr fontId="1" type="noConversion"/>
  </si>
  <si>
    <t>승용만21세이상2억개인사업자특약</t>
    <phoneticPr fontId="1" type="noConversion"/>
  </si>
  <si>
    <t>다인승만26세이상1억개인사업자특약</t>
    <phoneticPr fontId="1" type="noConversion"/>
  </si>
  <si>
    <t>다인승만26세이상2억개인사업자특약</t>
    <phoneticPr fontId="1" type="noConversion"/>
  </si>
  <si>
    <t>다인승만21세이상1억개인사업자특약</t>
    <phoneticPr fontId="1" type="noConversion"/>
  </si>
  <si>
    <t>다인승만21세이상2억개인사업자특약</t>
    <phoneticPr fontId="1" type="noConversion"/>
  </si>
  <si>
    <t>2.0 가솔린 터보 2WD 그래비티</t>
    <phoneticPr fontId="1" type="noConversion"/>
  </si>
  <si>
    <t>2.0 가솔린 터보 2WD 시그니처</t>
    <phoneticPr fontId="1" type="noConversion"/>
  </si>
  <si>
    <t>2.0 가솔린 터보 2WD 트렌디</t>
    <phoneticPr fontId="1" type="noConversion"/>
  </si>
  <si>
    <t>2.0 가솔린 터보 2WD 프레스티지</t>
    <phoneticPr fontId="1" type="noConversion"/>
  </si>
  <si>
    <t>2.0 가솔린 터보 4WD 그래비티</t>
    <phoneticPr fontId="1" type="noConversion"/>
  </si>
  <si>
    <t>2.0 가솔린 터보 4WD 시그니처</t>
    <phoneticPr fontId="1" type="noConversion"/>
  </si>
  <si>
    <t>2.0 가솔린 터보 4WD 트렌디</t>
    <phoneticPr fontId="1" type="noConversion"/>
  </si>
  <si>
    <t>2.0 가솔린 터보 4WD 프레스티지</t>
    <phoneticPr fontId="1" type="noConversion"/>
  </si>
  <si>
    <t>평택</t>
    <phoneticPr fontId="1" type="noConversion"/>
  </si>
  <si>
    <t>용인</t>
    <phoneticPr fontId="1" type="noConversion"/>
  </si>
  <si>
    <t>집하장구분</t>
    <phoneticPr fontId="1" type="noConversion"/>
  </si>
  <si>
    <t>집하장구분</t>
    <phoneticPr fontId="1" type="noConversion"/>
  </si>
  <si>
    <t>블랙박스</t>
    <phoneticPr fontId="52" type="noConversion"/>
  </si>
  <si>
    <t>용품정보(블랙박스)</t>
    <phoneticPr fontId="1" type="noConversion"/>
  </si>
  <si>
    <t>용품정보(전면썬팅)</t>
    <phoneticPr fontId="1" type="noConversion"/>
  </si>
  <si>
    <t>용품구분</t>
    <phoneticPr fontId="1" type="noConversion"/>
  </si>
  <si>
    <t>파인뷰  GX3_32GB</t>
  </si>
  <si>
    <t>용인</t>
  </si>
  <si>
    <t>세액</t>
  </si>
  <si>
    <t>대구시</t>
  </si>
  <si>
    <t>아이로드 NX7-32G</t>
  </si>
  <si>
    <t>없음</t>
    <phoneticPr fontId="52" type="noConversion"/>
  </si>
  <si>
    <t>없음</t>
    <phoneticPr fontId="1" type="noConversion"/>
  </si>
  <si>
    <t>뷰게라  VG-803V프로_32GB</t>
  </si>
  <si>
    <t>현대 TNR-T3-32G</t>
  </si>
  <si>
    <t>현대 TNR-T5-32G</t>
  </si>
  <si>
    <t>아이로드 NX10-32G</t>
  </si>
  <si>
    <t>아이나비  Z900_16GB</t>
  </si>
  <si>
    <t>파인뷰  LX5000 POWER_32GB</t>
  </si>
  <si>
    <t>아이나비  QXD5000_32GB</t>
  </si>
  <si>
    <t>장착블랙박스</t>
    <phoneticPr fontId="1" type="noConversion"/>
  </si>
  <si>
    <t>실행요청서 시트 표기</t>
    <phoneticPr fontId="1" type="noConversion"/>
  </si>
  <si>
    <t>파인드라이브-LX700-16G</t>
    <phoneticPr fontId="1" type="noConversion"/>
  </si>
  <si>
    <t>현대 TNR-T3-16G</t>
    <phoneticPr fontId="1" type="noConversion"/>
  </si>
  <si>
    <t>아이나비-A300-16G</t>
    <phoneticPr fontId="1" type="noConversion"/>
  </si>
  <si>
    <t>아이나비-A300-32G</t>
    <phoneticPr fontId="1" type="noConversion"/>
  </si>
  <si>
    <t>아이나비-A600-16G</t>
    <phoneticPr fontId="1" type="noConversion"/>
  </si>
  <si>
    <t>아이나비-A600-32G</t>
    <phoneticPr fontId="1" type="noConversion"/>
  </si>
  <si>
    <t>더 뉴 셀토스_2.0 가솔린  2WD 시그니처</t>
    <phoneticPr fontId="1" type="noConversion"/>
  </si>
  <si>
    <t>더 뉴 셀토스_2.0 가솔린  2WD 트렌디</t>
    <phoneticPr fontId="1" type="noConversion"/>
  </si>
  <si>
    <t>더 뉴 셀토스_2.0 가솔린  2WD 프레스티지</t>
    <phoneticPr fontId="1" type="noConversion"/>
  </si>
  <si>
    <t>더 뉴 셀토스_2.0 가솔린  4WD 시그니처</t>
    <phoneticPr fontId="1" type="noConversion"/>
  </si>
  <si>
    <t>더 뉴 셀토스_2.0 가솔린  4WD 트렌디</t>
    <phoneticPr fontId="1" type="noConversion"/>
  </si>
  <si>
    <t>더 뉴 셀토스_2.0 가솔린  4WD 프레스티지</t>
    <phoneticPr fontId="1" type="noConversion"/>
  </si>
  <si>
    <t>디 올뉴 그랜저_HEV 1.6 터보_캘리그래피</t>
    <phoneticPr fontId="1" type="noConversion"/>
  </si>
  <si>
    <t>HEV 1.6 터보_캘리그래피</t>
  </si>
  <si>
    <t>디 올뉴 그랜저_HEV 1.6 터보_익스클루시브</t>
    <phoneticPr fontId="1" type="noConversion"/>
  </si>
  <si>
    <t>HEV 1.6 터보_익스클루시브</t>
  </si>
  <si>
    <t>디 올뉴 그랜저_HEV 1.6 터보_프리미엄</t>
    <phoneticPr fontId="1" type="noConversion"/>
  </si>
  <si>
    <t>HEV 1.6 터보_프리미엄</t>
  </si>
  <si>
    <t>디 올뉴 그랜저_가솔린 3.5_캘리그래피</t>
    <phoneticPr fontId="1" type="noConversion"/>
  </si>
  <si>
    <t>디 올뉴 그랜저_가솔린 3.5_익스클루시브</t>
    <phoneticPr fontId="1" type="noConversion"/>
  </si>
  <si>
    <t>디 올뉴 그랜저_가솔린 3.5_프리미엄</t>
    <phoneticPr fontId="1" type="noConversion"/>
  </si>
  <si>
    <t>디 올뉴 그랜저_가솔린 2.5_캘리그래피</t>
    <phoneticPr fontId="1" type="noConversion"/>
  </si>
  <si>
    <t>디 올뉴 그랜저_가솔린 2.5_익스클루시브</t>
    <phoneticPr fontId="1" type="noConversion"/>
  </si>
  <si>
    <t>디 올뉴 그랜저_가솔린 2.5_프리미엄</t>
    <phoneticPr fontId="1" type="noConversion"/>
  </si>
  <si>
    <t>가솔린 3.5_캘리그래피</t>
  </si>
  <si>
    <t>가솔린 3.5_익스클루시브</t>
  </si>
  <si>
    <t>가솔린 3.5_프리미엄</t>
  </si>
  <si>
    <t>가솔린 2.5_캘리그래피</t>
  </si>
  <si>
    <t>가솔린 2.5_익스클루시브</t>
  </si>
  <si>
    <t>가솔린 2.5_프리미엄</t>
  </si>
  <si>
    <t>B1</t>
    <phoneticPr fontId="1" type="noConversion"/>
  </si>
  <si>
    <t>2200CC 이하</t>
    <phoneticPr fontId="1" type="noConversion"/>
  </si>
  <si>
    <t>디 올뉴 그랜저_LPG 3.5_익스클루시브</t>
    <phoneticPr fontId="1" type="noConversion"/>
  </si>
  <si>
    <t>디 올뉴 그랜저_LPG 3.5_프리미엄</t>
    <phoneticPr fontId="1" type="noConversion"/>
  </si>
  <si>
    <t>디 올뉴 그랜저</t>
  </si>
  <si>
    <t>LPG 3.5_익스클루시브</t>
    <phoneticPr fontId="1" type="noConversion"/>
  </si>
  <si>
    <t>LPG 3.5_프리미엄</t>
    <phoneticPr fontId="1" type="noConversion"/>
  </si>
  <si>
    <t>LPG</t>
    <phoneticPr fontId="1" type="noConversion"/>
  </si>
  <si>
    <t>승용</t>
    <phoneticPr fontId="1" type="noConversion"/>
  </si>
  <si>
    <t>3900CC 이하</t>
    <phoneticPr fontId="1" type="noConversion"/>
  </si>
  <si>
    <t>차량명</t>
    <phoneticPr fontId="1" type="noConversion"/>
  </si>
  <si>
    <t>디 올 뉴 코나 하이브리드_모던</t>
  </si>
  <si>
    <t>디 올 뉴 코나 하이브리드</t>
  </si>
  <si>
    <t>디 올 뉴 코나 하이브리드_인스퍼레이션</t>
  </si>
  <si>
    <t>디 올 뉴 코나_1.6 가솔린 2WD 모던</t>
  </si>
  <si>
    <t>디 올 뉴 코나</t>
  </si>
  <si>
    <t>디 올 뉴 코나_1.6 가솔린 2WD 인스퍼레이션</t>
  </si>
  <si>
    <t>디 올 뉴 코나_1.6 가솔린 4WD 인스퍼레이션</t>
  </si>
  <si>
    <t>디 올 뉴 코나_2.0 가솔린 2WD 모던</t>
  </si>
  <si>
    <t>디 올 뉴 코나_2.0 가솔린 2WD 인스퍼레이션</t>
  </si>
  <si>
    <t>디 올 뉴 코나 하이브리드_프리미엄</t>
    <phoneticPr fontId="1" type="noConversion"/>
  </si>
  <si>
    <t>프리미엄</t>
    <phoneticPr fontId="1" type="noConversion"/>
  </si>
  <si>
    <t>디 올 뉴 코나_1.6 가솔린 2WD 프리미엄</t>
  </si>
  <si>
    <t>1.6 가솔린 2WD 프리미엄</t>
  </si>
  <si>
    <t>디 올 뉴 코나_1.6 가솔린 4WD 프리미엄</t>
  </si>
  <si>
    <t>1.6 가솔린 4WD 프리미엄</t>
  </si>
  <si>
    <t>디 올 뉴 코나_2.0 가솔린 2WD 프리미엄</t>
  </si>
  <si>
    <t>2.0 가솔린 2WD 프리미엄</t>
  </si>
  <si>
    <t xml:space="preserve"> </t>
    <phoneticPr fontId="1" type="noConversion"/>
  </si>
  <si>
    <t>더뉴 아반떼_스마트스트림가솔린_1.6_스마트</t>
  </si>
  <si>
    <t>더뉴 아반떼_스마트스트림가솔린_1.6_모던</t>
  </si>
  <si>
    <t>더뉴 아반떼_스마트스트림가솔린_1.6_인스퍼레이션</t>
  </si>
  <si>
    <t>스마트스트림 가솔린 1.6 스마트</t>
    <phoneticPr fontId="1" type="noConversion"/>
  </si>
  <si>
    <t>스마트스트림 가솔린 1.6 모던</t>
    <phoneticPr fontId="1" type="noConversion"/>
  </si>
  <si>
    <t>더뉴 아반떼_가솔린_1.6_하이브리드_스마트</t>
  </si>
  <si>
    <t>더뉴 아반떼_가솔린_1.6_하이브리드_모던</t>
  </si>
  <si>
    <t>더뉴 아반떼_가솔린_1.6_하이브리드_인스퍼레이션</t>
  </si>
  <si>
    <t>스마트</t>
    <phoneticPr fontId="1" type="noConversion"/>
  </si>
  <si>
    <t>모던</t>
    <phoneticPr fontId="1" type="noConversion"/>
  </si>
  <si>
    <t>차종</t>
    <phoneticPr fontId="1" type="noConversion"/>
  </si>
  <si>
    <t>제네시스</t>
    <phoneticPr fontId="1" type="noConversion"/>
  </si>
  <si>
    <t>K_5</t>
    <phoneticPr fontId="1" type="noConversion"/>
  </si>
  <si>
    <t>K_8</t>
    <phoneticPr fontId="1" type="noConversion"/>
  </si>
  <si>
    <t>K_9</t>
    <phoneticPr fontId="1" type="noConversion"/>
  </si>
  <si>
    <t>G_70</t>
    <phoneticPr fontId="1" type="noConversion"/>
  </si>
  <si>
    <t>G_80</t>
    <phoneticPr fontId="1" type="noConversion"/>
  </si>
  <si>
    <t>G_90</t>
    <phoneticPr fontId="1" type="noConversion"/>
  </si>
  <si>
    <t>GV_70</t>
    <phoneticPr fontId="1" type="noConversion"/>
  </si>
  <si>
    <t>GV_80</t>
    <phoneticPr fontId="1" type="noConversion"/>
  </si>
  <si>
    <t>I2</t>
    <phoneticPr fontId="1" type="noConversion"/>
  </si>
  <si>
    <t>K1</t>
    <phoneticPr fontId="1" type="noConversion"/>
  </si>
  <si>
    <t>J2</t>
    <phoneticPr fontId="1" type="noConversion"/>
  </si>
  <si>
    <t>J2</t>
    <phoneticPr fontId="1" type="noConversion"/>
  </si>
  <si>
    <t>잔가수기입력</t>
    <phoneticPr fontId="1" type="noConversion"/>
  </si>
  <si>
    <t>전자약정여부</t>
    <phoneticPr fontId="1" type="noConversion"/>
  </si>
  <si>
    <t>Y</t>
  </si>
  <si>
    <t>Y</t>
    <phoneticPr fontId="1" type="noConversion"/>
  </si>
  <si>
    <t>N</t>
    <phoneticPr fontId="1" type="noConversion"/>
  </si>
  <si>
    <t>←선택필수</t>
    <phoneticPr fontId="1" type="noConversion"/>
  </si>
  <si>
    <t>전자약정대상여부</t>
    <phoneticPr fontId="1" type="noConversion"/>
  </si>
  <si>
    <t xml:space="preserve">업종 및 차종의 조합이 유상운송 혹은 인력 수송으로 판단되는 경우 취급불가 </t>
    <phoneticPr fontId="1" type="noConversion"/>
  </si>
  <si>
    <t>취급제한</t>
    <phoneticPr fontId="1" type="noConversion"/>
  </si>
  <si>
    <t xml:space="preserve">1. 특판심사 가능 , 대리점/지점 출고 담당자와 협의 必 및 선출고 불가    
2. 지점재고 심사시 "재고차량 계약번호" 입력 필수
3. 대리점 출고 시 집하장(용인)으로 제조사 탁송 필수 (번호판만 배송 절대 불가)
4. 발주요청서 추가_자동생성"견적"항목 정확한 정보 입력                                                                                                                                                                                                         </t>
    <phoneticPr fontId="1" type="noConversion"/>
  </si>
  <si>
    <t>①개인(사업자) : 재직 및 소득 공적 증빙 제출 불가자, ②법인 : 직전2개년 당기순손실, 자본잠식</t>
    <phoneticPr fontId="1" type="noConversion"/>
  </si>
  <si>
    <t xml:space="preserve">쏘나타 디 엣지 _가솔린 2.0 프리미엄 </t>
    <phoneticPr fontId="1" type="noConversion"/>
  </si>
  <si>
    <t>쏘나타 디 엣지 _가솔린 2.0 익스클루시브</t>
    <phoneticPr fontId="1" type="noConversion"/>
  </si>
  <si>
    <t>쏘나타 디 엣지 _가솔린 2.0 인스퍼레이션</t>
    <phoneticPr fontId="1" type="noConversion"/>
  </si>
  <si>
    <t xml:space="preserve">쏘나타 디 엣지 _가솔린 1.6 터보 프리미엄 </t>
    <phoneticPr fontId="1" type="noConversion"/>
  </si>
  <si>
    <t>쏘나타 디 엣지 _가솔린 1.6터보 익스클루시브</t>
    <phoneticPr fontId="1" type="noConversion"/>
  </si>
  <si>
    <t>쏘나타 디 엣지 _가솔린 1.6터보 인스퍼레이션</t>
    <phoneticPr fontId="1" type="noConversion"/>
  </si>
  <si>
    <t>쏘나타 디 엣지 N_가솔린 2.5 터보</t>
    <phoneticPr fontId="1" type="noConversion"/>
  </si>
  <si>
    <t>쏘나타 디 엣지 N_가솔린 2.0</t>
    <phoneticPr fontId="1" type="noConversion"/>
  </si>
  <si>
    <t>쏘나타 디 엣지 N_가솔린 1.6 터보</t>
    <phoneticPr fontId="1" type="noConversion"/>
  </si>
  <si>
    <t xml:space="preserve">2.5 터보 </t>
    <phoneticPr fontId="1" type="noConversion"/>
  </si>
  <si>
    <t>2.0 가솔린</t>
    <phoneticPr fontId="1" type="noConversion"/>
  </si>
  <si>
    <t>1.6 터보</t>
    <phoneticPr fontId="1" type="noConversion"/>
  </si>
  <si>
    <t>1.6 터보 프리미엄</t>
    <phoneticPr fontId="1" type="noConversion"/>
  </si>
  <si>
    <t>1.6 터보 익스클루시브</t>
    <phoneticPr fontId="1" type="noConversion"/>
  </si>
  <si>
    <t>1.6 터보 인스퍼레이션</t>
    <phoneticPr fontId="1" type="noConversion"/>
  </si>
  <si>
    <t>가솔린 2.0 인스퍼레이션</t>
    <phoneticPr fontId="1" type="noConversion"/>
  </si>
  <si>
    <t>가솔린 2.0 프리미엄</t>
    <phoneticPr fontId="1" type="noConversion"/>
  </si>
  <si>
    <t>가솔린 2.0 익스클루시브</t>
    <phoneticPr fontId="1" type="noConversion"/>
  </si>
  <si>
    <t>쏘나타 디 엣지</t>
    <phoneticPr fontId="1" type="noConversion"/>
  </si>
  <si>
    <t>쏘나타 디 엣지 N</t>
    <phoneticPr fontId="1" type="noConversion"/>
  </si>
  <si>
    <t>쏘나타 디 엣지_LPG 2.0 프리미엄</t>
    <phoneticPr fontId="1" type="noConversion"/>
  </si>
  <si>
    <t>쏘나타 디 엣지_LPG 2.0 익스클루시브</t>
    <phoneticPr fontId="1" type="noConversion"/>
  </si>
  <si>
    <t>쏘나타 디 엣지_LPG 2.0 인스퍼레이션</t>
    <phoneticPr fontId="1" type="noConversion"/>
  </si>
  <si>
    <t>LPG 2.0 프리미엄</t>
    <phoneticPr fontId="1" type="noConversion"/>
  </si>
  <si>
    <t>LPG 2.0 익스클루시브</t>
    <phoneticPr fontId="1" type="noConversion"/>
  </si>
  <si>
    <t>LPG 2.0 인스퍼레이션</t>
    <phoneticPr fontId="1" type="noConversion"/>
  </si>
  <si>
    <t>AG코드명</t>
    <phoneticPr fontId="1" type="noConversion"/>
  </si>
  <si>
    <t>오토원_오토비즈</t>
    <phoneticPr fontId="1" type="noConversion"/>
  </si>
  <si>
    <t>오토원_더바론</t>
    <phoneticPr fontId="1" type="noConversion"/>
  </si>
  <si>
    <t>오토원_카앤리치</t>
    <phoneticPr fontId="1" type="noConversion"/>
  </si>
  <si>
    <t>오토원_RS컴퍼니</t>
    <phoneticPr fontId="1" type="noConversion"/>
  </si>
  <si>
    <t>오토원_A1오토</t>
    <phoneticPr fontId="1" type="noConversion"/>
  </si>
  <si>
    <t>필수입력</t>
    <phoneticPr fontId="1" type="noConversion"/>
  </si>
  <si>
    <t>성문네트웍스</t>
  </si>
  <si>
    <t>너드소프트㈜</t>
    <phoneticPr fontId="1" type="noConversion"/>
  </si>
  <si>
    <t>렌탈파트너스</t>
  </si>
  <si>
    <t>리스인렌트인</t>
    <phoneticPr fontId="1" type="noConversion"/>
  </si>
  <si>
    <t>올카</t>
    <phoneticPr fontId="1" type="noConversion"/>
  </si>
  <si>
    <t>㈜카피아</t>
    <phoneticPr fontId="1" type="noConversion"/>
  </si>
  <si>
    <t>㈜토탈글로벌모터스</t>
    <phoneticPr fontId="1" type="noConversion"/>
  </si>
  <si>
    <t>주식회사아이원모빌리티</t>
    <phoneticPr fontId="1" type="noConversion"/>
  </si>
  <si>
    <t>오토원_스마트다이렉트카</t>
    <phoneticPr fontId="1" type="noConversion"/>
  </si>
  <si>
    <t>오토원_오토다이렉트카</t>
    <phoneticPr fontId="1" type="noConversion"/>
  </si>
  <si>
    <t>오토원_시현</t>
    <phoneticPr fontId="1" type="noConversion"/>
  </si>
  <si>
    <t>오토원_카베이</t>
    <phoneticPr fontId="1" type="noConversion"/>
  </si>
  <si>
    <t>오토원_스윗코</t>
    <phoneticPr fontId="1" type="noConversion"/>
  </si>
  <si>
    <t>오토원_카투</t>
    <phoneticPr fontId="1" type="noConversion"/>
  </si>
  <si>
    <t>오토원_씨에스카</t>
    <phoneticPr fontId="1" type="noConversion"/>
  </si>
  <si>
    <t>오토원_오토리지</t>
    <phoneticPr fontId="1" type="noConversion"/>
  </si>
  <si>
    <t>오토원_신차드림</t>
    <phoneticPr fontId="1" type="noConversion"/>
  </si>
  <si>
    <t>이기는견적</t>
    <phoneticPr fontId="1" type="noConversion"/>
  </si>
  <si>
    <t>오토원_중앙카라이프</t>
    <phoneticPr fontId="1" type="noConversion"/>
  </si>
  <si>
    <t>오토원_알차다</t>
    <phoneticPr fontId="1" type="noConversion"/>
  </si>
  <si>
    <t>오토원_트리플</t>
    <phoneticPr fontId="1" type="noConversion"/>
  </si>
  <si>
    <t>트리플에이네트웍스</t>
    <phoneticPr fontId="1" type="noConversion"/>
  </si>
  <si>
    <t>스타오토모빌</t>
    <phoneticPr fontId="1" type="noConversion"/>
  </si>
  <si>
    <t>뷰게라  VG-703V프로_32GB(프로모션)</t>
    <phoneticPr fontId="1" type="noConversion"/>
  </si>
  <si>
    <t>현대 TNR-T5-32G</t>
    <phoneticPr fontId="1" type="noConversion"/>
  </si>
  <si>
    <t>현대 TNR-T3-32G</t>
    <phoneticPr fontId="1" type="noConversion"/>
  </si>
  <si>
    <t>리스랑렌트랑</t>
    <phoneticPr fontId="1" type="noConversion"/>
  </si>
  <si>
    <t>더 뉴G70_가솔린 2.5 터보 2WD 기본형</t>
    <phoneticPr fontId="1" type="noConversion"/>
  </si>
  <si>
    <t>더 뉴G70_가솔린 2.5 터보 AWD 기본형</t>
    <phoneticPr fontId="1" type="noConversion"/>
  </si>
  <si>
    <t>가솔린 2.5 터보 2WD 기본형</t>
    <phoneticPr fontId="1" type="noConversion"/>
  </si>
  <si>
    <t>가솔린 2.5 터보 AWD 기본형</t>
    <phoneticPr fontId="1" type="noConversion"/>
  </si>
  <si>
    <t>3200CC 이하</t>
    <phoneticPr fontId="1" type="noConversion"/>
  </si>
  <si>
    <t>36 (2만)</t>
    <phoneticPr fontId="1" type="noConversion"/>
  </si>
  <si>
    <t>48(2만)</t>
    <phoneticPr fontId="1" type="noConversion"/>
  </si>
  <si>
    <t>60(2만)</t>
    <phoneticPr fontId="1" type="noConversion"/>
  </si>
  <si>
    <t>베뉴_프리미엄</t>
    <phoneticPr fontId="1" type="noConversion"/>
  </si>
  <si>
    <t>1.6 터보 HEV AWD 6인승 캘리그래피</t>
  </si>
  <si>
    <t>1.6 터보 HEV AWD 6인승 프레스티지</t>
  </si>
  <si>
    <t>1.6 터보 HEV AWD 6인승 익스클루시브</t>
  </si>
  <si>
    <t>1.6 터보 HEV 2WD 6인승 캘리그래피</t>
  </si>
  <si>
    <t>1.6 터보 HEV 2WD 6인승 프레스티지</t>
  </si>
  <si>
    <t>1.6 터보 HEV 2WD 6인승 익스클루시브</t>
  </si>
  <si>
    <t>스마트스트림 가솔린 2.5 터보 AWD 7인승 캘리그래피</t>
  </si>
  <si>
    <t>스마트스트림 가솔린 2.5 터보 AWD 6인승 캘리그래피</t>
  </si>
  <si>
    <t>스마트스트림 가솔린 2.5 터보 AWD 5인승 캘리그래피</t>
  </si>
  <si>
    <t>스마트스트림 가솔린 2.5 터보 AWD 7인승 프레스티지</t>
  </si>
  <si>
    <t>스마트스트림 가솔린 2.5 터보 AWD 6인승 프레스티지</t>
  </si>
  <si>
    <t>스마트스트림 가솔린 2.5 터보 AWD 5인승 프레스티지</t>
  </si>
  <si>
    <t>스마트스트림 가솔린 2.5 터보 AWD 7인승 익스클루시브</t>
  </si>
  <si>
    <t>스마트스트림 가솔린 2.5 터보 AWD 6인승 익스클루시브</t>
  </si>
  <si>
    <t>스마트스트림 가솔린 2.5 터보 AWD 5인승 익스클루시브</t>
  </si>
  <si>
    <t>스마트스트림 가솔린 2.5 터보 2WD 7인승 캘리그래피</t>
  </si>
  <si>
    <t>스마트스트림 가솔린 2.5 터보 2WD 6인승 캘리그래피</t>
  </si>
  <si>
    <t>스마트스트림 가솔린 2.5 터보 2WD 5인승 캘리그래피</t>
  </si>
  <si>
    <t>스마트스트림 가솔린 2.5 터보 2WD 7인승 프레스티지</t>
  </si>
  <si>
    <t>스마트스트림 가솔린 2.5 터보 2WD 6인승 프레스티지</t>
  </si>
  <si>
    <t>스마트스트림 가솔린 2.5 터보 2WD 5인승 프레스티지</t>
  </si>
  <si>
    <t>스마트스트림 가솔린 2.5 터보 2WD 7인승 익스클루시브</t>
  </si>
  <si>
    <t>스마트스트림 가솔린 2.5 터보 2WD 6인승 익스클루시브</t>
  </si>
  <si>
    <t>스마트스트림 가솔린 2.5 터보 2WD 5인승 익스클루시브</t>
  </si>
  <si>
    <t>가솔린</t>
    <phoneticPr fontId="1" type="noConversion"/>
  </si>
  <si>
    <t>디 올뉴싼타페</t>
    <phoneticPr fontId="1" type="noConversion"/>
  </si>
  <si>
    <t>디 올뉴싼타페 하이브리드1.6 터보 HEV AWD 7인승 캘리그래피</t>
  </si>
  <si>
    <t>디 올뉴싼타페 하이브리드1.6 터보 HEV AWD 6인승 캘리그래피</t>
  </si>
  <si>
    <t>디 올뉴싼타페 하이브리드1.6 터보 HEV AWD 5인승 캘리그래피</t>
  </si>
  <si>
    <t>디 올뉴싼타페 하이브리드1.6 터보 HEV AWD 7인승 프레스티지</t>
  </si>
  <si>
    <t>디 올뉴싼타페 하이브리드1.6 터보 HEV AWD 6인승 프레스티지</t>
  </si>
  <si>
    <t>디 올뉴싼타페 하이브리드1.6 터보 HEV AWD 5인승 프레스티지</t>
  </si>
  <si>
    <t>디 올뉴싼타페 하이브리드1.6 터보 HEV AWD 7인승 익스클루시브</t>
  </si>
  <si>
    <t>디 올뉴싼타페 하이브리드1.6 터보 HEV AWD 6인승 익스클루시브</t>
  </si>
  <si>
    <t>디 올뉴싼타페 하이브리드1.6 터보 HEV AWD 5인승 익스클루시브</t>
  </si>
  <si>
    <t>디 올뉴싼타페 하이브리드1.6 터보 HEV 2WD 7인승 캘리그래피</t>
  </si>
  <si>
    <t>디 올뉴싼타페 하이브리드1.6 터보 HEV 2WD 6인승 캘리그래피</t>
  </si>
  <si>
    <t>디 올뉴싼타페 하이브리드1.6 터보 HEV 2WD 5인승 캘리그래피</t>
  </si>
  <si>
    <t>디 올뉴싼타페 하이브리드1.6 터보 HEV 2WD 7인승 프레스티지</t>
  </si>
  <si>
    <t>디 올뉴싼타페 하이브리드1.6 터보 HEV 2WD 6인승 프레스티지</t>
  </si>
  <si>
    <t>디 올뉴싼타페 하이브리드1.6 터보 HEV 2WD 5인승 프레스티지</t>
  </si>
  <si>
    <t>디 올뉴싼타페 하이브리드1.6 터보 HEV 2WD 7인승 익스클루시브</t>
  </si>
  <si>
    <t>디 올뉴싼타페 하이브리드1.6 터보 HEV 2WD 6인승 익스클루시브</t>
  </si>
  <si>
    <t>디 올뉴싼타페 하이브리드1.6 터보 HEV 2WD 5인승 익스클루시브</t>
  </si>
  <si>
    <t>디 올뉴싼타페스마트스트림 가솔린 2.5 터보 AWD 7인승 캘리그래피</t>
  </si>
  <si>
    <t>디 올뉴싼타페스마트스트림 가솔린 2.5 터보 AWD 6인승 캘리그래피</t>
  </si>
  <si>
    <t>디 올뉴싼타페스마트스트림 가솔린 2.5 터보 AWD 5인승 캘리그래피</t>
  </si>
  <si>
    <t>디 올뉴싼타페스마트스트림 가솔린 2.5 터보 AWD 7인승 프레스티지</t>
  </si>
  <si>
    <t>디 올뉴싼타페스마트스트림 가솔린 2.5 터보 AWD 6인승 프레스티지</t>
  </si>
  <si>
    <t>디 올뉴싼타페스마트스트림 가솔린 2.5 터보 AWD 5인승 프레스티지</t>
  </si>
  <si>
    <t>디 올뉴싼타페스마트스트림 가솔린 2.5 터보 AWD 7인승 익스클루시브</t>
  </si>
  <si>
    <t>디 올뉴싼타페스마트스트림 가솔린 2.5 터보 AWD 6인승 익스클루시브</t>
  </si>
  <si>
    <t>디 올뉴싼타페스마트스트림 가솔린 2.5 터보 AWD 5인승 익스클루시브</t>
  </si>
  <si>
    <t>디 올뉴싼타페스마트스트림 가솔린 2.5 터보 2WD 7인승 캘리그래피</t>
  </si>
  <si>
    <t>디 올뉴싼타페스마트스트림 가솔린 2.5 터보 2WD 6인승 캘리그래피</t>
  </si>
  <si>
    <t>디 올뉴싼타페스마트스트림 가솔린 2.5 터보 2WD 5인승 캘리그래피</t>
  </si>
  <si>
    <t>디 올뉴싼타페스마트스트림 가솔린 2.5 터보 2WD 7인승 프레스티지</t>
  </si>
  <si>
    <t>디 올뉴싼타페스마트스트림 가솔린 2.5 터보 2WD 6인승 프레스티지</t>
  </si>
  <si>
    <t>디 올뉴싼타페스마트스트림 가솔린 2.5 터보 2WD 5인승 프레스티지</t>
  </si>
  <si>
    <t>디 올뉴싼타페스마트스트림 가솔린 2.5 터보 2WD 7인승 익스클루시브</t>
  </si>
  <si>
    <t>디 올뉴싼타페스마트스트림 가솔린 2.5 터보 2WD 6인승 익스클루시브</t>
  </si>
  <si>
    <t>디 올뉴싼타페스마트스트림 가솔린 2.5 터보 2WD 5인승 익스클루시브</t>
  </si>
  <si>
    <t>RV고가형(2000CC 초과)</t>
    <phoneticPr fontId="1" type="noConversion"/>
  </si>
  <si>
    <t>승용</t>
    <phoneticPr fontId="1" type="noConversion"/>
  </si>
  <si>
    <t>더 뉴쏘렌토2.2 디젤 4WD 7인승 시그니처 그래비티</t>
  </si>
  <si>
    <t>더 뉴쏘렌토2.2 디젤 4WD 6인승 시그니처 그래비티</t>
  </si>
  <si>
    <t>더 뉴쏘렌토2.2 디젤 4WD 5인승 시그니처 그래비티</t>
  </si>
  <si>
    <t>더 뉴쏘렌토2.2 디젤 4WD 7인승 시그니처</t>
  </si>
  <si>
    <t>더 뉴쏘렌토2.2 디젤 4WD 6인승 시그니처</t>
  </si>
  <si>
    <t>더 뉴쏘렌토2.2 디젤 4WD 5인승 시그니처</t>
  </si>
  <si>
    <t>더 뉴쏘렌토2.2 디젤 4WD 7인승 노블레스</t>
  </si>
  <si>
    <t>더 뉴쏘렌토2.2 디젤 4WD 6인승 노블레스</t>
  </si>
  <si>
    <t>더 뉴쏘렌토2.2 디젤 4WD 5인승 노블레스</t>
  </si>
  <si>
    <t>더 뉴쏘렌토2.2 디젤 4WD 7인승 프레스티지</t>
  </si>
  <si>
    <t>더 뉴쏘렌토2.2 디젤 4WD 6인승 프레스티지</t>
  </si>
  <si>
    <t>더 뉴쏘렌토2.2 디젤 4WD 5인승 프레스티지</t>
  </si>
  <si>
    <t>더 뉴쏘렌토2.2 디젤 2WD 7인승 시그니처 그래비티</t>
  </si>
  <si>
    <t>더 뉴쏘렌토2.2 디젤 2WD 6인승 시그니처 그래비티</t>
  </si>
  <si>
    <t>더 뉴쏘렌토2.2 디젤 2WD 5인승 시그니처 그래비티</t>
  </si>
  <si>
    <t>더 뉴쏘렌토2.2 디젤 2WD 7인승 시그니처</t>
  </si>
  <si>
    <t>더 뉴쏘렌토2.2 디젤 2WD 6인승 시그니처</t>
  </si>
  <si>
    <t>더 뉴쏘렌토2.2 디젤 2WD 5인승 시그니처</t>
  </si>
  <si>
    <t>더 뉴쏘렌토2.2 디젤 2WD 7인승 노블레스</t>
  </si>
  <si>
    <t>더 뉴쏘렌토2.2 디젤 2WD 6인승 노블레스</t>
  </si>
  <si>
    <t>더 뉴쏘렌토2.2 디젤 2WD 5인승 노블레스</t>
  </si>
  <si>
    <t>더 뉴쏘렌토2.2 디젤 2WD 7인승 프레스티지</t>
  </si>
  <si>
    <t>더 뉴쏘렌토2.2 디젤 2WD 6인승 프레스티지</t>
  </si>
  <si>
    <t>더 뉴쏘렌토2.2 디젤 2WD 5인승 프레스티지</t>
  </si>
  <si>
    <t>더 뉴쏘렌토2.5 가솔린 4WD 7인승 시그니처 그래비티</t>
  </si>
  <si>
    <t>더 뉴쏘렌토2.5 가솔린 4WD 6인승 시그니처 그래비티</t>
  </si>
  <si>
    <t>더 뉴쏘렌토2.5 가솔린 4WD 5인승 시그니처 그래비티</t>
  </si>
  <si>
    <t>더 뉴쏘렌토2.5 가솔린 4WD 7인승 시그니처</t>
  </si>
  <si>
    <t>더 뉴쏘렌토2.5 가솔린 4WD 6인승 시그니처</t>
  </si>
  <si>
    <t>더 뉴쏘렌토2.5 가솔린 4WD 5인승 시그니처</t>
  </si>
  <si>
    <t>더 뉴쏘렌토2.5 가솔린 4WD 7인승 노블레스</t>
  </si>
  <si>
    <t>더 뉴쏘렌토2.5 가솔린 4WD 6인승 노블레스</t>
  </si>
  <si>
    <t>더 뉴쏘렌토2.5 가솔린 4WD 5인승 노블레스</t>
  </si>
  <si>
    <t>더 뉴쏘렌토2.5 가솔린 4WD 7인승 프레스티지</t>
  </si>
  <si>
    <t>더 뉴쏘렌토2.5 가솔린 4WD 6인승 프레스티지</t>
  </si>
  <si>
    <t>더 뉴쏘렌토2.5 가솔린 4WD 5인승 프레스티지</t>
  </si>
  <si>
    <t>더 뉴쏘렌토2.5 가솔린 2WD 7인승 시그니처 그래비티</t>
  </si>
  <si>
    <t>더 뉴쏘렌토2.5 가솔린 2WD 6인승 시그니처 그래비티</t>
  </si>
  <si>
    <t>더 뉴쏘렌토2.5 가솔린 2WD 5인승 시그니처 그래비티</t>
  </si>
  <si>
    <t>더 뉴쏘렌토2.5 가솔린 2WD 7인승 시그니처</t>
  </si>
  <si>
    <t>더 뉴쏘렌토2.5 가솔린 2WD 6인승 시그니처</t>
  </si>
  <si>
    <t>더 뉴쏘렌토2.5 가솔린 2WD 5인승 시그니처</t>
  </si>
  <si>
    <t>더 뉴쏘렌토2.5 가솔린 2WD 7인승 노블레스</t>
  </si>
  <si>
    <t>더 뉴쏘렌토2.5 가솔린 2WD 6인승 노블레스</t>
  </si>
  <si>
    <t>더 뉴쏘렌토2.5 가솔린 2WD 5인승 노블레스</t>
  </si>
  <si>
    <t>더 뉴쏘렌토2.5 가솔린 2WD 7인승 프레스티지</t>
  </si>
  <si>
    <t>더 뉴쏘렌토2.5 가솔린 2WD 6인승 프레스티지</t>
  </si>
  <si>
    <t>더 뉴쏘렌토2.5 가솔린 2WD 5인승 프레스티지</t>
  </si>
  <si>
    <t>더 뉴쏘렌토 하이브리드HEV 1.6 4WD 7인승 시그니처 그래비티</t>
  </si>
  <si>
    <t>더 뉴쏘렌토 하이브리드HEV 1.6 4WD 6인승 시그니처 그래비티</t>
  </si>
  <si>
    <t>더 뉴쏘렌토 하이브리드HEV 1.6 4WD 5인승 시그니처 그래비티</t>
  </si>
  <si>
    <t>더 뉴쏘렌토 하이브리드HEV 1.6 4WD 7인승 시그니처</t>
  </si>
  <si>
    <t>더 뉴쏘렌토 하이브리드HEV 1.6 4WD 6인승 시그니처</t>
  </si>
  <si>
    <t>더 뉴쏘렌토 하이브리드HEV 1.6 4WD 5인승 시그니처</t>
  </si>
  <si>
    <t>더 뉴쏘렌토 하이브리드HEV 1.6 4WD 7인승 노블레스</t>
  </si>
  <si>
    <t>더 뉴쏘렌토 하이브리드HEV 1.6 4WD 6인승 노블레스</t>
  </si>
  <si>
    <t>더 뉴쏘렌토 하이브리드HEV 1.6 4WD 5인승 노블레스</t>
  </si>
  <si>
    <t>더 뉴쏘렌토 하이브리드HEV 1.6 4WD 7인승 프레스티지</t>
  </si>
  <si>
    <t>더 뉴쏘렌토 하이브리드HEV 1.6 4WD 6인승 프레스티지</t>
  </si>
  <si>
    <t>더 뉴쏘렌토 하이브리드HEV 1.6 4WD 5인승 프레스티지</t>
  </si>
  <si>
    <t>더 뉴쏘렌토 하이브리드HEV 1.6 2WD 7인승 시그니처 그래비티</t>
  </si>
  <si>
    <t>더 뉴쏘렌토 하이브리드HEV 1.6 2WD 6인승 시그니처 그래비티</t>
  </si>
  <si>
    <t>더 뉴쏘렌토 하이브리드HEV 1.6 2WD 5인승 시그니처 그래비티</t>
  </si>
  <si>
    <t>더 뉴쏘렌토 하이브리드HEV 1.6 2WD 7인승 시그니처</t>
  </si>
  <si>
    <t>더 뉴쏘렌토 하이브리드HEV 1.6 2WD 6인승 시그니처</t>
  </si>
  <si>
    <t>더 뉴쏘렌토 하이브리드HEV 1.6 2WD 5인승 시그니처</t>
  </si>
  <si>
    <t>더 뉴쏘렌토 하이브리드HEV 1.6 2WD 7인승 노블레스</t>
  </si>
  <si>
    <t>더 뉴쏘렌토 하이브리드HEV 1.6 2WD 6인승 노블레스</t>
  </si>
  <si>
    <t>더 뉴쏘렌토 하이브리드HEV 1.6 2WD 5인승 노블레스</t>
  </si>
  <si>
    <t>더 뉴쏘렌토 하이브리드HEV 1.6 2WD 7인승 프레스티지</t>
  </si>
  <si>
    <t>더 뉴쏘렌토 하이브리드HEV 1.6 2WD 6인승 프레스티지</t>
  </si>
  <si>
    <t>더 뉴쏘렌토 하이브리드HEV 1.6 2WD 5인승 프레스티지</t>
  </si>
  <si>
    <t>더 뉴쏘렌토</t>
  </si>
  <si>
    <t>2.2 디젤 4WD 7인승 시그니처 그래비티</t>
  </si>
  <si>
    <t>2.2 디젤 4WD 6인승 시그니처 그래비티</t>
  </si>
  <si>
    <t>2.2 디젤 4WD 5인승 시그니처 그래비티</t>
  </si>
  <si>
    <t>2.2 디젤 4WD 7인승 시그니처</t>
  </si>
  <si>
    <t>2.2 디젤 4WD 6인승 시그니처</t>
  </si>
  <si>
    <t>2.2 디젤 4WD 5인승 시그니처</t>
  </si>
  <si>
    <t>2.2 디젤 4WD 7인승 노블레스</t>
  </si>
  <si>
    <t>2.2 디젤 4WD 6인승 노블레스</t>
  </si>
  <si>
    <t>2.2 디젤 4WD 5인승 노블레스</t>
  </si>
  <si>
    <t>2.2 디젤 4WD 7인승 프레스티지</t>
  </si>
  <si>
    <t>2.2 디젤 4WD 6인승 프레스티지</t>
  </si>
  <si>
    <t>2.2 디젤 4WD 5인승 프레스티지</t>
  </si>
  <si>
    <t>2.2 디젤 2WD 7인승 시그니처 그래비티</t>
  </si>
  <si>
    <t>2.2 디젤 2WD 6인승 시그니처 그래비티</t>
  </si>
  <si>
    <t>2.2 디젤 2WD 5인승 시그니처 그래비티</t>
  </si>
  <si>
    <t>2.2 디젤 2WD 7인승 시그니처</t>
  </si>
  <si>
    <t>2.2 디젤 2WD 6인승 시그니처</t>
  </si>
  <si>
    <t>2.2 디젤 2WD 5인승 시그니처</t>
  </si>
  <si>
    <t>2.2 디젤 2WD 7인승 노블레스</t>
  </si>
  <si>
    <t>2.2 디젤 2WD 6인승 노블레스</t>
  </si>
  <si>
    <t>2.2 디젤 2WD 5인승 노블레스</t>
  </si>
  <si>
    <t>2.2 디젤 2WD 6인승 프레스티지</t>
  </si>
  <si>
    <t>2.2 디젤 2WD 5인승 프레스티지</t>
  </si>
  <si>
    <t>2.5 가솔린 4WD 7인승 시그니처 그래비티</t>
  </si>
  <si>
    <t>2.5 가솔린 4WD 6인승 시그니처 그래비티</t>
  </si>
  <si>
    <t>2.5 가솔린 4WD 5인승 시그니처 그래비티</t>
  </si>
  <si>
    <t>2.5 가솔린 4WD 7인승 시그니처</t>
  </si>
  <si>
    <t>2.5 가솔린 4WD 6인승 시그니처</t>
  </si>
  <si>
    <t>2.5 가솔린 4WD 5인승 시그니처</t>
  </si>
  <si>
    <t>2.5 가솔린 4WD 7인승 노블레스</t>
  </si>
  <si>
    <t>2.5 가솔린 4WD 6인승 노블레스</t>
  </si>
  <si>
    <t>2.5 가솔린 4WD 5인승 노블레스</t>
  </si>
  <si>
    <t>2.5 가솔린 4WD 7인승 프레스티지</t>
  </si>
  <si>
    <t>2.5 가솔린 4WD 6인승 프레스티지</t>
  </si>
  <si>
    <t>2.5 가솔린 4WD 5인승 프레스티지</t>
  </si>
  <si>
    <t>2.5 가솔린 2WD 7인승 시그니처 그래비티</t>
  </si>
  <si>
    <t>2.5 가솔린 2WD 6인승 시그니처 그래비티</t>
  </si>
  <si>
    <t>2.5 가솔린 2WD 5인승 시그니처 그래비티</t>
  </si>
  <si>
    <t>2.5 가솔린 2WD 7인승 시그니처</t>
  </si>
  <si>
    <t>2.5 가솔린 2WD 6인승 시그니처</t>
  </si>
  <si>
    <t>2.5 가솔린 2WD 5인승 시그니처</t>
  </si>
  <si>
    <t>2.5 가솔린 2WD 7인승 노블레스</t>
  </si>
  <si>
    <t>2.5 가솔린 2WD 6인승 노블레스</t>
  </si>
  <si>
    <t>2.5 가솔린 2WD 5인승 노블레스</t>
  </si>
  <si>
    <t>2.5 가솔린 2WD 7인승 프레스티지</t>
  </si>
  <si>
    <t>2.5 가솔린 2WD 6인승 프레스티지</t>
  </si>
  <si>
    <t>2.5 가솔린 2WD 5인승 프레스티지</t>
  </si>
  <si>
    <t>HEV 1.6 4WD 7인승 시그니처 그래비티</t>
  </si>
  <si>
    <t>HEV 1.6 4WD 6인승 시그니처 그래비티</t>
  </si>
  <si>
    <t>HEV 1.6 4WD 5인승 시그니처 그래비티</t>
  </si>
  <si>
    <t>HEV 1.6 4WD 7인승 시그니처</t>
  </si>
  <si>
    <t>HEV 1.6 4WD 6인승 시그니처</t>
  </si>
  <si>
    <t>HEV 1.6 4WD 5인승 시그니처</t>
  </si>
  <si>
    <t>HEV 1.6 4WD 7인승 노블레스</t>
  </si>
  <si>
    <t>HEV 1.6 4WD 6인승 노블레스</t>
  </si>
  <si>
    <t>HEV 1.6 4WD 5인승 노블레스</t>
  </si>
  <si>
    <t>HEV 1.6 4WD 7인승 프레스티지</t>
  </si>
  <si>
    <t>HEV 1.6 4WD 6인승 프레스티지</t>
  </si>
  <si>
    <t>HEV 1.6 4WD 5인승 프레스티지</t>
  </si>
  <si>
    <t>HEV 1.6 2WD 7인승 시그니처 그래비티</t>
  </si>
  <si>
    <t>HEV 1.6 2WD 6인승 시그니처 그래비티</t>
  </si>
  <si>
    <t>HEV 1.6 2WD 5인승 시그니처 그래비티</t>
  </si>
  <si>
    <t>HEV 1.6 2WD 7인승 시그니처</t>
  </si>
  <si>
    <t>HEV 1.6 2WD 6인승 시그니처</t>
  </si>
  <si>
    <t>HEV 1.6 2WD 5인승 시그니처</t>
  </si>
  <si>
    <t>HEV 1.6 2WD 7인승 노블레스</t>
  </si>
  <si>
    <t>HEV 1.6 2WD 6인승 노블레스</t>
  </si>
  <si>
    <t>HEV 1.6 2WD 5인승 노블레스</t>
  </si>
  <si>
    <t>HEV 1.6 2WD 7인승 프레스티지</t>
  </si>
  <si>
    <t>HEV 1.6 2WD 6인승 프레스티지</t>
  </si>
  <si>
    <t>HEV 1.6 2WD 5인승 프레스티지</t>
  </si>
  <si>
    <t>쏘렌토</t>
    <phoneticPr fontId="1" type="noConversion"/>
  </si>
  <si>
    <t>K8_2.5 GDI 시그니처 스페셜</t>
    <phoneticPr fontId="1" type="noConversion"/>
  </si>
  <si>
    <t>K8 하이브리드_시그니처 스페셜</t>
    <phoneticPr fontId="1" type="noConversion"/>
  </si>
  <si>
    <t>RV고가형(2000cc 초과)</t>
    <phoneticPr fontId="1" type="noConversion"/>
  </si>
  <si>
    <t>RV저가형(2000cc 이하)</t>
    <phoneticPr fontId="1" type="noConversion"/>
  </si>
  <si>
    <t>K2</t>
  </si>
  <si>
    <t>L2</t>
  </si>
  <si>
    <t>M2</t>
  </si>
  <si>
    <t>N2</t>
  </si>
  <si>
    <t>O2</t>
  </si>
  <si>
    <t>K2</t>
    <phoneticPr fontId="1" type="noConversion"/>
  </si>
  <si>
    <t>L2</t>
    <phoneticPr fontId="1" type="noConversion"/>
  </si>
  <si>
    <t>M2</t>
    <phoneticPr fontId="1" type="noConversion"/>
  </si>
  <si>
    <t>N2</t>
    <phoneticPr fontId="1" type="noConversion"/>
  </si>
  <si>
    <t>O2</t>
    <phoneticPr fontId="1" type="noConversion"/>
  </si>
  <si>
    <t>잔가등급</t>
    <phoneticPr fontId="1" type="noConversion"/>
  </si>
  <si>
    <t>쏘나타 디 엣지 하이브리드_2.0 하이브리드 프리미엄</t>
    <phoneticPr fontId="1" type="noConversion"/>
  </si>
  <si>
    <t>쏘나타 디 엣지 하이브리드_2.0 하이브리드 익스클루시브</t>
    <phoneticPr fontId="1" type="noConversion"/>
  </si>
  <si>
    <t>쏘나타 디 엣지 하이브리드_2.0 하이브리드 인스퍼레이션</t>
    <phoneticPr fontId="1" type="noConversion"/>
  </si>
  <si>
    <t>2.0 하이브리드 프리미엄</t>
    <phoneticPr fontId="1" type="noConversion"/>
  </si>
  <si>
    <t>2.0 하이브리드 익스클루시브</t>
    <phoneticPr fontId="1" type="noConversion"/>
  </si>
  <si>
    <t>2.0 하이브리드  인스퍼레이션</t>
    <phoneticPr fontId="1" type="noConversion"/>
  </si>
  <si>
    <t>더 뉴모닝_1.0 가솔린_트렌디</t>
    <phoneticPr fontId="1" type="noConversion"/>
  </si>
  <si>
    <t>더 뉴모닝_1.0 가솔린_프레스티지</t>
    <phoneticPr fontId="1" type="noConversion"/>
  </si>
  <si>
    <t>더 뉴모닝_1.0 가솔린_시그니처</t>
    <phoneticPr fontId="1" type="noConversion"/>
  </si>
  <si>
    <t>더 뉴모닝</t>
  </si>
  <si>
    <t>트렌디</t>
    <phoneticPr fontId="1" type="noConversion"/>
  </si>
  <si>
    <t>프레스티지</t>
    <phoneticPr fontId="1" type="noConversion"/>
  </si>
  <si>
    <t>시그니처</t>
    <phoneticPr fontId="1" type="noConversion"/>
  </si>
  <si>
    <t>B1</t>
    <phoneticPr fontId="1" type="noConversion"/>
  </si>
  <si>
    <t>K2</t>
    <phoneticPr fontId="1" type="noConversion"/>
  </si>
  <si>
    <t>I2</t>
    <phoneticPr fontId="1" type="noConversion"/>
  </si>
  <si>
    <t>K1</t>
    <phoneticPr fontId="1" type="noConversion"/>
  </si>
  <si>
    <t>F1</t>
    <phoneticPr fontId="1" type="noConversion"/>
  </si>
  <si>
    <t>M2</t>
    <phoneticPr fontId="1" type="noConversion"/>
  </si>
  <si>
    <t>더 뉴 셀토스_1.6 가솔린 터보 2WD 시그니처</t>
    <phoneticPr fontId="1" type="noConversion"/>
  </si>
  <si>
    <t>더 뉴 셀토스_1.6 가솔린 터보 2WD 트렌디</t>
    <phoneticPr fontId="1" type="noConversion"/>
  </si>
  <si>
    <t>더 뉴 셀토스_1.6 가솔린 터보 2WD 프레스티지</t>
    <phoneticPr fontId="1" type="noConversion"/>
  </si>
  <si>
    <t>더 뉴 셀토스_1.6 가솔린 터보 4WD 시그니처</t>
    <phoneticPr fontId="1" type="noConversion"/>
  </si>
  <si>
    <t>더 뉴 셀토스_1.6 가솔린 터보 4WD 트렌디</t>
    <phoneticPr fontId="1" type="noConversion"/>
  </si>
  <si>
    <t>더 뉴 셀토스_1.6 가솔린 터보 4WD 프레스티지</t>
    <phoneticPr fontId="1" type="noConversion"/>
  </si>
  <si>
    <t>L2</t>
    <phoneticPr fontId="1" type="noConversion"/>
  </si>
  <si>
    <t>M1</t>
    <phoneticPr fontId="1" type="noConversion"/>
  </si>
  <si>
    <t>담당AG</t>
    <phoneticPr fontId="1" type="noConversion"/>
  </si>
  <si>
    <t>없음</t>
    <phoneticPr fontId="1" type="noConversion"/>
  </si>
  <si>
    <t>견적원가보험료</t>
    <phoneticPr fontId="1" type="noConversion"/>
  </si>
  <si>
    <t>뉴 GV80_가솔린 2.5 터보 2WD 5인승 기본형</t>
  </si>
  <si>
    <t>뉴 GV80_가솔린 2.5 터보 2WD 6인승 기본형</t>
  </si>
  <si>
    <t>뉴 GV80_가솔린 2.5 터보 2WD 7인승 기본형</t>
  </si>
  <si>
    <t>뉴 GV80_가솔린 2.5 터보 AWD 5인승 기본형</t>
  </si>
  <si>
    <t>뉴 GV80_가솔린 2.5 터보 AWD 6인승 기본형</t>
  </si>
  <si>
    <t>뉴 GV80_가솔린 2.5 터보 AWD 7인승 기본형</t>
  </si>
  <si>
    <t>뉴 GV80_가솔린 3.5 터보 2WD 5인승 기본형</t>
  </si>
  <si>
    <t>뉴 GV80_가솔린 3.5 터보 2WD 6인승 기본형</t>
  </si>
  <si>
    <t>뉴 GV80_가솔린 3.5 터보 2WD 7인승 기본형</t>
  </si>
  <si>
    <t>뉴 GV80_가솔린 3.5 터보 AWD 5인승 기본형</t>
  </si>
  <si>
    <t>뉴 GV80_가솔린 3.5 터보 AWD 6인승 기본형</t>
  </si>
  <si>
    <t>뉴 GV80_가솔린 3.5 터보 AWD 7인승 기본형</t>
  </si>
  <si>
    <t>GV80 쿠페</t>
  </si>
  <si>
    <t>GV80 쿠페_가솔린 3.5 터보 일렉트릭 슈퍼차저 AWD</t>
    <phoneticPr fontId="1" type="noConversion"/>
  </si>
  <si>
    <t>GV80 쿠페_가솔린 가솔린 3.5 터보 AWD</t>
    <phoneticPr fontId="1" type="noConversion"/>
  </si>
  <si>
    <t>GV80 쿠페_가솔린 2.5 터보 AWD</t>
    <phoneticPr fontId="1" type="noConversion"/>
  </si>
  <si>
    <t>GV80</t>
    <phoneticPr fontId="1" type="noConversion"/>
  </si>
  <si>
    <t>가솔린</t>
    <phoneticPr fontId="1" type="noConversion"/>
  </si>
  <si>
    <t>가솔린 3.5 터보 일렉트릭 슈퍼차저 AWD</t>
  </si>
  <si>
    <t>가솔린 3.5 터보 AWD</t>
  </si>
  <si>
    <t>가솔린 2.5 터보 AWD</t>
  </si>
  <si>
    <t>J2</t>
    <phoneticPr fontId="1" type="noConversion"/>
  </si>
  <si>
    <t>캐스퍼</t>
    <phoneticPr fontId="1" type="noConversion"/>
  </si>
  <si>
    <t>가솔린 1.0 디 에센셜</t>
  </si>
  <si>
    <t>가솔린 1.0 터보 인스퍼레이션</t>
  </si>
  <si>
    <t>가솔린 1.0 터보 스마트</t>
  </si>
  <si>
    <t>가솔린 1.0 인스퍼레이션</t>
  </si>
  <si>
    <t>가솔린 1.0 스마트</t>
  </si>
  <si>
    <t>가솔린</t>
    <phoneticPr fontId="1" type="noConversion"/>
  </si>
  <si>
    <t>아산</t>
    <phoneticPr fontId="1" type="noConversion"/>
  </si>
  <si>
    <t>C1</t>
    <phoneticPr fontId="1" type="noConversion"/>
  </si>
  <si>
    <t>더 뉴레이_트렌디</t>
    <phoneticPr fontId="1" type="noConversion"/>
  </si>
  <si>
    <t>KG(쌍용)</t>
  </si>
  <si>
    <t>르노</t>
  </si>
  <si>
    <t>쉐보레</t>
  </si>
  <si>
    <t>토레스</t>
  </si>
  <si>
    <t>토레스_</t>
  </si>
  <si>
    <t>렉스턴 뉴 아레나</t>
  </si>
  <si>
    <t>더 뉴티볼리 에어</t>
  </si>
  <si>
    <t>더 뉴티볼리</t>
  </si>
  <si>
    <t>올 뉴코란도_</t>
  </si>
  <si>
    <t>XM3 하이브리드</t>
  </si>
  <si>
    <t>더 뉴SM6_</t>
  </si>
  <si>
    <t>트랙스 크로스오버</t>
  </si>
  <si>
    <t>트레일블레이저_</t>
  </si>
  <si>
    <t>렉스턴 뉴 아레나7인승 2.2 4WD 프리미엄</t>
  </si>
  <si>
    <t>렉스턴 뉴 아레나7인승 2.2 4WD 더 블랙</t>
  </si>
  <si>
    <t>렉스턴 뉴 아레나7인승 2.2 4WD 노블레스</t>
  </si>
  <si>
    <t>렉스턴 뉴 아레나7인승 2.2 2WD 프리미엄</t>
  </si>
  <si>
    <t>렉스턴 뉴 아레나5인승 2.2 4WD 프리미엄</t>
  </si>
  <si>
    <t>렉스턴 뉴 아레나5인승 2.2 4WD 더 블랙</t>
  </si>
  <si>
    <t>렉스턴 뉴 아레나5인승 2.2 4WD 노블레스</t>
  </si>
  <si>
    <t>렉스턴 뉴 아레나5인승 2.2 2WD 프리미엄</t>
  </si>
  <si>
    <t>더 뉴티볼리 에어1.5 가솔린 터보 A7</t>
  </si>
  <si>
    <t>더 뉴티볼리 에어1.5 가솔린 터보 A5</t>
  </si>
  <si>
    <t>더 뉴티볼리1.6 가솔린 2WD V3</t>
  </si>
  <si>
    <t>더 뉴티볼리1.6 가솔린 2WD V1</t>
  </si>
  <si>
    <t>더 뉴티볼리1.5 가솔린 터보 4WD V7</t>
  </si>
  <si>
    <t>더 뉴티볼리1.5 가솔린 터보 2WD V7</t>
  </si>
  <si>
    <t>더 뉴티볼리1.5 가솔린 터보 2WD V5</t>
  </si>
  <si>
    <t>올 뉴코란도_1.5 가솔린 AWD C7</t>
  </si>
  <si>
    <t>올 뉴코란도_1.5 가솔린 2WD C7</t>
  </si>
  <si>
    <t>올 뉴코란도_1.5 가솔린 2WD C5</t>
  </si>
  <si>
    <t>더 뉴SM6_TCe 300 PREMIERE</t>
  </si>
  <si>
    <t>더 뉴SM6_TCe 260 RE</t>
  </si>
  <si>
    <t>더 뉴SM6_TCe 260 필</t>
  </si>
  <si>
    <t>더 뉴SM6_TCe 300 INSPIRE</t>
  </si>
  <si>
    <t>트랙스 크로스오버1.2 가솔린 터보 RS</t>
  </si>
  <si>
    <t>트랙스 크로스오버1.2 가솔린 터보 ACTIV</t>
  </si>
  <si>
    <t>트레일블레이저_1.35 가솔린 AWD RS</t>
  </si>
  <si>
    <t>트레일블레이저_1.35 가솔린 AWD ACTIV</t>
  </si>
  <si>
    <t>트레일블레이저_1.35 가솔린 AWD Premier</t>
  </si>
  <si>
    <t>트레일블레이저_1.35 가솔린 RS</t>
  </si>
  <si>
    <t>트레일블레이저_1.35 가솔린 ACTIV</t>
  </si>
  <si>
    <t>트레일블레이저_1.35 가솔린 Premier</t>
  </si>
  <si>
    <t>7인승 2.2 4WD 프리미엄</t>
  </si>
  <si>
    <t>7인승 2.2 4WD 더 블랙</t>
  </si>
  <si>
    <t>7인승 2.2 4WD 노블레스</t>
  </si>
  <si>
    <t>7인승 2.2 2WD 프리미엄</t>
  </si>
  <si>
    <t>5인승 2.2 4WD 프리미엄</t>
  </si>
  <si>
    <t>5인승 2.2 4WD 더 블랙</t>
  </si>
  <si>
    <t>5인승 2.2 4WD 노블레스</t>
  </si>
  <si>
    <t>5인승 2.2 2WD 프리미엄</t>
  </si>
  <si>
    <t>1.5 가솔린 터보 A7</t>
  </si>
  <si>
    <t>1.5 가솔린 터보 A5</t>
  </si>
  <si>
    <t>1.6 가솔린 2WD V3</t>
  </si>
  <si>
    <t>1.6 가솔린 2WD V1</t>
  </si>
  <si>
    <t>1.5 가솔린 터보 4WD V7</t>
  </si>
  <si>
    <t>1.5 가솔린 터보 2WD V7</t>
  </si>
  <si>
    <t>1.5 가솔린 터보 2WD V5</t>
  </si>
  <si>
    <t>1.5 가솔린 AWD C7</t>
  </si>
  <si>
    <t>1.5 가솔린 2WD C7</t>
  </si>
  <si>
    <t>1.5 가솔린 2WD C5</t>
  </si>
  <si>
    <t>2.0 LPe RE</t>
  </si>
  <si>
    <t>2.0 LPe LE</t>
  </si>
  <si>
    <t>2.0 GDe RE</t>
  </si>
  <si>
    <t>2.0 GDe PREMIERE</t>
  </si>
  <si>
    <t>TCe 260 RE</t>
  </si>
  <si>
    <t>TCe 300 PREMIERE</t>
  </si>
  <si>
    <t>TCe 260 필</t>
  </si>
  <si>
    <t>TCe 300 INSPIRE</t>
  </si>
  <si>
    <t>1.2 가솔린 터보 LT</t>
  </si>
  <si>
    <t>1.2 가솔린 터보 ACTIV</t>
  </si>
  <si>
    <t>1.35 가솔린 AWD RS</t>
  </si>
  <si>
    <t>1.35 가솔린 AWD ACTIV</t>
  </si>
  <si>
    <t>1.35 가솔린 AWD Premier</t>
  </si>
  <si>
    <t>1.35 가솔린 RS</t>
  </si>
  <si>
    <t>1.35 가솔린 ACTIV</t>
  </si>
  <si>
    <t>1.35 가솔린 Premier</t>
  </si>
  <si>
    <t>가솔린</t>
    <phoneticPr fontId="1" type="noConversion"/>
  </si>
  <si>
    <t>승용</t>
    <phoneticPr fontId="1" type="noConversion"/>
  </si>
  <si>
    <t>다인승</t>
    <phoneticPr fontId="1" type="noConversion"/>
  </si>
  <si>
    <t>RV고가형(2000CC 초과)</t>
    <phoneticPr fontId="1" type="noConversion"/>
  </si>
  <si>
    <t>RV저가형(2000cc 이하)</t>
    <phoneticPr fontId="1" type="noConversion"/>
  </si>
  <si>
    <t>2200CC 이하</t>
    <phoneticPr fontId="1" type="noConversion"/>
  </si>
  <si>
    <t>1600CC 이하</t>
    <phoneticPr fontId="1" type="noConversion"/>
  </si>
  <si>
    <t>J1</t>
  </si>
  <si>
    <t>Q1</t>
  </si>
  <si>
    <t>H1</t>
  </si>
  <si>
    <t>G1</t>
  </si>
  <si>
    <t>르노</t>
    <phoneticPr fontId="1" type="noConversion"/>
  </si>
  <si>
    <t>쉐보레</t>
    <phoneticPr fontId="1" type="noConversion"/>
  </si>
  <si>
    <t>KG_쌍용</t>
    <phoneticPr fontId="1" type="noConversion"/>
  </si>
  <si>
    <t>[별첨1] 차종별 보장잔가율 및 잔가보장수수료율</t>
    <phoneticPr fontId="52" type="noConversion"/>
  </si>
  <si>
    <t>■ 차종별 보장잔가율</t>
    <phoneticPr fontId="1" type="noConversion"/>
  </si>
  <si>
    <t>차량 
제조사</t>
    <phoneticPr fontId="1" type="noConversion"/>
  </si>
  <si>
    <t>카니발 7인
(HEV)</t>
    <phoneticPr fontId="1" type="noConversion"/>
  </si>
  <si>
    <t>K3 ( GT 제외)</t>
  </si>
  <si>
    <t xml:space="preserve">카니발 9인 (G) </t>
    <phoneticPr fontId="1" type="noConversion"/>
  </si>
  <si>
    <t>K8 (HEV)</t>
    <phoneticPr fontId="1" type="noConversion"/>
  </si>
  <si>
    <t>카니발 7인 (G)</t>
    <phoneticPr fontId="1" type="noConversion"/>
  </si>
  <si>
    <t>모닝 (벤제외)</t>
  </si>
  <si>
    <t>카니발 7인
하이리무진(G)</t>
    <phoneticPr fontId="1" type="noConversion"/>
  </si>
  <si>
    <t>스포티지 (D)</t>
  </si>
  <si>
    <t>K3 (GT)</t>
    <phoneticPr fontId="1" type="noConversion"/>
  </si>
  <si>
    <t>소렌토 (HEV)</t>
    <phoneticPr fontId="1" type="noConversion"/>
  </si>
  <si>
    <t>니로 (HEV)</t>
    <phoneticPr fontId="1" type="noConversion"/>
  </si>
  <si>
    <t>스포티지 (G)</t>
  </si>
  <si>
    <t>레이 1.0 (G)</t>
  </si>
  <si>
    <t>카니발 9인,7인
(D)</t>
    <phoneticPr fontId="1" type="noConversion"/>
  </si>
  <si>
    <t>카니발 9인
하이리무진 (G,D)</t>
    <phoneticPr fontId="1" type="noConversion"/>
  </si>
  <si>
    <t>소렌토 (D)</t>
  </si>
  <si>
    <t>카니발 9인
(HEV)</t>
    <phoneticPr fontId="1" type="noConversion"/>
  </si>
  <si>
    <t>스포티지 (HEV)</t>
    <phoneticPr fontId="1" type="noConversion"/>
  </si>
  <si>
    <t>셀토스(G)</t>
  </si>
  <si>
    <t>K5 (HEV)</t>
    <phoneticPr fontId="1" type="noConversion"/>
  </si>
  <si>
    <t>카니발 7,9인
하이리무진
(HEV)</t>
    <phoneticPr fontId="1" type="noConversion"/>
  </si>
  <si>
    <t>K5 (LPG)</t>
    <phoneticPr fontId="1" type="noConversion"/>
  </si>
  <si>
    <t>K8 2.5 (G).</t>
    <phoneticPr fontId="1" type="noConversion"/>
  </si>
  <si>
    <t>K8 3.5 (G)</t>
    <phoneticPr fontId="1" type="noConversion"/>
  </si>
  <si>
    <t>소렌토 (G)</t>
  </si>
  <si>
    <t>K5 1.6(G)</t>
  </si>
  <si>
    <t>K8 (LPG)</t>
    <phoneticPr fontId="1" type="noConversion"/>
  </si>
  <si>
    <t>K9 3.3/3.8 (G)</t>
  </si>
  <si>
    <t>카니발 4인승
하이리무진</t>
    <phoneticPr fontId="1" type="noConversion"/>
  </si>
  <si>
    <t>싼타페
하이브리드</t>
    <phoneticPr fontId="1" type="noConversion"/>
  </si>
  <si>
    <t>쏘나타
하이브리드</t>
    <phoneticPr fontId="1" type="noConversion"/>
  </si>
  <si>
    <t>투싼 가솔린
(N 제외)</t>
    <phoneticPr fontId="1" type="noConversion"/>
  </si>
  <si>
    <t>그랜저 2.5(G)</t>
    <phoneticPr fontId="1" type="noConversion"/>
  </si>
  <si>
    <t>캐스퍼 (G)
(밴 제외)</t>
    <phoneticPr fontId="1" type="noConversion"/>
  </si>
  <si>
    <t>소나타2,0(G)</t>
  </si>
  <si>
    <t>그랜저 3.5(G)</t>
    <phoneticPr fontId="1" type="noConversion"/>
  </si>
  <si>
    <t>모든 N 차량</t>
    <phoneticPr fontId="1" type="noConversion"/>
  </si>
  <si>
    <t>코나
하이브리드</t>
    <phoneticPr fontId="1" type="noConversion"/>
  </si>
  <si>
    <t>싼타페 (G)</t>
    <phoneticPr fontId="1" type="noConversion"/>
  </si>
  <si>
    <t>그랜저 하이브리드</t>
  </si>
  <si>
    <t>그랜저 LPG</t>
    <phoneticPr fontId="1" type="noConversion"/>
  </si>
  <si>
    <t>쏘나타 LPG</t>
  </si>
  <si>
    <t>투싼하이브리드
(N 제외)</t>
    <phoneticPr fontId="1" type="noConversion"/>
  </si>
  <si>
    <t>아반떼 1.6(G)</t>
    <phoneticPr fontId="1" type="noConversion"/>
  </si>
  <si>
    <t>베뉴, 코나 (G)</t>
    <phoneticPr fontId="1" type="noConversion"/>
  </si>
  <si>
    <t>아반떼 LPG</t>
    <phoneticPr fontId="1" type="noConversion"/>
  </si>
  <si>
    <t>아반떼
하이브리드</t>
    <phoneticPr fontId="1" type="noConversion"/>
  </si>
  <si>
    <t>쏘나타 1.6(G)</t>
  </si>
  <si>
    <t>스타리아</t>
    <phoneticPr fontId="1" type="noConversion"/>
  </si>
  <si>
    <t>GV80 2.5
(쿠페포함)</t>
    <phoneticPr fontId="1" type="noConversion"/>
  </si>
  <si>
    <t>G80 2.5T</t>
  </si>
  <si>
    <t>G70 2.5(G)</t>
  </si>
  <si>
    <t>G70  3.3(G)</t>
    <phoneticPr fontId="1" type="noConversion"/>
  </si>
  <si>
    <t>G80 3.5(G)</t>
  </si>
  <si>
    <t>GV70 2.5</t>
  </si>
  <si>
    <t>G90 (LONG ,4인제외)</t>
  </si>
  <si>
    <t>GV70 3.5(G)</t>
  </si>
  <si>
    <t>르노</t>
    <phoneticPr fontId="1" type="noConversion"/>
  </si>
  <si>
    <t>SM6 Lpe</t>
  </si>
  <si>
    <t>카마로</t>
  </si>
  <si>
    <t>콜로라도</t>
  </si>
  <si>
    <t>타호</t>
  </si>
  <si>
    <t>트레일 블레이저</t>
  </si>
  <si>
    <t>KG모빌리티</t>
    <phoneticPr fontId="1" type="noConversion"/>
  </si>
  <si>
    <t>(단위:%)</t>
    <phoneticPr fontId="1" type="noConversion"/>
  </si>
  <si>
    <t>보장 잔가율 (2만km기준)</t>
    <phoneticPr fontId="1" type="noConversion"/>
  </si>
  <si>
    <t>12개월</t>
  </si>
  <si>
    <t>24개월</t>
  </si>
  <si>
    <t>36개월</t>
  </si>
  <si>
    <t>48개월</t>
  </si>
  <si>
    <t>60개월</t>
  </si>
  <si>
    <t>■ 초과운행부담금 km당 200원</t>
    <phoneticPr fontId="52" type="noConversion"/>
  </si>
  <si>
    <t xml:space="preserve">■ 약정운행거리 20,000km/년 기준 </t>
  </si>
  <si>
    <t>1.0만</t>
  </si>
  <si>
    <t>1.5만</t>
  </si>
  <si>
    <t>2만</t>
  </si>
  <si>
    <t>2.5만</t>
    <phoneticPr fontId="1" type="noConversion"/>
  </si>
  <si>
    <t>3만</t>
    <phoneticPr fontId="1" type="noConversion"/>
  </si>
  <si>
    <t>3.5만</t>
    <phoneticPr fontId="1" type="noConversion"/>
  </si>
  <si>
    <t>그 외</t>
    <phoneticPr fontId="1" type="noConversion"/>
  </si>
  <si>
    <t>잔가율조정</t>
    <phoneticPr fontId="1" type="noConversion"/>
  </si>
  <si>
    <t>불가</t>
    <phoneticPr fontId="1" type="noConversion"/>
  </si>
  <si>
    <t>■ 잔가보장수수료(부가세 별도)</t>
    <phoneticPr fontId="1" type="noConversion"/>
  </si>
  <si>
    <t>수수료율</t>
    <phoneticPr fontId="1" type="noConversion"/>
  </si>
  <si>
    <t>담보율</t>
    <phoneticPr fontId="1" type="noConversion"/>
  </si>
  <si>
    <t>지급율</t>
    <phoneticPr fontId="1" type="noConversion"/>
  </si>
  <si>
    <t>비고</t>
    <phoneticPr fontId="1" type="noConversion"/>
  </si>
  <si>
    <t>시판가 기준</t>
    <phoneticPr fontId="1" type="noConversion"/>
  </si>
  <si>
    <t>[별첨2] 차종별 월별보장잔가율</t>
    <phoneticPr fontId="52" type="noConversion"/>
  </si>
  <si>
    <t xml:space="preserve">(단위 : %)  </t>
    <phoneticPr fontId="1" type="noConversion"/>
  </si>
  <si>
    <t xml:space="preserve"> ※ 2만km기준 보장잔가율</t>
    <phoneticPr fontId="1" type="noConversion"/>
  </si>
  <si>
    <t>쏘렌토 (H)</t>
    <phoneticPr fontId="1" type="noConversion"/>
  </si>
  <si>
    <t>-</t>
    <phoneticPr fontId="1" type="noConversion"/>
  </si>
  <si>
    <t>쏘렌토 (G)
카니발 (9인승)
니로 (H)</t>
    <phoneticPr fontId="1" type="noConversion"/>
  </si>
  <si>
    <t>스포티지 (H)
셀토스 (G)</t>
    <phoneticPr fontId="1" type="noConversion"/>
  </si>
  <si>
    <t>카니발 (7인승)
스포티지 (G)</t>
    <phoneticPr fontId="1" type="noConversion"/>
  </si>
  <si>
    <t>쏘렌토 (디젤)
K5 (1.6 / 2.0G)</t>
    <phoneticPr fontId="1" type="noConversion"/>
  </si>
  <si>
    <t>K8 (H)</t>
    <phoneticPr fontId="1" type="noConversion"/>
  </si>
  <si>
    <t>K5 (H)
K5 (LPG)
K3 세단 (G)
스포티지 (LPG)</t>
    <phoneticPr fontId="1" type="noConversion"/>
  </si>
  <si>
    <t>K8 2.5G</t>
    <phoneticPr fontId="1" type="noConversion"/>
  </si>
  <si>
    <t>K8 (LPG)
카니발 하이리무진 (7인승 / 9인승)</t>
    <phoneticPr fontId="1" type="noConversion"/>
  </si>
  <si>
    <t>스포티지 (디젤)
K3 5도어 GT
모하비</t>
    <phoneticPr fontId="1" type="noConversion"/>
  </si>
  <si>
    <t>레이 (승용)</t>
    <phoneticPr fontId="1" type="noConversion"/>
  </si>
  <si>
    <t>K8 (3.5 가솔린)</t>
    <phoneticPr fontId="1" type="noConversion"/>
  </si>
  <si>
    <t>모닝 (승용)
레이 (밴)
봉고 (디젤 / LPG)</t>
    <phoneticPr fontId="1" type="noConversion"/>
  </si>
  <si>
    <t>EV6
K9 (G)</t>
    <phoneticPr fontId="1" type="noConversion"/>
  </si>
  <si>
    <t>16인승 이상 승합(EV 제외)
2.5톤 이하 상용(EV 제외)
모닝 (밴)</t>
    <phoneticPr fontId="1" type="noConversion"/>
  </si>
  <si>
    <t>레이 (EV)
(밴포함)
니로 (EV)
니로 플러스(EV)
EV6 (GT), EV9
카니발 하이리무진 (4인승)
2.5톤 초과 상용(EV 제외)</t>
    <phoneticPr fontId="1" type="noConversion"/>
  </si>
  <si>
    <t>봉고 (EV)</t>
    <phoneticPr fontId="1" type="noConversion"/>
  </si>
  <si>
    <t>기타차종</t>
    <phoneticPr fontId="1" type="noConversion"/>
  </si>
  <si>
    <t>싼타페 (H)</t>
    <phoneticPr fontId="1" type="noConversion"/>
  </si>
  <si>
    <t>아반떼 (H)
(N라인포함)</t>
    <phoneticPr fontId="1" type="noConversion"/>
  </si>
  <si>
    <t>싼타페 (G)
그랜져 (H)</t>
    <phoneticPr fontId="1" type="noConversion"/>
  </si>
  <si>
    <t>투싼 (H)
(N라인포함)
코나 (H)
아반떼 G
(N라인포함)
아반떼 (LPG)</t>
    <phoneticPr fontId="1" type="noConversion"/>
  </si>
  <si>
    <t>그랜져 (2.5G)
투싼 G 
(N라인포함)
팰리세이드(G)</t>
    <phoneticPr fontId="1" type="noConversion"/>
  </si>
  <si>
    <t>그랜져 (3.5 LPG)
팰리세이드(D)</t>
    <phoneticPr fontId="1" type="noConversion"/>
  </si>
  <si>
    <t>쏘나타
(1.6 / 2.0G)
(N라인포함)
쏘나타 (LPG)
코나 (G)</t>
    <phoneticPr fontId="1" type="noConversion"/>
  </si>
  <si>
    <t>베뉴 (G)</t>
    <phoneticPr fontId="1" type="noConversion"/>
  </si>
  <si>
    <t>쏘나타 (H)
스타리아 라운지 (디젤/LPG)</t>
    <phoneticPr fontId="1" type="noConversion"/>
  </si>
  <si>
    <t>그랜져 3.5G
투싼 (디젤)
(N라인포함)
스타리아 투어러 (디젤/LPG)</t>
    <phoneticPr fontId="1" type="noConversion"/>
  </si>
  <si>
    <t>캐스퍼 (승용)</t>
    <phoneticPr fontId="1" type="noConversion"/>
  </si>
  <si>
    <t>스타리아 카고 (디젤/LPG)</t>
    <phoneticPr fontId="1" type="noConversion"/>
  </si>
  <si>
    <t>아반떼 (N)</t>
    <phoneticPr fontId="1" type="noConversion"/>
  </si>
  <si>
    <t>쏘나타
(2.5 N라인/N)
코나 (N)</t>
    <phoneticPr fontId="1" type="noConversion"/>
  </si>
  <si>
    <t>쏠라티
포터 (디젤 / LPG)</t>
    <phoneticPr fontId="1" type="noConversion"/>
  </si>
  <si>
    <t>아이오닉5
캐스퍼 (밴)</t>
    <phoneticPr fontId="1" type="noConversion"/>
  </si>
  <si>
    <t>16인승 이상 승합(EV 제외)
2.5톤 이하 상용(EV 제외)</t>
    <phoneticPr fontId="1" type="noConversion"/>
  </si>
  <si>
    <t>아이오닉6</t>
    <phoneticPr fontId="1" type="noConversion"/>
  </si>
  <si>
    <t>코나 (EV)
아이오닉5 (N)
2.5톤 초과 상용 (EV 제외)</t>
    <phoneticPr fontId="1" type="noConversion"/>
  </si>
  <si>
    <t>넥쏘</t>
    <phoneticPr fontId="1" type="noConversion"/>
  </si>
  <si>
    <t>포터 (EV)</t>
    <phoneticPr fontId="1" type="noConversion"/>
  </si>
  <si>
    <t>GV80 2.5G
(쿠페포함)</t>
    <phoneticPr fontId="1" type="noConversion"/>
  </si>
  <si>
    <t>GV70 2.5G</t>
    <phoneticPr fontId="1" type="noConversion"/>
  </si>
  <si>
    <t>G80 2.5G
GV70 (디젤)
GV80 (디젤)
GV80 3.5G
(쿠페포함)</t>
    <phoneticPr fontId="1" type="noConversion"/>
  </si>
  <si>
    <t>G70 2.5G</t>
    <phoneticPr fontId="1" type="noConversion"/>
  </si>
  <si>
    <t>GV70 3.5G</t>
    <phoneticPr fontId="1" type="noConversion"/>
  </si>
  <si>
    <t>G80 3.5G</t>
    <phoneticPr fontId="1" type="noConversion"/>
  </si>
  <si>
    <t>G70 3.3G</t>
    <phoneticPr fontId="1" type="noConversion"/>
  </si>
  <si>
    <t>G90 3.5G</t>
    <phoneticPr fontId="1" type="noConversion"/>
  </si>
  <si>
    <t>GV60 (EV)</t>
    <phoneticPr fontId="1" type="noConversion"/>
  </si>
  <si>
    <t>G70 (슈팅브레이크)</t>
    <phoneticPr fontId="1" type="noConversion"/>
  </si>
  <si>
    <t>GV70 (EV)
GV80 쿠페(3.5G 일렉트릭슈퍼차저)</t>
    <phoneticPr fontId="1" type="noConversion"/>
  </si>
  <si>
    <t>G90 (3.5G 일렉트릭 슈퍼차저)
G90 (3.5G LWB)
G80 (EV)</t>
    <phoneticPr fontId="1" type="noConversion"/>
  </si>
  <si>
    <t>XM3 (H)
QM6 (G/L)</t>
    <phoneticPr fontId="1" type="noConversion"/>
  </si>
  <si>
    <t>XM3 (G)</t>
    <phoneticPr fontId="1" type="noConversion"/>
  </si>
  <si>
    <t>SM6 (G)
SM6 (LPG)</t>
    <phoneticPr fontId="1" type="noConversion"/>
  </si>
  <si>
    <t>QM6 (퀘스트)</t>
    <phoneticPr fontId="1" type="noConversion"/>
  </si>
  <si>
    <t>마스터</t>
    <phoneticPr fontId="1" type="noConversion"/>
  </si>
  <si>
    <t>조에 (EV)</t>
    <phoneticPr fontId="1" type="noConversion"/>
  </si>
  <si>
    <t>트레일블레이저 (G)</t>
    <phoneticPr fontId="1" type="noConversion"/>
  </si>
  <si>
    <t>트랙스 크로스오버 (G)</t>
    <phoneticPr fontId="1" type="noConversion"/>
  </si>
  <si>
    <t>트래버스 (G)
이쿼녹스 (G)</t>
    <phoneticPr fontId="1" type="noConversion"/>
  </si>
  <si>
    <t>콜로라도 (G)
타호 (G)</t>
    <phoneticPr fontId="1" type="noConversion"/>
  </si>
  <si>
    <t>볼트 (EV)
볼트 EUV</t>
    <phoneticPr fontId="1" type="noConversion"/>
  </si>
  <si>
    <t>토레스 (G)
티볼리 (G)</t>
    <phoneticPr fontId="1" type="noConversion"/>
  </si>
  <si>
    <t>렉스턴 스포츠
티볼리 에어 (G)</t>
    <phoneticPr fontId="1" type="noConversion"/>
  </si>
  <si>
    <t>코란도 (G)
토레스 (바이퓨얼)
렉스턴</t>
    <phoneticPr fontId="1" type="noConversion"/>
  </si>
  <si>
    <t>토레스 (밴)</t>
    <phoneticPr fontId="1" type="noConversion"/>
  </si>
  <si>
    <t>토레스 (EV)</t>
    <phoneticPr fontId="1" type="noConversion"/>
  </si>
  <si>
    <t>2.5만</t>
  </si>
  <si>
    <t>3만</t>
  </si>
  <si>
    <t>4만</t>
  </si>
  <si>
    <t>5만</t>
  </si>
  <si>
    <t>+2.5%</t>
  </si>
  <si>
    <t>+1%</t>
  </si>
  <si>
    <t>-2%</t>
  </si>
  <si>
    <t>-3.5%</t>
  </si>
  <si>
    <t>-9.0%</t>
  </si>
  <si>
    <t>-15%</t>
  </si>
  <si>
    <t>평택</t>
  </si>
  <si>
    <t>부산</t>
  </si>
  <si>
    <t>창원</t>
  </si>
  <si>
    <t>인천</t>
  </si>
  <si>
    <t>잔가등급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</si>
  <si>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</si>
  <si>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</si>
  <si>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</si>
  <si>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</si>
  <si>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</si>
  <si>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</si>
  <si>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</si>
  <si>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</si>
  <si>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</si>
  <si>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</si>
  <si>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</si>
  <si>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</si>
  <si>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</si>
  <si>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</si>
  <si>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</si>
  <si>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</si>
  <si>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</si>
  <si>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</si>
  <si>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</si>
  <si>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</si>
  <si>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</si>
  <si>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</si>
  <si>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</si>
  <si>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</si>
  <si>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</si>
  <si>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AP</t>
    <phoneticPr fontId="1" type="noConversion"/>
  </si>
  <si>
    <t>TY</t>
    <phoneticPr fontId="1" type="noConversion"/>
  </si>
  <si>
    <t>AH</t>
    <phoneticPr fontId="1" type="noConversion"/>
  </si>
  <si>
    <t>잔가보장사</t>
  </si>
  <si>
    <t>내부잔가</t>
  </si>
  <si>
    <t>잔가율</t>
    <phoneticPr fontId="1" type="noConversion"/>
  </si>
  <si>
    <t>주행거리잔가</t>
    <phoneticPr fontId="1" type="noConversion"/>
  </si>
  <si>
    <t>잔가등급</t>
    <phoneticPr fontId="1" type="noConversion"/>
  </si>
  <si>
    <t>최종잔가율</t>
    <phoneticPr fontId="1" type="noConversion"/>
  </si>
  <si>
    <t>견적1</t>
    <phoneticPr fontId="1" type="noConversion"/>
  </si>
  <si>
    <t>견적2</t>
    <phoneticPr fontId="1" type="noConversion"/>
  </si>
  <si>
    <t>견적3</t>
    <phoneticPr fontId="1" type="noConversion"/>
  </si>
  <si>
    <t>G90</t>
  </si>
  <si>
    <t>3.5T_기본</t>
  </si>
  <si>
    <t>P</t>
    <phoneticPr fontId="1" type="noConversion"/>
  </si>
  <si>
    <t>H</t>
    <phoneticPr fontId="1" type="noConversion"/>
  </si>
  <si>
    <t>잔가보장사</t>
    <phoneticPr fontId="1" type="noConversion"/>
  </si>
  <si>
    <t>QM6_</t>
    <phoneticPr fontId="1" type="noConversion"/>
  </si>
  <si>
    <t>SM6_</t>
    <phoneticPr fontId="1" type="noConversion"/>
  </si>
  <si>
    <t>트레일블레이저_1.35 가솔린 LT</t>
    <phoneticPr fontId="1" type="noConversion"/>
  </si>
  <si>
    <t>1.35 가솔린 LT</t>
    <phoneticPr fontId="1" type="noConversion"/>
  </si>
  <si>
    <t>트레일블레이저_1.35 가솔린 AWD LT</t>
    <phoneticPr fontId="1" type="noConversion"/>
  </si>
  <si>
    <t>1.35 가솔린 AWD LT</t>
    <phoneticPr fontId="1" type="noConversion"/>
  </si>
  <si>
    <t>기준잔가</t>
    <phoneticPr fontId="1" type="noConversion"/>
  </si>
  <si>
    <t>무제한</t>
    <phoneticPr fontId="1" type="noConversion"/>
  </si>
  <si>
    <t>4만km</t>
    <phoneticPr fontId="1" type="noConversion"/>
  </si>
  <si>
    <t>없음</t>
    <phoneticPr fontId="1" type="noConversion"/>
  </si>
  <si>
    <t>C</t>
    <phoneticPr fontId="1" type="noConversion"/>
  </si>
  <si>
    <t>T</t>
    <phoneticPr fontId="1" type="noConversion"/>
  </si>
  <si>
    <t>더 뉴 카니발 하이리무진하이리무진 9인승 하이브리드 노블레스</t>
  </si>
  <si>
    <t>더 뉴 카니발 하이리무진하이리무진 7인승 하이브리드 시그니처</t>
  </si>
  <si>
    <t>더 뉴 카니발 하이리무진하이리무진 4인승 하이브리드 시그니처</t>
  </si>
  <si>
    <t>더 뉴 카니발 하이리무진하이리무진 9인승 디젤 시그니처</t>
  </si>
  <si>
    <t>더 뉴 카니발 하이리무진하이리무진 9인승 가솔린 시그니처</t>
  </si>
  <si>
    <t>더 뉴 카니발 하이리무진하이리무진 7인승 가솔린 시그니처</t>
  </si>
  <si>
    <t>더 뉴 카니발 하이리무진하이리무진 4인승 가솔린 시그니처</t>
  </si>
  <si>
    <t>더 뉴 카니발9인승 하이브리드 그래비티</t>
  </si>
  <si>
    <t>더 뉴 카니발9인승 하이브리드 시그니처</t>
  </si>
  <si>
    <t>더 뉴 카니발9인승 하이브리드 노블레스</t>
  </si>
  <si>
    <t>더 뉴 카니발9인승 하이브리드 프레스티지</t>
  </si>
  <si>
    <t>더 뉴 카니발7인승 하이브리드 그래비티</t>
  </si>
  <si>
    <t>더 뉴 카니발7인승 하이브리드 시그니처</t>
  </si>
  <si>
    <t>더 뉴 카니발7인승 하이브리드 아웃도어</t>
  </si>
  <si>
    <t>더 뉴 카니발7인승 하이브리드 노블레스</t>
  </si>
  <si>
    <t>더 뉴 카니발9인승 디젤 그래비티</t>
  </si>
  <si>
    <t>더 뉴 카니발9인승 디젤 시그니처</t>
  </si>
  <si>
    <t>더 뉴 카니발9인승 디젤 노블레스</t>
  </si>
  <si>
    <t>더 뉴 카니발9인승 디젤 프레스티지</t>
  </si>
  <si>
    <t>더 뉴 카니발7인승 디젤 그래비티</t>
  </si>
  <si>
    <t>더 뉴 카니발7인승 디젤 시그니처</t>
  </si>
  <si>
    <t>더 뉴 카니발7인승 디젤 아웃도어</t>
  </si>
  <si>
    <t>더 뉴 카니발7인승 디젤 노블레스</t>
  </si>
  <si>
    <t>더 뉴 카니발9인승 가솔린 그래비티</t>
  </si>
  <si>
    <t>더 뉴 카니발9인승 가솔린 시그니처</t>
  </si>
  <si>
    <t>더 뉴 카니발9인승 가솔린 노블레스</t>
  </si>
  <si>
    <t>더 뉴 카니발9인승 가솔린 프레스티지</t>
  </si>
  <si>
    <t>더 뉴 카니발7인승 가솔린 그래비티</t>
  </si>
  <si>
    <t>더 뉴 카니발7인승 가솔린 시그니처</t>
  </si>
  <si>
    <t>더 뉴 카니발7인승 가솔린 아웃도어</t>
  </si>
  <si>
    <t>더 뉴 카니발7인승 가솔린 노블레스</t>
  </si>
  <si>
    <t>카니발</t>
    <phoneticPr fontId="1" type="noConversion"/>
  </si>
  <si>
    <t>더 뉴 카니발 하이리무진</t>
  </si>
  <si>
    <t>더 뉴 카니발</t>
  </si>
  <si>
    <t>가솔린</t>
    <phoneticPr fontId="1" type="noConversion"/>
  </si>
  <si>
    <t>더 뉴 카니발 하이리무진하이리무진 9인승 하이브리드 시그니처</t>
    <phoneticPr fontId="1" type="noConversion"/>
  </si>
  <si>
    <t>하이리무진 9인승 하이브리드 시그니처</t>
  </si>
  <si>
    <t>하이리무진 9인승 하이브리드 노블레스</t>
  </si>
  <si>
    <t>하이리무진 7인승 하이브리드 시그니처</t>
  </si>
  <si>
    <t>하이리무진 4인승 하이브리드 시그니처</t>
  </si>
  <si>
    <t>하이리무진 4인승 가솔린 시그니처</t>
  </si>
  <si>
    <t>9인승 하이브리드 그래비티</t>
  </si>
  <si>
    <t>9인승 하이브리드 시그니처</t>
  </si>
  <si>
    <t>9인승 하이브리드 노블레스</t>
  </si>
  <si>
    <t>9인승 하이브리드 프레스티지</t>
  </si>
  <si>
    <t>7인승 하이브리드 그래비티</t>
  </si>
  <si>
    <t>7인승 하이브리드 시그니처</t>
  </si>
  <si>
    <t>7인승 하이브리드 아웃도어</t>
  </si>
  <si>
    <t>7인승 하이브리드 노블레스</t>
  </si>
  <si>
    <t>9인승 디젤 그래비티</t>
  </si>
  <si>
    <t>7인승 디젤 그래비티</t>
  </si>
  <si>
    <t>7인승 디젤 아웃도어</t>
  </si>
  <si>
    <t>9인승 가솔린 그래비티</t>
  </si>
  <si>
    <t>7인승 가솔린 그래비티</t>
  </si>
  <si>
    <t>7인승 가솔린 아웃도어</t>
  </si>
  <si>
    <t>RV저가형(2000cc 이하)</t>
  </si>
  <si>
    <t>RV고가형(2000cc 초과)</t>
  </si>
  <si>
    <t>광명</t>
    <phoneticPr fontId="1" type="noConversion"/>
  </si>
  <si>
    <t>더 뉴K5 하이브리드시그니처</t>
  </si>
  <si>
    <t>더 뉴K5 하이브리드노블레스</t>
  </si>
  <si>
    <t>더 뉴K5 하이브리드프레스티지</t>
  </si>
  <si>
    <t>2.0 LPI 일반인 시그니처</t>
  </si>
  <si>
    <t>2.0 LPI 일반인 노블레스</t>
  </si>
  <si>
    <t>2.0 LPI 일반인 프레스티지</t>
  </si>
  <si>
    <t>더 뉴K5</t>
  </si>
  <si>
    <t>더 뉴K5 하이브리드</t>
  </si>
  <si>
    <t>더 뉴K5 2.0 LPI 일반인 시그니처</t>
    <phoneticPr fontId="1" type="noConversion"/>
  </si>
  <si>
    <t>더 뉴K5 2.0 LPI 일반인 노블레스</t>
    <phoneticPr fontId="1" type="noConversion"/>
  </si>
  <si>
    <t>더 뉴K5 2.0 LPI 일반인 프레스티지</t>
    <phoneticPr fontId="1" type="noConversion"/>
  </si>
  <si>
    <t>더 뉴K5 2.0 가솔린 시그니처</t>
    <phoneticPr fontId="1" type="noConversion"/>
  </si>
  <si>
    <t>더 뉴K5 2.0 가솔린 노블레스</t>
    <phoneticPr fontId="1" type="noConversion"/>
  </si>
  <si>
    <t>더 뉴K5 2.0 가솔린 프레스티지</t>
    <phoneticPr fontId="1" type="noConversion"/>
  </si>
  <si>
    <t>더 뉴K5 1.6 가솔린 터보 노블레스</t>
    <phoneticPr fontId="1" type="noConversion"/>
  </si>
  <si>
    <t>더 뉴K5 1.6 가솔린 터보 프레스티지</t>
    <phoneticPr fontId="1" type="noConversion"/>
  </si>
  <si>
    <t>3.5T_슈퍼차저</t>
    <phoneticPr fontId="1" type="noConversion"/>
  </si>
  <si>
    <t>신형 G90_3.5GT 일렉트릭 슈퍼차저 AWD(5인승)</t>
  </si>
  <si>
    <t>신형 G90_3.5GT 일렉트릭 슈퍼차저 2WD(5인승)</t>
  </si>
  <si>
    <t>신형 G90_3.5GT 일렉트릭 슈퍼차저 2WD(4인승)</t>
  </si>
  <si>
    <t>3.5GT 일렉트릭 슈퍼차저 AWD(5인승)</t>
  </si>
  <si>
    <t>3.5GT 일렉트릭 슈퍼차저 AWD(4인승)</t>
  </si>
  <si>
    <t>3.5GT 일렉트릭 슈퍼차저 2WD(5인승)</t>
  </si>
  <si>
    <t>3.5GT 일렉트릭 슈퍼차저 2WD(4인승)</t>
  </si>
  <si>
    <t>30만원</t>
  </si>
  <si>
    <t>K8_3.5 LPi 일반인 노블레스</t>
  </si>
  <si>
    <t>K8_3.5 LPi 일반인 프레스티지</t>
  </si>
  <si>
    <t>3.5 LPi 일반인 노블레스</t>
  </si>
  <si>
    <t>3.5 LPi 일반인 프레스티지</t>
  </si>
  <si>
    <t>LPG</t>
    <phoneticPr fontId="1" type="noConversion"/>
  </si>
  <si>
    <t>화성</t>
    <phoneticPr fontId="1" type="noConversion"/>
  </si>
  <si>
    <t>N1</t>
    <phoneticPr fontId="1" type="noConversion"/>
  </si>
  <si>
    <t>신형 G90_3.5T_LWB</t>
    <phoneticPr fontId="1" type="noConversion"/>
  </si>
  <si>
    <t>신형 G90_3.5T_2WD 5인승 기본</t>
    <phoneticPr fontId="1" type="noConversion"/>
  </si>
  <si>
    <t>신형 G90_3.5T_AWD 5인승 기본</t>
    <phoneticPr fontId="1" type="noConversion"/>
  </si>
  <si>
    <t>신형 G90_3.5T_2WD 4인승 기본</t>
    <phoneticPr fontId="1" type="noConversion"/>
  </si>
  <si>
    <t>신형 G90_3.5T_AWD 4인승 기본</t>
    <phoneticPr fontId="1" type="noConversion"/>
  </si>
  <si>
    <t>CA</t>
    <phoneticPr fontId="1" type="noConversion"/>
  </si>
  <si>
    <t xml:space="preserve"> 개인 및 개인사업자 만 26세 이상~ 만 75세이하  면허증/임시면허증 소지자 / 법인 (만 21세 이상~ 만 75세이하)
(면허발급일 1년 이상 경과자/운전경력증명서 증빙 필수 및 음주취소이력 확인시 진행 및 면책처리 불가)                
11인승 이상 차량 계약자 1종 면허 필수</t>
    <phoneticPr fontId="1" type="noConversion"/>
  </si>
  <si>
    <t>엔터,경비보안,대리운전,택배,운송,건설,여행사,보험대리점,자동차정비,신문및 방송국은 유의업종으로 승용차 및 SUV차량에 한하여 약정 2만키로 이내 심사
(카니발 및 스타리아는 MPV 차종으로 별도 분류 및 유의업종 심사불가)</t>
    <phoneticPr fontId="1" type="noConversion"/>
  </si>
  <si>
    <t>SUV 전차종의 트레일러패키지 옵션 취급 불가 / 역각자 모델 및 생산 90일 초과차량 취급불가</t>
    <phoneticPr fontId="1" type="noConversion"/>
  </si>
  <si>
    <t>3200CC 이하</t>
    <phoneticPr fontId="1" type="noConversion"/>
  </si>
  <si>
    <t>컴퍼스리스</t>
  </si>
  <si>
    <t>현대오토리스장기렌트카</t>
  </si>
  <si>
    <t>토레스_1.5 T7</t>
    <phoneticPr fontId="1" type="noConversion"/>
  </si>
  <si>
    <t>토레스_1.5 T5</t>
    <phoneticPr fontId="1" type="noConversion"/>
  </si>
  <si>
    <t>1.5  T7</t>
    <phoneticPr fontId="1" type="noConversion"/>
  </si>
  <si>
    <t>1.5  T5</t>
    <phoneticPr fontId="1" type="noConversion"/>
  </si>
  <si>
    <t>뉴 G80</t>
    <phoneticPr fontId="1" type="noConversion"/>
  </si>
  <si>
    <t>뉴 G80가솔린 2.5 터보 2WD 스포츠 패키지</t>
  </si>
  <si>
    <t>뉴 G80가솔린 2.5 터보 AWD 기본형</t>
  </si>
  <si>
    <t>뉴 G80가솔린 2.5 터보 AWD 스포츠 패키지</t>
  </si>
  <si>
    <t>뉴 G80가솔린 3.5 터보 2WD 기본형</t>
  </si>
  <si>
    <t>뉴 G80가솔린 3.5 터보 2WD 스포츠 패키지</t>
  </si>
  <si>
    <t>뉴 G80가솔린 3.5 터보 AWD 기본형</t>
  </si>
  <si>
    <t>뉴 G80가솔린 3.5 터보 AWD 스포츠 패키지</t>
  </si>
  <si>
    <t>가솔린 2.5 터보 2WD 스포츠 패키지</t>
  </si>
  <si>
    <t>가솔린 2.5 터보 AWD 스포츠 패키지</t>
  </si>
  <si>
    <t>가솔린 3.5 터보 2WD 스포츠 패키지</t>
  </si>
  <si>
    <t>가솔린 3.5 터보 AWD 스포츠 패키지</t>
  </si>
  <si>
    <t>더 뉴투싼가솔린 1.6 터보 2WD 모던</t>
  </si>
  <si>
    <t>더 뉴투싼가솔린 1.6 터보 2WD 프리미엄</t>
  </si>
  <si>
    <t>더 뉴투싼가솔린 1.6 터보 2WD 인스퍼레이션</t>
  </si>
  <si>
    <t>더 뉴투싼가솔린 1.6 터보 AWD 모던</t>
  </si>
  <si>
    <t>더 뉴투싼가솔린 1.6 터보 AWD 프리미엄</t>
  </si>
  <si>
    <t>더 뉴투싼가솔린 1.6 터보 AWD 인스퍼레이션</t>
  </si>
  <si>
    <t>더 뉴투싼디젤 2.0 2WD 모던</t>
  </si>
  <si>
    <t>더 뉴투싼디젤 2.0 2WD 프리미엄</t>
  </si>
  <si>
    <t>더 뉴투싼디젤 2.0 2WD 인스퍼레이션</t>
  </si>
  <si>
    <t>더 뉴투싼디젤 2.0 AWD 모던</t>
  </si>
  <si>
    <t>더 뉴투싼디젤 2.0 AWD 프리미엄</t>
  </si>
  <si>
    <t>더 뉴투싼디젤 2.0 AWD 인스퍼레이션</t>
  </si>
  <si>
    <t>더 뉴투싼가솔린 1.6 터보 N Line 2WD 프리미엄</t>
  </si>
  <si>
    <t>더 뉴투싼가솔린 1.6 터보 N Line 2WD 인스퍼레이션</t>
  </si>
  <si>
    <t>더 뉴투싼가솔린 1.6 터보 N Line AWD 프리미엄</t>
  </si>
  <si>
    <t>더 뉴투싼가솔린 1.6 터보 N Line AWD 인스퍼레이션</t>
  </si>
  <si>
    <t>더 뉴투싼디젤 2.0 N Line 2WD 프리미엄</t>
  </si>
  <si>
    <t>더 뉴투싼디젤 2.0 N Line 2WD 인스퍼레이션</t>
  </si>
  <si>
    <t>더 뉴투싼디젤 2.0 N Line AWD 프리미엄</t>
  </si>
  <si>
    <t>더 뉴투싼디젤 2.0 N Line AWD 인스퍼레이션</t>
  </si>
  <si>
    <t>더 뉴투싼</t>
  </si>
  <si>
    <t>가솔린 1.6 터보 N Line 2WD 프리미엄</t>
  </si>
  <si>
    <t>가솔린 1.6 터보 N Line 2WD 인스퍼레이션</t>
  </si>
  <si>
    <t>가솔린 1.6 터보 N Line AWD 프리미엄</t>
  </si>
  <si>
    <t>가솔린 1.6 터보 N Line AWD 인스퍼레이션</t>
  </si>
  <si>
    <t>디젤 2.0 N Line 2WD 프리미엄</t>
  </si>
  <si>
    <t>디젤 2.0 N Line 2WD 인스퍼레이션</t>
  </si>
  <si>
    <t>디젤 2.0 N Line AWD 프리미엄</t>
  </si>
  <si>
    <t>디젤 2.0 N Line AWD 인스퍼레이션</t>
  </si>
  <si>
    <t>1.6 터보 하이브리드 2WD 모던</t>
  </si>
  <si>
    <t>1.6 터보 하이브리드 2WD 프리미엄</t>
  </si>
  <si>
    <t>1.6 터보 하이브리드 2WD 인스퍼레이션</t>
  </si>
  <si>
    <t>1.6 터보 하이브리드 AWD 모던</t>
  </si>
  <si>
    <t>1.6 터보 하이브리드 AWD 프리미엄</t>
  </si>
  <si>
    <t>1.6 터보 하이브리드 AWD 인스퍼레이션</t>
  </si>
  <si>
    <t>1.6 터보 하이브리드 2WD N Line 프리미엄</t>
  </si>
  <si>
    <t>1.6 터보 하이브리드 2WD N Line 인스퍼레이션</t>
  </si>
  <si>
    <t>1.6 터보 하이브리드 AWD N Line 프리미엄</t>
  </si>
  <si>
    <t>1.6 터보 하이브리드 AWD N Line 인스퍼레이션</t>
  </si>
  <si>
    <t>J2</t>
  </si>
  <si>
    <t>더뉴 아반떼</t>
  </si>
  <si>
    <t>더뉴 아반떼 N가솔린 2.0 터보 N DCT</t>
  </si>
  <si>
    <t>더뉴 아반떼 하이브리드N Line 인스퍼레이션</t>
  </si>
  <si>
    <t>더뉴 아반떼 하이브리드N Line 모던</t>
  </si>
  <si>
    <t>더뉴 아반떼스마트스트림 가솔린 1.6 N Line 인스퍼레이션</t>
  </si>
  <si>
    <t>더뉴 아반떼스마트스트림 가솔린 1.6 N Line 모던</t>
  </si>
  <si>
    <t>더뉴 아반떼1.6 LPI 일반인용 인스퍼레이션</t>
  </si>
  <si>
    <t>더뉴 아반떼1.6 LPI 일반인용 스마트</t>
  </si>
  <si>
    <t>더뉴 아반떼1.6 LPI 일반인용 모던</t>
  </si>
  <si>
    <t>가솔린 2.0 터보 N DCT</t>
  </si>
  <si>
    <t>N Line 인스퍼레이션</t>
  </si>
  <si>
    <t>N Line 모던</t>
  </si>
  <si>
    <t>스마트스트림 가솔린 1.6 N Line 인스퍼레이션</t>
  </si>
  <si>
    <t>스마트스트림 가솔린 1.6 N Line 모던</t>
  </si>
  <si>
    <t>1.6 LPI 일반인용 인스퍼레이션</t>
  </si>
  <si>
    <t>1.6 LPI 일반인용 스마트</t>
  </si>
  <si>
    <t>1.6 LPI 일반인용 모던</t>
  </si>
  <si>
    <t>기본운전자</t>
    <phoneticPr fontId="1" type="noConversion"/>
  </si>
  <si>
    <t>기본운전자</t>
    <phoneticPr fontId="1" type="noConversion"/>
  </si>
  <si>
    <t>있음</t>
    <phoneticPr fontId="1" type="noConversion"/>
  </si>
  <si>
    <t>없음</t>
    <phoneticPr fontId="1" type="noConversion"/>
  </si>
  <si>
    <t>기본운전자가 있는 경우 기본운전자등록신청서 및 면허증 첨부 必</t>
  </si>
  <si>
    <t>2200CC 이하</t>
    <phoneticPr fontId="1" type="noConversion"/>
  </si>
  <si>
    <t>1.6 가솔린 터보 4WD 노블레스</t>
  </si>
  <si>
    <t>더 뉴투싼 1.6 터보 하이브리드 2WD 모던</t>
  </si>
  <si>
    <t>더 뉴투싼 1.6 터보 하이브리드 2WD 프리미엄</t>
  </si>
  <si>
    <t>더 뉴투싼 1.6 터보 하이브리드 2WD 인스퍼레이션</t>
  </si>
  <si>
    <t>더 뉴투싼 1.6 터보 하이브리드 AWD 모던</t>
  </si>
  <si>
    <t>더 뉴투싼 1.6 터보 하이브리드 AWD 프리미엄</t>
  </si>
  <si>
    <t>더 뉴투싼 1.6 터보 하이브리드 AWD 인스퍼레이션</t>
  </si>
  <si>
    <t>더 뉴투싼 1.6 터보 하이브리드 2WD N Line 프리미엄</t>
  </si>
  <si>
    <t>더 뉴투싼 1.6 터보 하이브리드 2WD N Line 인스퍼레이션</t>
  </si>
  <si>
    <t>더 뉴투싼 1.6 터보 하이브리드 AWD N Line 프리미엄</t>
  </si>
  <si>
    <t>더 뉴투싼 1.6 터보 하이브리드 AWD N Line 인스퍼레이션</t>
  </si>
  <si>
    <t>아이캔오토</t>
    <phoneticPr fontId="1" type="noConversion"/>
  </si>
  <si>
    <t>㈜에이치바이에프</t>
    <phoneticPr fontId="1" type="noConversion"/>
  </si>
  <si>
    <t>예상출고일</t>
    <phoneticPr fontId="1" type="noConversion"/>
  </si>
  <si>
    <t>출고점</t>
    <phoneticPr fontId="1" type="noConversion"/>
  </si>
  <si>
    <t>출고점 및 출고예상일</t>
    <phoneticPr fontId="1" type="noConversion"/>
  </si>
  <si>
    <t>G</t>
    <phoneticPr fontId="1" type="noConversion"/>
  </si>
  <si>
    <t>더 뉴레이_프레스티지</t>
    <phoneticPr fontId="1" type="noConversion"/>
  </si>
  <si>
    <t>더 뉴레이_시그니처</t>
    <phoneticPr fontId="1" type="noConversion"/>
  </si>
  <si>
    <t>더 뉴레이_시그니처 그래비티</t>
    <phoneticPr fontId="1" type="noConversion"/>
  </si>
  <si>
    <t>개월수</t>
    <phoneticPr fontId="1" type="noConversion"/>
  </si>
  <si>
    <t>+3.0%</t>
    <phoneticPr fontId="1" type="noConversion"/>
  </si>
  <si>
    <t>+1.5%</t>
    <phoneticPr fontId="1" type="noConversion"/>
  </si>
  <si>
    <t>-1.5%</t>
    <phoneticPr fontId="1" type="noConversion"/>
  </si>
  <si>
    <t>-3.0%</t>
    <phoneticPr fontId="1" type="noConversion"/>
  </si>
  <si>
    <t>-4.5%</t>
    <phoneticPr fontId="1" type="noConversion"/>
  </si>
  <si>
    <t>-6.0%</t>
    <phoneticPr fontId="1" type="noConversion"/>
  </si>
  <si>
    <t>트렌디</t>
    <phoneticPr fontId="1" type="noConversion"/>
  </si>
  <si>
    <t>프레스티지</t>
    <phoneticPr fontId="1" type="noConversion"/>
  </si>
  <si>
    <t>시그니처</t>
    <phoneticPr fontId="1" type="noConversion"/>
  </si>
  <si>
    <t>시그니처그래비티</t>
    <phoneticPr fontId="1" type="noConversion"/>
  </si>
  <si>
    <t>←개인/개사자선택필수</t>
    <phoneticPr fontId="1" type="noConversion"/>
  </si>
  <si>
    <r>
      <t>옵션(</t>
    </r>
    <r>
      <rPr>
        <b/>
        <sz val="10.5"/>
        <color rgb="FFFF0000"/>
        <rFont val="맑은 고딕"/>
        <family val="3"/>
        <charset val="129"/>
        <scheme val="minor"/>
      </rPr>
      <t xml:space="preserve">TUON/TUIX)포함     </t>
    </r>
    <phoneticPr fontId="1" type="noConversion"/>
  </si>
  <si>
    <t>대리점/지점명</t>
    <phoneticPr fontId="1" type="noConversion"/>
  </si>
  <si>
    <t>더 뉴 셀토스_1.6 가솔린 터보 2WD 시그니처 그래비티</t>
    <phoneticPr fontId="1" type="noConversion"/>
  </si>
  <si>
    <t>더 뉴 셀토스_1.6 가솔린 터보 4WD 시그니처 그래비티</t>
    <phoneticPr fontId="1" type="noConversion"/>
  </si>
  <si>
    <t>더 뉴 셀토스_2.0 가솔린  2WD 시그니처 그래비티</t>
    <phoneticPr fontId="1" type="noConversion"/>
  </si>
  <si>
    <t>더 뉴 셀토스_2.0 가솔린  4WD 시그니처 그래비티</t>
    <phoneticPr fontId="1" type="noConversion"/>
  </si>
  <si>
    <t>대리점/지점 必 미입력시 견적 "Error" 출력 유의!</t>
    <phoneticPr fontId="1" type="noConversion"/>
  </si>
  <si>
    <t>스타리아 하이브리드</t>
  </si>
  <si>
    <t>스타리아 하이브리드</t>
    <phoneticPr fontId="1" type="noConversion"/>
  </si>
  <si>
    <t>1.6 HEV 투어러 11인승 모던</t>
  </si>
  <si>
    <t>1.6 HEV 투어러 9인승 모던</t>
  </si>
  <si>
    <t>1.6 HEV 라운지 9인승 프레스티지</t>
  </si>
  <si>
    <t>1.6 HEV 라운지 9인승 인스퍼레이션</t>
  </si>
  <si>
    <t>1.6 HEV 라운지 7인승 인스퍼레이션</t>
  </si>
  <si>
    <t>스타리아 하이브리드_1.6 HEV 투어러 11인승 모던</t>
  </si>
  <si>
    <t>스타리아 하이브리드_1.6 HEV 투어러 9인승 모던</t>
  </si>
  <si>
    <t>스타리아 하이브리드_1.6 HEV 라운지 9인승 프레스티지</t>
  </si>
  <si>
    <t>스타리아 하이브리드_1.6 HEV 라운지 9인승 인스퍼레이션</t>
  </si>
  <si>
    <t>스타리아 하이브리드_1.6 HEV 라운지 7인승 인스퍼레이션</t>
  </si>
  <si>
    <t>계약번호</t>
    <phoneticPr fontId="1" type="noConversion"/>
  </si>
  <si>
    <t>소속/성명</t>
    <phoneticPr fontId="96" type="noConversion"/>
  </si>
  <si>
    <t>차종</t>
    <phoneticPr fontId="96" type="noConversion"/>
  </si>
  <si>
    <t>옵션</t>
    <phoneticPr fontId="96" type="noConversion"/>
  </si>
  <si>
    <t>색상(외장)</t>
    <phoneticPr fontId="96" type="noConversion"/>
  </si>
  <si>
    <t>색상(내장)</t>
    <phoneticPr fontId="96" type="noConversion"/>
  </si>
  <si>
    <t>발주 양식</t>
    <phoneticPr fontId="1" type="noConversion"/>
  </si>
  <si>
    <t>현대전산</t>
    <phoneticPr fontId="96" type="noConversion"/>
  </si>
  <si>
    <t>출고센터</t>
    <phoneticPr fontId="96" type="noConversion"/>
  </si>
  <si>
    <t>면과세</t>
    <phoneticPr fontId="96" type="noConversion"/>
  </si>
  <si>
    <t>총차량가격</t>
    <phoneticPr fontId="96" type="noConversion"/>
  </si>
  <si>
    <t>면세가격</t>
    <phoneticPr fontId="96" type="noConversion"/>
  </si>
  <si>
    <t>탁송료</t>
    <phoneticPr fontId="96" type="noConversion"/>
  </si>
  <si>
    <t>비고</t>
    <phoneticPr fontId="96" type="noConversion"/>
  </si>
  <si>
    <t>가솔린</t>
    <phoneticPr fontId="1" type="noConversion"/>
  </si>
  <si>
    <t>임특가입불가</t>
    <phoneticPr fontId="1" type="noConversion"/>
  </si>
  <si>
    <t>* 삼성화재는 승합차 임직원특약가입 불가로 에러코드 날림 24.03.06</t>
    <phoneticPr fontId="1" type="noConversion"/>
  </si>
  <si>
    <t>인수자연락처</t>
    <phoneticPr fontId="1" type="noConversion"/>
  </si>
  <si>
    <t>담당에이전트성명</t>
    <phoneticPr fontId="1" type="noConversion"/>
  </si>
  <si>
    <t>담당에이전트전화번호</t>
    <phoneticPr fontId="1" type="noConversion"/>
  </si>
  <si>
    <t>AG이름</t>
    <phoneticPr fontId="1" type="noConversion"/>
  </si>
  <si>
    <t>견적1</t>
  </si>
  <si>
    <t>용품점 탁송 불가 및 탁송지주소 기재 必</t>
    <phoneticPr fontId="1" type="noConversion"/>
  </si>
  <si>
    <t>용품 및 번호지정 특이사항</t>
    <phoneticPr fontId="1" type="noConversion"/>
  </si>
  <si>
    <t>용품 및 번호지정 특이사항</t>
    <phoneticPr fontId="1" type="noConversion"/>
  </si>
  <si>
    <t>현대발주서</t>
    <phoneticPr fontId="1" type="noConversion"/>
  </si>
  <si>
    <t>기아발주서</t>
    <phoneticPr fontId="1" type="noConversion"/>
  </si>
  <si>
    <t>순번</t>
  </si>
  <si>
    <t>상품구분</t>
    <phoneticPr fontId="1" type="noConversion"/>
  </si>
  <si>
    <t>제휴사담당자</t>
    <phoneticPr fontId="84" type="noConversion"/>
  </si>
  <si>
    <t>상세모델/옵션</t>
  </si>
  <si>
    <t>외장색상</t>
  </si>
  <si>
    <t>내장색상</t>
  </si>
  <si>
    <t>총차량가격
(할인전)</t>
    <phoneticPr fontId="1" type="noConversion"/>
  </si>
  <si>
    <t>담당자</t>
  </si>
  <si>
    <t>등록지점</t>
  </si>
  <si>
    <t>렌트</t>
    <phoneticPr fontId="84" type="noConversion"/>
  </si>
  <si>
    <r>
      <t>※ 견적시트정보 그대로 반영</t>
    </r>
    <r>
      <rPr>
        <b/>
        <u/>
        <sz val="16"/>
        <color rgb="FFFF0000"/>
        <rFont val="맑은 고딕"/>
        <family val="3"/>
        <charset val="129"/>
        <scheme val="minor"/>
      </rPr>
      <t xml:space="preserve"> 절대 수정불가 </t>
    </r>
    <r>
      <rPr>
        <b/>
        <sz val="16"/>
        <color rgb="FFFF0000"/>
        <rFont val="맑은 고딕"/>
        <family val="3"/>
        <charset val="129"/>
        <scheme val="minor"/>
      </rPr>
      <t xml:space="preserve">
※ 발주서는 반드시 엑셀파일로 접수 요청 부탁드립니다! (JPEG,PDF등 이미지파일 접수불가)
</t>
    </r>
    <phoneticPr fontId="1" type="noConversion"/>
  </si>
  <si>
    <t>제휴사담당자</t>
    <phoneticPr fontId="1" type="noConversion"/>
  </si>
  <si>
    <t>고객명</t>
    <phoneticPr fontId="84" type="noConversion"/>
  </si>
  <si>
    <t>영업담당자</t>
    <phoneticPr fontId="96" type="noConversion"/>
  </si>
  <si>
    <t>고객명</t>
    <phoneticPr fontId="1" type="noConversion"/>
  </si>
  <si>
    <t>영업담당자</t>
    <phoneticPr fontId="84" type="noConversion"/>
  </si>
  <si>
    <r>
      <t xml:space="preserve">차량번호 기본'허'등록 /하,호,숫자4제외 요청시 용품 및 번호지정 특이사항란에 기재 必 
</t>
    </r>
    <r>
      <rPr>
        <b/>
        <sz val="14"/>
        <color rgb="FFFF0000"/>
        <rFont val="맑은 고딕"/>
        <family val="3"/>
        <charset val="129"/>
        <scheme val="minor"/>
      </rPr>
      <t>(오름내림차순,쉬운번호,깔끔한번호,중복번호,숫자지정 등 주관적이고 모호한 요청 반영불가)</t>
    </r>
    <phoneticPr fontId="1" type="noConversion"/>
  </si>
  <si>
    <t>로지모빌리티㈜</t>
    <phoneticPr fontId="1" type="noConversion"/>
  </si>
  <si>
    <t>VIP</t>
    <phoneticPr fontId="1" type="noConversion"/>
  </si>
  <si>
    <t>로지모빌리티(주)</t>
  </si>
  <si>
    <t>(주)동성오토엠와이 </t>
  </si>
  <si>
    <t>최진명(개인)</t>
  </si>
  <si>
    <t>(주)스타오토플러스 </t>
  </si>
  <si>
    <t>AG코드/영업담당자이름</t>
    <phoneticPr fontId="1" type="noConversion"/>
  </si>
  <si>
    <t>있음</t>
  </si>
  <si>
    <t>트랙스 크로스오버1.2 가솔린 터보 REDLINE</t>
    <phoneticPr fontId="1" type="noConversion"/>
  </si>
  <si>
    <t>신형 G90_가솔린 3.5 터보 일렉트릭 슈퍼차저 BLACK AWD 5인승 기본형</t>
    <phoneticPr fontId="1" type="noConversion"/>
  </si>
  <si>
    <t>신형 G90_가솔린 3.5 터보 일렉트릭 슈퍼차저 BLACK AWD 4인승 기본형</t>
    <phoneticPr fontId="1" type="noConversion"/>
  </si>
  <si>
    <t xml:space="preserve">3.5 터보 일렉트릭 슈퍼차저 BLACK </t>
  </si>
  <si>
    <t xml:space="preserve">3.5 터보 일렉트릭 슈퍼차저 BLACK </t>
    <phoneticPr fontId="1" type="noConversion"/>
  </si>
  <si>
    <t>M</t>
    <phoneticPr fontId="1" type="noConversion"/>
  </si>
  <si>
    <t>㈜카포메이션</t>
    <phoneticPr fontId="1" type="noConversion"/>
  </si>
  <si>
    <t>씨앤에프 주식회사</t>
    <phoneticPr fontId="1" type="noConversion"/>
  </si>
  <si>
    <t>차봇모빌리티 주식회사</t>
    <phoneticPr fontId="1" type="noConversion"/>
  </si>
  <si>
    <t>차량번호판
(안내)</t>
    <phoneticPr fontId="1" type="noConversion"/>
  </si>
  <si>
    <t>아르카나</t>
  </si>
  <si>
    <t>아르카나 하이브리드</t>
  </si>
  <si>
    <t>아르카나 하이브리드1.6 GTe for all E-TECH 디자인 패키지</t>
  </si>
  <si>
    <t>아르카나 하이브리드1.6 GTe for all Iconic</t>
  </si>
  <si>
    <t>아르카나 하이브리드1.6 GTe for all Techno</t>
  </si>
  <si>
    <t>아르카나TCe 260 Iconic</t>
  </si>
  <si>
    <t>아르카나1.6 GTe Iconic</t>
  </si>
  <si>
    <t>아르카나1.6 GTe Techno</t>
  </si>
  <si>
    <t>아르카나1.6 GTe Evolution</t>
  </si>
  <si>
    <t>아르카나</t>
    <phoneticPr fontId="1" type="noConversion"/>
  </si>
  <si>
    <t>뉴 르노 QM62.0 GDe PREMIERE</t>
  </si>
  <si>
    <t>뉴 르노 QM62.0 GDe RE</t>
  </si>
  <si>
    <t>뉴 르노 QM62.0 LPe RE</t>
  </si>
  <si>
    <t>뉴 르노 QM62.0 LPe LE</t>
  </si>
  <si>
    <t>뉴 르노 QM6</t>
  </si>
  <si>
    <t>1.2 가솔린 터보  REDLINE</t>
    <phoneticPr fontId="1" type="noConversion"/>
  </si>
  <si>
    <t>오토클래스</t>
    <phoneticPr fontId="1" type="noConversion"/>
  </si>
  <si>
    <t>울산</t>
    <phoneticPr fontId="1" type="noConversion"/>
  </si>
  <si>
    <t>(주)다이렉트플랜</t>
    <phoneticPr fontId="1" type="noConversion"/>
  </si>
  <si>
    <t>디 올 뉴 코나 하이브리드_모던플러스</t>
    <phoneticPr fontId="1" type="noConversion"/>
  </si>
  <si>
    <t>모던플러스</t>
    <phoneticPr fontId="1" type="noConversion"/>
  </si>
  <si>
    <t>디 올 뉴 코나_1.6 가솔린 2WD 모던플러스</t>
    <phoneticPr fontId="1" type="noConversion"/>
  </si>
  <si>
    <t>뉴 G80가솔린 2.5 터보 2WD 기본형</t>
    <phoneticPr fontId="1" type="noConversion"/>
  </si>
  <si>
    <t>디 올 뉴 코나_2.0 가솔린 2WD 모던플러스</t>
    <phoneticPr fontId="1" type="noConversion"/>
  </si>
  <si>
    <t>_2.0 가솔린 2WD 모던플러스</t>
    <phoneticPr fontId="1" type="noConversion"/>
  </si>
  <si>
    <t>조중현</t>
    <phoneticPr fontId="1" type="noConversion"/>
  </si>
  <si>
    <t>겟차</t>
    <phoneticPr fontId="1" type="noConversion"/>
  </si>
  <si>
    <t>7A</t>
  </si>
  <si>
    <t>M</t>
    <phoneticPr fontId="1" type="noConversion"/>
  </si>
  <si>
    <t>미운영</t>
    <phoneticPr fontId="1" type="noConversion"/>
  </si>
  <si>
    <t>LPG</t>
    <phoneticPr fontId="1" type="noConversion"/>
  </si>
  <si>
    <t>잔가율</t>
    <phoneticPr fontId="1" type="noConversion"/>
  </si>
  <si>
    <t>잔존가치</t>
    <phoneticPr fontId="1" type="noConversion"/>
  </si>
  <si>
    <t>만기시처리</t>
    <phoneticPr fontId="1" type="noConversion"/>
  </si>
  <si>
    <t>만기시처리</t>
    <phoneticPr fontId="1" type="noConversion"/>
  </si>
  <si>
    <t>반납형</t>
  </si>
  <si>
    <t>반납형</t>
    <phoneticPr fontId="1" type="noConversion"/>
  </si>
  <si>
    <t>최종기본대여료</t>
    <phoneticPr fontId="1" type="noConversion"/>
  </si>
  <si>
    <t>대여료(기본/최종월대여료)</t>
    <phoneticPr fontId="1" type="noConversion"/>
  </si>
  <si>
    <t>렌트료 차이</t>
    <phoneticPr fontId="1" type="noConversion"/>
  </si>
  <si>
    <t>선택형</t>
    <phoneticPr fontId="1" type="noConversion"/>
  </si>
  <si>
    <t>반납형</t>
    <phoneticPr fontId="1" type="noConversion"/>
  </si>
  <si>
    <t>견적1잔가보장수수료</t>
  </si>
  <si>
    <t>견적2잔가보장수수료</t>
    <phoneticPr fontId="1" type="noConversion"/>
  </si>
  <si>
    <t>견적3잔가보장수수료</t>
    <phoneticPr fontId="1" type="noConversion"/>
  </si>
  <si>
    <t>역삼</t>
    <phoneticPr fontId="1" type="noConversion"/>
  </si>
  <si>
    <t>(반납형)선택시
렌탈료 비교</t>
    <phoneticPr fontId="1" type="noConversion"/>
  </si>
  <si>
    <t>신형 GV70가솔린 2.5 터보 2WD 기본형</t>
  </si>
  <si>
    <t>신형 GV70가솔린 2.5 터보 2WD 스포츠</t>
  </si>
  <si>
    <t>신형 GV70가솔린 2.5 터보 AWD 기본형</t>
  </si>
  <si>
    <t>신형 GV70가솔린 2.5 터보 AWD 스포츠</t>
  </si>
  <si>
    <t>신형 GV70가솔린 3.5 터보 2WD 기본형</t>
  </si>
  <si>
    <t>신형 GV70가솔린 3.5 터보 2WD 스포츠</t>
  </si>
  <si>
    <t>가솔린 3.5 터보 2WD 스포츠</t>
  </si>
  <si>
    <t>신형 GV70가솔린 3.5 터보 AWD 기본형</t>
  </si>
  <si>
    <t>신형 GV70가솔린 3.5 터보 AWD 스포츠</t>
  </si>
  <si>
    <t>K1</t>
  </si>
  <si>
    <t>임직원특약</t>
    <phoneticPr fontId="1" type="noConversion"/>
  </si>
  <si>
    <t>N</t>
    <phoneticPr fontId="1" type="noConversion"/>
  </si>
  <si>
    <t>Y</t>
    <phoneticPr fontId="1" type="noConversion"/>
  </si>
  <si>
    <t>법인사업자</t>
    <phoneticPr fontId="1" type="noConversion"/>
  </si>
  <si>
    <t>전국렌터카공제조합</t>
  </si>
  <si>
    <t>일반형</t>
    <phoneticPr fontId="1" type="noConversion"/>
  </si>
  <si>
    <t>IRR</t>
    <phoneticPr fontId="1" type="noConversion"/>
  </si>
  <si>
    <t>차종</t>
    <phoneticPr fontId="1" type="noConversion"/>
  </si>
  <si>
    <t>국산</t>
    <phoneticPr fontId="1" type="noConversion"/>
  </si>
  <si>
    <t>PM</t>
  </si>
  <si>
    <t>PL</t>
    <phoneticPr fontId="1" type="noConversion"/>
  </si>
  <si>
    <t>PK</t>
    <phoneticPr fontId="1" type="noConversion"/>
  </si>
  <si>
    <t>PB</t>
    <phoneticPr fontId="1" type="noConversion"/>
  </si>
  <si>
    <t>PA1</t>
    <phoneticPr fontId="1" type="noConversion"/>
  </si>
  <si>
    <t>1.6 캘리그래피 블랙 익스테리어</t>
    <phoneticPr fontId="1" type="noConversion"/>
  </si>
  <si>
    <t>1.6 캘리그래피 블랙 잉크</t>
    <phoneticPr fontId="1" type="noConversion"/>
  </si>
  <si>
    <t>승용</t>
    <phoneticPr fontId="1" type="noConversion"/>
  </si>
  <si>
    <t>I2</t>
  </si>
  <si>
    <t>스마트스트림 가솔린 3.5 2WD 캘리그래피 블랙 익스테리어</t>
  </si>
  <si>
    <t>스마트스트림 가솔린 3.5 2WD 캘리그래피 블랙 잉크</t>
  </si>
  <si>
    <t>스마트스트림 가솔린 3.5 AWD 캘리그래피 블랙 익스테리어</t>
  </si>
  <si>
    <t>스마트스트림 가솔린 3.5 AWD 캘리그래피 블랙 잉크</t>
  </si>
  <si>
    <t>디 올뉴 그랜저스마트스트림 가솔린 3.5 2WD 캘리그래피 블랙 익스테리어</t>
  </si>
  <si>
    <t>디 올뉴 그랜저스마트스트림 가솔린 3.5 2WD 캘리그래피 블랙 잉크</t>
  </si>
  <si>
    <t>디 올뉴 그랜저스마트스트림 가솔린 3.5 AWD 캘리그래피 블랙 익스테리어</t>
  </si>
  <si>
    <t>디 올뉴 그랜저스마트스트림 가솔린 3.5 AWD 캘리그래피 블랙 잉크</t>
  </si>
  <si>
    <t>스마트스트림 가솔린 2.5 캘리그래피 블랙 익스테리어</t>
  </si>
  <si>
    <t>스마트스트림 가솔린 2.5 캘리그래피 블랙 잉크</t>
  </si>
  <si>
    <t>디 올뉴 그랜저스마트스트림 가솔린 2.5 캘리그래피 블랙 익스테리어</t>
  </si>
  <si>
    <t>디 올뉴 그랜저스마트스트림 가솔린 2.5 캘리그래피 블랙 잉크</t>
  </si>
  <si>
    <t>M3</t>
  </si>
  <si>
    <t>M4</t>
  </si>
  <si>
    <t>M5</t>
  </si>
  <si>
    <t>GT-line</t>
  </si>
  <si>
    <t>더 뉴모닝 GT-line</t>
    <phoneticPr fontId="1" type="noConversion"/>
  </si>
  <si>
    <t>더 뉴SM6_2.0 LPe 일반인 필</t>
    <phoneticPr fontId="1" type="noConversion"/>
  </si>
  <si>
    <t>2.0 LPe 일반인 필</t>
    <phoneticPr fontId="1" type="noConversion"/>
  </si>
  <si>
    <t>디 올뉴 그랜저_HEV1.6 캘리그래피 블랙 익스테리어</t>
    <phoneticPr fontId="1" type="noConversion"/>
  </si>
  <si>
    <t>디 올뉴 그랜저_HEV1.6 캘리그래피 블랙 잉크</t>
    <phoneticPr fontId="1" type="noConversion"/>
  </si>
  <si>
    <t>S2</t>
  </si>
  <si>
    <t>S1</t>
  </si>
  <si>
    <t>S1</t>
    <phoneticPr fontId="1" type="noConversion"/>
  </si>
  <si>
    <t>S2</t>
    <phoneticPr fontId="1" type="noConversion"/>
  </si>
  <si>
    <r>
      <rPr>
        <b/>
        <sz val="14"/>
        <color theme="0"/>
        <rFont val="맑은 고딕"/>
        <family val="3"/>
        <charset val="129"/>
        <scheme val="minor"/>
      </rPr>
      <t xml:space="preserve">[중요] 반납형 상품  </t>
    </r>
    <r>
      <rPr>
        <b/>
        <sz val="11"/>
        <color theme="0"/>
        <rFont val="맑은 고딕"/>
        <family val="3"/>
        <charset val="129"/>
        <scheme val="minor"/>
      </rPr>
      <t xml:space="preserve">
만기 인수시 최초차량가격의  2%의
 추가패널티 발생됨                              </t>
    </r>
    <phoneticPr fontId="1" type="noConversion"/>
  </si>
  <si>
    <t>※ 만기처리 [반납형] 상품은 만기 인수시 최초 차량가격 2% 추가 패널티 발생됩니다</t>
    <phoneticPr fontId="1" type="noConversion"/>
  </si>
  <si>
    <t>에스지오토렌탈</t>
    <phoneticPr fontId="1" type="noConversion"/>
  </si>
  <si>
    <t>한송에스에스</t>
    <phoneticPr fontId="1" type="noConversion"/>
  </si>
  <si>
    <t>그랑 콜레오스 하이브리드1.5 HEV 테크노</t>
  </si>
  <si>
    <t>그랑 콜레오스 하이브리드1.5 HEV 에스피리 알핀</t>
  </si>
  <si>
    <t>그랑 콜레오스 하이브리드1.5 HEV 아이코닉</t>
  </si>
  <si>
    <t>그랑 콜레오스가솔린 2.0 터보 4WD 에스프리 알핀</t>
  </si>
  <si>
    <t>그랑 콜레오스가솔린 2.0 터보 2WD 테크노</t>
  </si>
  <si>
    <t>그랑 콜레오스가솔린 2.0 터보 2WD 에스프리 알핀</t>
  </si>
  <si>
    <t>그랑 콜레오스가솔린 2.0 터보 2WD 아이코닉</t>
  </si>
  <si>
    <t>그랑 콜레오스</t>
  </si>
  <si>
    <t>그랑 콜레오스 하이브리드</t>
  </si>
  <si>
    <t>1.5 HEV 테크노</t>
  </si>
  <si>
    <t>1.5 HEV 에스피리 알핀</t>
  </si>
  <si>
    <t>1.5 HEV 아이코닉</t>
  </si>
  <si>
    <t>가솔린 2.0 터보 4WD 에스프리 알핀</t>
  </si>
  <si>
    <t>가솔린 2.0 터보 2WD 테크노</t>
  </si>
  <si>
    <t>가솔린 2.0 터보 2WD 에스프리 알핀</t>
  </si>
  <si>
    <t>가솔린 2.0 터보 2WD 아이코닉</t>
  </si>
  <si>
    <t>그랑_콜레오스</t>
    <phoneticPr fontId="1" type="noConversion"/>
  </si>
  <si>
    <t>U</t>
    <phoneticPr fontId="1" type="noConversion"/>
  </si>
  <si>
    <t>버텍스300</t>
    <phoneticPr fontId="1" type="noConversion"/>
  </si>
  <si>
    <t>버텍스500</t>
    <phoneticPr fontId="1" type="noConversion"/>
  </si>
  <si>
    <t>버텍스900</t>
    <phoneticPr fontId="1" type="noConversion"/>
  </si>
  <si>
    <t>용인루마-GG</t>
  </si>
  <si>
    <t>용인없음</t>
  </si>
  <si>
    <t>탁송료(8.27인상)</t>
    <phoneticPr fontId="1" type="noConversion"/>
  </si>
  <si>
    <t>울산</t>
  </si>
  <si>
    <t>제주도</t>
  </si>
  <si>
    <t>덕평</t>
  </si>
  <si>
    <t>제주도</t>
    <phoneticPr fontId="1" type="noConversion"/>
  </si>
  <si>
    <t>디 올뉴싼타페가솔린 2.5 터보 2WD 5인승 프레스티지 플러스</t>
  </si>
  <si>
    <t>디 올뉴싼타페가솔린 2.5 터보 2WD 6인승 프레스티지 플러스</t>
  </si>
  <si>
    <t>디 올뉴싼타페가솔린 2.5 터보 2WD 7인승 프레스티지 플러스</t>
  </si>
  <si>
    <t>디 올뉴싼타페가솔린 2.5 터보 AWD 5인승 프레스티지 플러스</t>
  </si>
  <si>
    <t>디 올뉴싼타페가솔린 2.5 터보 AWD 6인승 프레스티지 플러스</t>
  </si>
  <si>
    <t>디 올뉴싼타페가솔린 2.5 터보 AWD 7인승 프레스티지 플러스</t>
  </si>
  <si>
    <t>가솔린 2.5 터보 2WD 5인승 프레스티지 플러스</t>
  </si>
  <si>
    <t>가솔린 2.5 터보 2WD 6인승 프레스티지 플러스</t>
  </si>
  <si>
    <t>가솔린 2.5 터보 2WD 7인승 프레스티지 플러스</t>
  </si>
  <si>
    <t>가솔린 2.5 터보 AWD 5인승 프레스티지 플러스</t>
  </si>
  <si>
    <t>가솔린 2.5 터보 AWD 6인승 프레스티지 플러스</t>
  </si>
  <si>
    <t>가솔린 2.5 터보 AWD 7인승 프레스티지 플러스</t>
  </si>
  <si>
    <t>디 올뉴싼타페 하이브리드1.6 터보 HEV AWD 5인승 프레스티지 플러스</t>
  </si>
  <si>
    <t>디 올뉴싼타페 하이브리드1.6 터보 HEV AWD 6인승 프레스티지 플러스</t>
  </si>
  <si>
    <t>디 올뉴싼타페 하이브리드1.6 터보 HEV AWD 7인승 프레스티지 플러스</t>
  </si>
  <si>
    <t>1.6 터보 HEV AWD 5인승 프레스티지 플러스</t>
  </si>
  <si>
    <t>1.6 터보 HEV AWD 6인승 프레스티지 플러스</t>
  </si>
  <si>
    <t>1.6 터보 HEV AWD 7인승 프레스티지 플러스</t>
  </si>
  <si>
    <t>디 올뉴싼타페 하이브리드1.6 터보 HEV 2WD 5인승 프레스티지 플러스</t>
  </si>
  <si>
    <t>디 올뉴싼타페 하이브리드1.6 터보 HEV 2WD 6인승 프레스티지 플러스</t>
  </si>
  <si>
    <t>디 올뉴싼타페 하이브리드1.6 터보 HEV 2WD 7인승 프레스티지 플러스</t>
  </si>
  <si>
    <t>1.6 터보 HEV 2WD 5인승 프레스티지 플러스</t>
  </si>
  <si>
    <t>1.6 터보 HEV 2WD 6인승 프레스티지 플러스</t>
  </si>
  <si>
    <t>1.6 터보 HEV 2WD 7인승 프레스티지 플러스</t>
  </si>
  <si>
    <t>뷰게라808 POP(32G)</t>
    <phoneticPr fontId="52" type="noConversion"/>
  </si>
  <si>
    <t>파인뷰SF3000(32G)</t>
    <phoneticPr fontId="52" type="noConversion"/>
  </si>
  <si>
    <t>아이나비QXD8000(32G)</t>
    <phoneticPr fontId="52" type="noConversion"/>
  </si>
  <si>
    <t>뷰게라8500 3CH(32G)</t>
    <phoneticPr fontId="52" type="noConversion"/>
  </si>
  <si>
    <t>액티언1.5 가솔린 터보 4WD S9</t>
  </si>
  <si>
    <t>액티언1.5 가솔린 터보 4WD S7</t>
  </si>
  <si>
    <t>액티언1.5 가솔린 터보 2WD S9</t>
  </si>
  <si>
    <t>액티언1.5 가솔린 터보 2WD S7</t>
  </si>
  <si>
    <t>액티언</t>
  </si>
  <si>
    <t>액티언</t>
    <phoneticPr fontId="1" type="noConversion"/>
  </si>
  <si>
    <t>1.5 가솔린 터보 4WD S9</t>
  </si>
  <si>
    <t>1.5 가솔린 터보 4WD S7</t>
  </si>
  <si>
    <t>1.5 가솔린 터보 2WD S9</t>
  </si>
  <si>
    <t>1.5 가솔린 터보 2WD S7</t>
  </si>
  <si>
    <t>P</t>
    <phoneticPr fontId="1" type="noConversion"/>
  </si>
  <si>
    <t>IRR상향차종</t>
  </si>
  <si>
    <t>최종IRR</t>
  </si>
  <si>
    <t>최종IRR</t>
    <phoneticPr fontId="1" type="noConversion"/>
  </si>
  <si>
    <t>IRR상향차종</t>
    <phoneticPr fontId="1" type="noConversion"/>
  </si>
  <si>
    <t>경차</t>
    <phoneticPr fontId="1" type="noConversion"/>
  </si>
  <si>
    <t>Y</t>
    <phoneticPr fontId="1" type="noConversion"/>
  </si>
  <si>
    <t>경차여부</t>
    <phoneticPr fontId="1" type="noConversion"/>
  </si>
  <si>
    <t>M3</t>
    <phoneticPr fontId="1" type="noConversion"/>
  </si>
  <si>
    <t>M           (선택형/반납형동일)</t>
    <phoneticPr fontId="1" type="noConversion"/>
  </si>
  <si>
    <t>S1</t>
    <phoneticPr fontId="1" type="noConversion"/>
  </si>
  <si>
    <t xml:space="preserve">   동률잔가         무카포함 여부</t>
    <phoneticPr fontId="1" type="noConversion"/>
  </si>
  <si>
    <t xml:space="preserve">   동률잔가         무카포함 여부</t>
  </si>
  <si>
    <t>보장사명</t>
    <phoneticPr fontId="1" type="noConversion"/>
  </si>
  <si>
    <t>잔가군</t>
    <phoneticPr fontId="1" type="noConversion"/>
  </si>
  <si>
    <t>미가입</t>
  </si>
  <si>
    <t>최종잔가보장사</t>
    <phoneticPr fontId="1" type="noConversion"/>
  </si>
  <si>
    <t>대전시</t>
    <phoneticPr fontId="1" type="noConversion"/>
  </si>
  <si>
    <t>대구시</t>
    <phoneticPr fontId="1" type="noConversion"/>
  </si>
  <si>
    <t>제주도</t>
    <phoneticPr fontId="1" type="noConversion"/>
  </si>
  <si>
    <t>대전시</t>
    <phoneticPr fontId="1" type="noConversion"/>
  </si>
  <si>
    <t>대전시</t>
  </si>
  <si>
    <t>B</t>
    <phoneticPr fontId="1" type="noConversion"/>
  </si>
  <si>
    <t>A</t>
    <phoneticPr fontId="1" type="noConversion"/>
  </si>
  <si>
    <t>G</t>
    <phoneticPr fontId="1" type="noConversion"/>
  </si>
  <si>
    <t>L</t>
    <phoneticPr fontId="1" type="noConversion"/>
  </si>
  <si>
    <t>J</t>
    <phoneticPr fontId="1" type="noConversion"/>
  </si>
  <si>
    <t>H</t>
    <phoneticPr fontId="1" type="noConversion"/>
  </si>
  <si>
    <t>P</t>
    <phoneticPr fontId="1" type="noConversion"/>
  </si>
  <si>
    <t>GV80 쿠페 가솔린 3.5 터보 BLACK AWD 기본형</t>
  </si>
  <si>
    <t>GV80 쿠페 가솔린 3.5 터보 일렉트릭 슈퍼차저 BLACK AWD 기본형</t>
  </si>
  <si>
    <t>뉴 GV80 가솔린 3.5 터보 BLACK AWD 5인승 기본형</t>
  </si>
  <si>
    <t>뉴 GV80 가솔린 3.5 터보 BLACK AWD 6인승 기본형</t>
  </si>
  <si>
    <t>뉴 GV80 가솔린 3.5 터보 BLACK AWD 7인승 기본형</t>
  </si>
  <si>
    <t>가솔린 3.5 터보 BLACK AWD 5인승 기본형</t>
  </si>
  <si>
    <t>가솔린 3.5 터보 BLACK AWD 6인승 기본형</t>
  </si>
  <si>
    <t>가솔린 3.5 터보 BLACK AWD 7인승 기본형</t>
  </si>
  <si>
    <t>가솔린 3.5 터보 BLACK AWD 기본형</t>
  </si>
  <si>
    <t>가솔린 3.5 터보 일렉트릭 슈퍼차저 BLACK AWD 기본형</t>
  </si>
  <si>
    <t>보증금+선납금+잔가의 합이 100%이상으로 진행 불가합니다. (선수율 하향 필요)</t>
    <phoneticPr fontId="1" type="noConversion"/>
  </si>
  <si>
    <t>차즘</t>
    <phoneticPr fontId="1" type="noConversion"/>
  </si>
  <si>
    <t>용인</t>
    <phoneticPr fontId="1" type="noConversion"/>
  </si>
  <si>
    <t>퓨즈및젠더</t>
    <phoneticPr fontId="1" type="noConversion"/>
  </si>
  <si>
    <t>그랑_콜레오스</t>
    <phoneticPr fontId="1" type="noConversion"/>
  </si>
  <si>
    <t>그랑콜레오스여부</t>
    <phoneticPr fontId="1" type="noConversion"/>
  </si>
  <si>
    <t>그랑콜레오스 퓨즈&amp;젠더</t>
    <phoneticPr fontId="1" type="noConversion"/>
  </si>
  <si>
    <t>퓨즈&amp;젠더</t>
    <phoneticPr fontId="1" type="noConversion"/>
  </si>
  <si>
    <t>Y</t>
    <phoneticPr fontId="1" type="noConversion"/>
  </si>
  <si>
    <t>N</t>
    <phoneticPr fontId="1" type="noConversion"/>
  </si>
  <si>
    <t>A1</t>
  </si>
  <si>
    <t>A2</t>
  </si>
  <si>
    <t>A3</t>
  </si>
  <si>
    <t>24.11 신규잔가군</t>
    <phoneticPr fontId="1" type="noConversion"/>
  </si>
  <si>
    <t>A3</t>
    <phoneticPr fontId="1" type="noConversion"/>
  </si>
  <si>
    <t>차명상세(잔가매칭)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</si>
  <si>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</si>
  <si>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</si>
  <si>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</si>
  <si>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더 뉴K5 1.6 가솔린 터보 시그니처</t>
  </si>
  <si>
    <t>더 뉴캐스퍼 가솔린 1.0 터보 인스퍼레이션</t>
  </si>
  <si>
    <t>더 뉴캐스퍼 가솔린 1.0 터보 디 에센셜</t>
  </si>
  <si>
    <t>더 뉴캐스퍼 가솔린 1.0 터보 스마트</t>
  </si>
  <si>
    <t>더 뉴캐스퍼 가솔린 1.0 인스퍼레이션</t>
  </si>
  <si>
    <t>더 뉴캐스퍼 가솔린 1.0 디 에센셜</t>
  </si>
  <si>
    <t>더 뉴캐스퍼 가솔린 1.0 스마트</t>
  </si>
  <si>
    <t>가솔린 1.0 터보 디 에센셜</t>
  </si>
  <si>
    <t>더 뉴K5 2.0 가솔린 스마트 셀렉션</t>
  </si>
  <si>
    <t>2.0 가솔린 스마트 셀렉션</t>
  </si>
  <si>
    <t>GV80 쿠페 가솔린 2.5 터보 BLACK AWD 기본형</t>
  </si>
  <si>
    <t>뉴 GV80 가솔린 2.5 터보 BLACK AWD 5인승 기본형</t>
  </si>
  <si>
    <t>뉴 GV80 가솔린 2.5 터보 BLACK AWD 6인승 기본형</t>
  </si>
  <si>
    <t>뉴 GV80 가솔린 2.5 터보 BLACK AWD 7인승 기본형</t>
  </si>
  <si>
    <t>가솔린 2.5 터보 BLACK AWD 5인승 기본형</t>
  </si>
  <si>
    <t>가솔린 2.5 터보 BLACK AWD 6인승 기본형</t>
  </si>
  <si>
    <t>가솔린 2.5 터보 BLACK AWD 7인승 기본형</t>
  </si>
  <si>
    <t>가솔린 2.5 터보 BLACK AWD 기본형</t>
  </si>
  <si>
    <t>더 뉴스포티지 1.6 가솔린 터보 2WD 프레스티지</t>
  </si>
  <si>
    <t>더 뉴스포티지 1.6 가솔린 터보 2WD 노블레스</t>
  </si>
  <si>
    <t>더 뉴스포티지 1.6 가솔린 터보 2WD 시그니처</t>
  </si>
  <si>
    <t>더 뉴스포티지 1.6 가솔린 터보 2WD 시그니처 X-Line</t>
  </si>
  <si>
    <t>더 뉴스포티지 1.6 가솔린 터보 4WD 프레스티지</t>
  </si>
  <si>
    <t>더 뉴스포티지 1.6 가솔린 터보 4WD 노블레스</t>
  </si>
  <si>
    <t>더 뉴스포티지 1.6 가솔린 터보 4WD 시그니처</t>
  </si>
  <si>
    <t>더 뉴스포티지 1.6 가솔린 터보 4WD 시그니처 X-Line</t>
  </si>
  <si>
    <t>1.6 가솔린 터보 2WD 시그니처 X-Line</t>
  </si>
  <si>
    <t>1.6 가솔린 터보 4WD 시그니처 X-Line</t>
  </si>
  <si>
    <t>더 뉴스포티지 하이브리드 2WD 프레스티지</t>
  </si>
  <si>
    <t>더 뉴스포티지 하이브리드 2WD 노블레스</t>
  </si>
  <si>
    <t>더 뉴스포티지 하이브리드 2WD 시그니처</t>
  </si>
  <si>
    <t>더 뉴스포티지 하이브리드 2WD 시그니처 X-Line</t>
  </si>
  <si>
    <t>더 뉴스포티지 하이브리드 4WD 프레스티지</t>
  </si>
  <si>
    <t>더 뉴스포티지 하이브리드 4WD 노블레스</t>
  </si>
  <si>
    <t>더 뉴스포티지 하이브리드 4WD 시그니처</t>
  </si>
  <si>
    <t>더 뉴스포티지 하이브리드 4WD 시그니처 X-Line</t>
  </si>
  <si>
    <t>2WD 프레스티지</t>
  </si>
  <si>
    <t>2WD 노블레스</t>
  </si>
  <si>
    <t>2WD 시그니처</t>
  </si>
  <si>
    <t>2WD 시그니처 X-Line</t>
  </si>
  <si>
    <t>4WD 프레스티지</t>
  </si>
  <si>
    <t>4WD 노블레스</t>
  </si>
  <si>
    <t>4WD 시그니처</t>
  </si>
  <si>
    <t>4WD 시그니처 X-Line</t>
  </si>
  <si>
    <t>K8 하이브리드_노블레스</t>
    <phoneticPr fontId="1" type="noConversion"/>
  </si>
  <si>
    <t>[중요] 선출고(K8 하이브리드_노블레스) 차종 선택 및 용품지원은 당사 재고리스트 차량만 가능합니다 선출고차량시트 참고                               (대리점,일반발주 선택 불가/용품지원불가)</t>
    <phoneticPr fontId="1" type="noConversion"/>
  </si>
  <si>
    <t>루마-GG(선출고K8전용)</t>
    <phoneticPr fontId="1" type="noConversion"/>
  </si>
  <si>
    <t>뷰게라808 POP(32G)(선출고K8전용)</t>
    <phoneticPr fontId="1" type="noConversion"/>
  </si>
  <si>
    <t>선출고(K8)전용 선팅&amp;블박은 일반 차종엔 선택불가(선출고_K8만 가능)</t>
    <phoneticPr fontId="1" type="noConversion"/>
  </si>
  <si>
    <t>차종</t>
    <phoneticPr fontId="1" type="noConversion"/>
  </si>
  <si>
    <t>프로모션</t>
  </si>
  <si>
    <t>프로모션</t>
    <phoneticPr fontId="1" type="noConversion"/>
  </si>
  <si>
    <t>선팅없음</t>
    <phoneticPr fontId="1" type="noConversion"/>
  </si>
  <si>
    <t>블랙박스없음</t>
    <phoneticPr fontId="52" type="noConversion"/>
  </si>
  <si>
    <t>④최종기본대여료</t>
  </si>
  <si>
    <t>용인</t>
    <phoneticPr fontId="1" type="noConversion"/>
  </si>
  <si>
    <t>[선출고K8전용 으로 기재된 용품은 선출고 K8차량에만 적용가능합니다. DA208 입력시에는 미포함으로 입력후 GA047에 별도기재바랍니다.]</t>
    <phoneticPr fontId="1" type="noConversion"/>
  </si>
  <si>
    <t>1A</t>
  </si>
  <si>
    <t>9A</t>
  </si>
  <si>
    <t>9A</t>
    <phoneticPr fontId="1" type="noConversion"/>
  </si>
  <si>
    <t>1A</t>
    <phoneticPr fontId="1" type="noConversion"/>
  </si>
  <si>
    <t>선발주_투싼</t>
    <phoneticPr fontId="1" type="noConversion"/>
  </si>
  <si>
    <t>더 뉴투싼 하이브리드 인스퍼레이션 2WD_빌트인캠2&amp;증강내비_파킹어시스트Ⅳ_크리미 화이트 펄_블랙원톤</t>
  </si>
  <si>
    <t>더 뉴투싼 하이브리드 인스퍼레이션 2WD_빌트인캠2&amp;증강내비_파킹어시스트Ⅳ_아마존 그레이 메탈릭_블랙원톤</t>
  </si>
  <si>
    <t>더 뉴투싼 하이브리드 인스퍼레이션 2WD_빌트인캠2&amp;증강내비_파킹어시스트Ⅳ_크리미 화이트 펄_브라운</t>
    <phoneticPr fontId="1" type="noConversion"/>
  </si>
  <si>
    <t>세제혜택</t>
    <phoneticPr fontId="1" type="noConversion"/>
  </si>
  <si>
    <t>할인전 차량가/1.0533</t>
    <phoneticPr fontId="1" type="noConversion"/>
  </si>
  <si>
    <t>출고년도</t>
    <phoneticPr fontId="1" type="noConversion"/>
  </si>
  <si>
    <t xml:space="preserve">출고년도: 제작증 양도일 기준으로 선택
2024로 산출 후, 25년 등록 혹은 출고로 확인되는 경우 재펀딩 必 </t>
    <phoneticPr fontId="1" type="noConversion"/>
  </si>
  <si>
    <t>25년 개별소비세금액</t>
    <phoneticPr fontId="1" type="noConversion"/>
  </si>
  <si>
    <t>24년 개별소비세금액</t>
    <phoneticPr fontId="1" type="noConversion"/>
  </si>
  <si>
    <t>친환경코드</t>
    <phoneticPr fontId="1" type="noConversion"/>
  </si>
  <si>
    <t>출고년도 2024는 롯데캐피탈 재고리스트 24년 선출고 차량 혹은 제작증상 양도일 24년인 경우에만 가능합니다</t>
    <phoneticPr fontId="1" type="noConversion"/>
  </si>
  <si>
    <t>F2</t>
  </si>
  <si>
    <t>I1</t>
  </si>
  <si>
    <t>I3</t>
  </si>
  <si>
    <t>M1</t>
  </si>
  <si>
    <t>N1</t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</si>
  <si>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</si>
  <si>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</si>
  <si>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</si>
  <si>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</si>
  <si>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D</t>
    <phoneticPr fontId="1" type="noConversion"/>
  </si>
  <si>
    <t>F1</t>
    <phoneticPr fontId="1" type="noConversion"/>
  </si>
  <si>
    <t>F2</t>
    <phoneticPr fontId="1" type="noConversion"/>
  </si>
  <si>
    <t>디 올뉴팰리세이드 2.5 터보 HEV AWD 7인승 캘리그래피</t>
  </si>
  <si>
    <t>디 올뉴팰리세이드 2.5 터보 HEV AWD 7인승 프레스티지</t>
  </si>
  <si>
    <t>디 올뉴팰리세이드 2.5 터보 HEV AWD 7인승 익스클루시브</t>
  </si>
  <si>
    <t>디 올뉴팰리세이드 2.5 터보 HEV AWD 9인승 캘리그래피</t>
  </si>
  <si>
    <t>디 올뉴팰리세이드 2.5 터보 HEV AWD 9인승 프레스티지</t>
  </si>
  <si>
    <t>디 올뉴팰리세이드 2.5 터보 HEV AWD 9인승 익스클루시브</t>
  </si>
  <si>
    <t>디 올뉴팰리세이드 2.5 터보 HEV 2WD 7인승 캘리그래피</t>
  </si>
  <si>
    <t>디 올뉴팰리세이드 2.5 터보 HEV 2WD 7인승 프레스티지</t>
  </si>
  <si>
    <t>디 올뉴팰리세이드 2.5 터보 HEV 2WD 7인승 익스클루시브</t>
  </si>
  <si>
    <t>디 올뉴팰리세이드 2.5 터보 HEV 2WD 9인승 캘리그래피</t>
  </si>
  <si>
    <t>디 올뉴팰리세이드 2.5 터보 HEV 2WD 9인승 프레스티지</t>
  </si>
  <si>
    <t>디 올뉴팰리세이드 2.5 터보 HEV 2WD 9인승 익스클루시브</t>
  </si>
  <si>
    <t>디 올뉴팰리세이드 가솔린 2.5 터보 AWD 7인승 캘리그래피</t>
  </si>
  <si>
    <t>디 올뉴팰리세이드 가솔린 2.5 터보 AWD 7인승 프레스티지</t>
  </si>
  <si>
    <t>디 올뉴팰리세이드 가솔린 2.5 터보 AWD 7인승 익스클루시브</t>
  </si>
  <si>
    <t>디 올뉴팰리세이드 가솔린 2.5 터보 AWD 9인승 캘리그래피</t>
  </si>
  <si>
    <t>디 올뉴팰리세이드 가솔린 2.5 터보 AWD 9인승 프레스티지</t>
  </si>
  <si>
    <t>디 올뉴팰리세이드 가솔린 2.5 터보 AWD 9인승 익스클루시브</t>
  </si>
  <si>
    <t>디 올뉴팰리세이드 가솔린 2.5 터보 2WD 7인승 캘리그래피</t>
  </si>
  <si>
    <t>디 올뉴팰리세이드 가솔린 2.5 터보 2WD 7인승 프레스티지</t>
  </si>
  <si>
    <t>디 올뉴팰리세이드 가솔린 2.5 터보 2WD 7인승 익스클루시브</t>
  </si>
  <si>
    <t>디 올뉴팰리세이드 가솔린 2.5 터보 2WD 9인승 캘리그래피</t>
  </si>
  <si>
    <t>디 올뉴팰리세이드 가솔린 2.5 터보 2WD 9인승 프레스티지</t>
  </si>
  <si>
    <t>디 올뉴팰리세이드 가솔린 2.5 터보 2WD 9인승 익스클루시브</t>
  </si>
  <si>
    <t>디 올뉴팰리세이드</t>
  </si>
  <si>
    <t>2.5 터보 HEV AWD 7인승 캘리그래피</t>
  </si>
  <si>
    <t>2.5 터보 HEV AWD 7인승 프레스티지</t>
  </si>
  <si>
    <t>2.5 터보 HEV AWD 7인승 익스클루시브</t>
  </si>
  <si>
    <t>2.5 터보 HEV AWD 9인승 캘리그래피</t>
  </si>
  <si>
    <t>2.5 터보 HEV AWD 9인승 프레스티지</t>
  </si>
  <si>
    <t>2.5 터보 HEV AWD 9인승 익스클루시브</t>
  </si>
  <si>
    <t>2.5 터보 HEV 2WD 7인승 캘리그래피</t>
  </si>
  <si>
    <t>2.5 터보 HEV 2WD 7인승 프레스티지</t>
  </si>
  <si>
    <t>2.5 터보 HEV 2WD 7인승 익스클루시브</t>
  </si>
  <si>
    <t>2.5 터보 HEV 2WD 9인승 캘리그래피</t>
  </si>
  <si>
    <t>2.5 터보 HEV 2WD 9인승 프레스티지</t>
  </si>
  <si>
    <t>2.5 터보 HEV 2WD 9인승 익스클루시브</t>
  </si>
  <si>
    <t>가솔린 2.5 터보 AWD 7인승 캘리그래피</t>
  </si>
  <si>
    <t>가솔린 2.5 터보 AWD 7인승 프레스티지</t>
  </si>
  <si>
    <t>가솔린 2.5 터보 AWD 7인승 익스클루시브</t>
  </si>
  <si>
    <t>가솔린 2.5 터보 AWD 9인승 캘리그래피</t>
  </si>
  <si>
    <t>가솔린 2.5 터보 AWD 9인승 프레스티지</t>
  </si>
  <si>
    <t>가솔린 2.5 터보 AWD 9인승 익스클루시브</t>
  </si>
  <si>
    <t>가솔린 2.5 터보 2WD 7인승 캘리그래피</t>
  </si>
  <si>
    <t>가솔린 2.5 터보 2WD 7인승 프레스티지</t>
  </si>
  <si>
    <t>가솔린 2.5 터보 2WD 7인승 익스클루시브</t>
  </si>
  <si>
    <t>가솔린 2.5 터보 2WD 9인승 캘리그래피</t>
  </si>
  <si>
    <t>가솔린 2.5 터보 2WD 9인승 프레스티지</t>
  </si>
  <si>
    <t>가솔린 2.5 터보 2WD 9인승 익스클루시브</t>
  </si>
  <si>
    <t>HEV</t>
    <phoneticPr fontId="1" type="noConversion"/>
  </si>
  <si>
    <t>A</t>
    <phoneticPr fontId="1" type="noConversion"/>
  </si>
  <si>
    <t>G</t>
    <phoneticPr fontId="1" type="noConversion"/>
  </si>
  <si>
    <t>I2</t>
    <phoneticPr fontId="1" type="noConversion"/>
  </si>
  <si>
    <t>I3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</si>
  <si>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</si>
  <si>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</si>
  <si>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</si>
  <si>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</si>
  <si>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M1</t>
    <phoneticPr fontId="1" type="noConversion"/>
  </si>
  <si>
    <t>N</t>
    <phoneticPr fontId="1" type="noConversion"/>
  </si>
  <si>
    <t>N1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</si>
  <si>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</si>
  <si>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</si>
  <si>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</si>
  <si>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</si>
  <si>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</si>
  <si>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</si>
  <si>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3.5만</t>
  </si>
  <si>
    <t>25.01 전체잔가변경</t>
    <phoneticPr fontId="1" type="noConversion"/>
  </si>
  <si>
    <t>AP(1.1)</t>
    <phoneticPr fontId="1" type="noConversion"/>
  </si>
  <si>
    <t>2만km</t>
  </si>
  <si>
    <t>AP</t>
    <phoneticPr fontId="1" type="noConversion"/>
  </si>
  <si>
    <t>AP</t>
    <phoneticPr fontId="1" type="noConversion"/>
  </si>
  <si>
    <t>ver.2</t>
    <phoneticPr fontId="1" type="noConversion"/>
  </si>
  <si>
    <t>▣ '25년 1월 전차종 납기 정보</t>
    <phoneticPr fontId="113" type="noConversion"/>
  </si>
  <si>
    <t>▣ '25. 1월 계출운영 공지 사항</t>
    <phoneticPr fontId="62" type="noConversion"/>
  </si>
  <si>
    <r>
      <rPr>
        <sz val="8"/>
        <color theme="1"/>
        <rFont val="맑은 고딕"/>
        <family val="3"/>
        <charset val="129"/>
      </rPr>
      <t xml:space="preserve"> 本</t>
    </r>
    <r>
      <rPr>
        <sz val="8"/>
        <color theme="1"/>
        <rFont val="기아 Medium"/>
        <family val="3"/>
        <charset val="129"/>
      </rPr>
      <t>납기는 고객상담을 위한 참고</t>
    </r>
    <r>
      <rPr>
        <sz val="8"/>
        <color theme="1"/>
        <rFont val="맑은 고딕"/>
        <family val="3"/>
        <charset val="129"/>
      </rPr>
      <t>用</t>
    </r>
    <r>
      <rPr>
        <sz val="8"/>
        <color theme="1"/>
        <rFont val="기아 Medium"/>
        <family val="3"/>
        <charset val="129"/>
      </rPr>
      <t>으로, 실제 납기는 변동될 수 있습니다.</t>
    </r>
    <phoneticPr fontId="113" type="noConversion"/>
  </si>
  <si>
    <t xml:space="preserve">                                      2024. 12. 31.</t>
    <phoneticPr fontId="113" type="noConversion"/>
  </si>
  <si>
    <t>※ 생산상황 변동에 따른 납기변동 가능성 고객 안내 必</t>
    <phoneticPr fontId="62" type="noConversion"/>
  </si>
  <si>
    <t>※ 하기 차종별 예상 납기보다 빨리 배정될 수 있으니, 배정 시 출고지연 되지 않도록 적극적인 고객 커뮤니케이션 부탁드립니다.</t>
    <phoneticPr fontId="62" type="noConversion"/>
  </si>
  <si>
    <t>차  종</t>
    <phoneticPr fontId="113" type="noConversion"/>
  </si>
  <si>
    <r>
      <t xml:space="preserve">납기정보
</t>
    </r>
    <r>
      <rPr>
        <b/>
        <sz val="9"/>
        <color theme="0"/>
        <rFont val="기아 Medium"/>
        <family val="3"/>
        <charset val="129"/>
      </rPr>
      <t>(1/3 배정요청 기준)</t>
    </r>
    <phoneticPr fontId="113" type="noConversion"/>
  </si>
  <si>
    <r>
      <t xml:space="preserve">비 고
</t>
    </r>
    <r>
      <rPr>
        <b/>
        <sz val="9"/>
        <color theme="0"/>
        <rFont val="기아 Medium"/>
        <family val="3"/>
        <charset val="129"/>
      </rPr>
      <t>(특이사항)</t>
    </r>
    <phoneticPr fontId="113" type="noConversion"/>
  </si>
  <si>
    <r>
      <rPr>
        <b/>
        <sz val="10"/>
        <color rgb="FF0000FF"/>
        <rFont val="현대산스 Text OTF"/>
        <family val="2"/>
        <charset val="129"/>
      </rPr>
      <t xml:space="preserve"> ■ 예상납기 : 최초 요청 시점 기준</t>
    </r>
    <phoneticPr fontId="62" type="noConversion"/>
  </si>
  <si>
    <t>구 분</t>
    <phoneticPr fontId="113" type="noConversion"/>
  </si>
  <si>
    <t xml:space="preserve"> ■ 특장OEM 협력사 제작 납기일은 첨부파일 특장 sheet 참고</t>
    <phoneticPr fontId="62" type="noConversion"/>
  </si>
  <si>
    <t>■ 차종별 예상 납기 (승용/RV/소상)</t>
    <phoneticPr fontId="62" type="noConversion"/>
  </si>
  <si>
    <t>EV</t>
    <phoneticPr fontId="113" type="noConversion"/>
  </si>
  <si>
    <t>레이 EV</t>
    <phoneticPr fontId="113" type="noConversion"/>
  </si>
  <si>
    <t>전사양</t>
    <phoneticPr fontId="113" type="noConversion"/>
  </si>
  <si>
    <t>2~3개월</t>
    <phoneticPr fontId="113" type="noConversion"/>
  </si>
  <si>
    <t>구분</t>
    <phoneticPr fontId="62" type="noConversion"/>
  </si>
  <si>
    <t>1/3 배정요청 시
예상납기  (평균)</t>
    <phoneticPr fontId="62" type="noConversion"/>
  </si>
  <si>
    <t>비 고</t>
    <phoneticPr fontId="62" type="noConversion"/>
  </si>
  <si>
    <t>니로 EV</t>
    <phoneticPr fontId="113" type="noConversion"/>
  </si>
  <si>
    <t>전사양</t>
  </si>
  <si>
    <t>4~5주</t>
    <phoneticPr fontId="113" type="noConversion"/>
  </si>
  <si>
    <t>EV3</t>
    <phoneticPr fontId="113" type="noConversion"/>
  </si>
  <si>
    <t>아
반
떼</t>
    <phoneticPr fontId="62" type="noConversion"/>
  </si>
  <si>
    <t>1.6가솔린 / LPi</t>
    <phoneticPr fontId="62" type="noConversion"/>
  </si>
  <si>
    <t>2 개월</t>
  </si>
  <si>
    <t>EV6</t>
    <phoneticPr fontId="113" type="noConversion"/>
  </si>
  <si>
    <t>하이브리드</t>
    <phoneticPr fontId="62" type="noConversion"/>
  </si>
  <si>
    <t>7 개월</t>
    <phoneticPr fontId="62" type="noConversion"/>
  </si>
  <si>
    <t>EV9</t>
    <phoneticPr fontId="113" type="noConversion"/>
  </si>
  <si>
    <t>N</t>
    <phoneticPr fontId="62" type="noConversion"/>
  </si>
  <si>
    <t>봉고 EV</t>
    <phoneticPr fontId="113" type="noConversion"/>
  </si>
  <si>
    <r>
      <t>재고</t>
    </r>
    <r>
      <rPr>
        <b/>
        <sz val="10"/>
        <color rgb="FFFF0000"/>
        <rFont val="Gulim"/>
        <family val="3"/>
        <charset val="129"/>
      </rPr>
      <t>多</t>
    </r>
    <phoneticPr fontId="113" type="noConversion"/>
  </si>
  <si>
    <r>
      <t xml:space="preserve">※ 단, 특장 재고없는 사양 : </t>
    </r>
    <r>
      <rPr>
        <b/>
        <sz val="10"/>
        <color rgb="FFFF0000"/>
        <rFont val="기아 Medium"/>
        <family val="3"/>
        <charset val="129"/>
      </rPr>
      <t>8주 ('25.2월 생산개시)</t>
    </r>
    <phoneticPr fontId="113" type="noConversion"/>
  </si>
  <si>
    <t>쏘
나
타</t>
    <phoneticPr fontId="62" type="noConversion"/>
  </si>
  <si>
    <t>1.6 터보 /2.0 가솔린 / Lpi / N라인</t>
    <phoneticPr fontId="62" type="noConversion"/>
  </si>
  <si>
    <t>3 주</t>
    <phoneticPr fontId="62" type="noConversion"/>
  </si>
  <si>
    <t xml:space="preserve"> ※ '24.11월 이전 생산분 생산월 조건 100만원 적용 (하이브리드 제외) </t>
    <phoneticPr fontId="62" type="noConversion"/>
  </si>
  <si>
    <t>승용</t>
    <phoneticPr fontId="113" type="noConversion"/>
  </si>
  <si>
    <t>모 닝</t>
    <phoneticPr fontId="113" type="noConversion"/>
  </si>
  <si>
    <t>가솔린</t>
    <phoneticPr fontId="113" type="noConversion"/>
  </si>
  <si>
    <t>2.5개월</t>
    <phoneticPr fontId="113" type="noConversion"/>
  </si>
  <si>
    <t>DT23 (쏘나타 택시)</t>
    <phoneticPr fontId="62" type="noConversion"/>
  </si>
  <si>
    <t>2 주</t>
    <phoneticPr fontId="62" type="noConversion"/>
  </si>
  <si>
    <t xml:space="preserve"> ※ 발급가능재고 有 → 즉시 출고 가능
      발급가능재고 無 → 2주 소요 (선적 상황에 따라 변동 가능)</t>
    <phoneticPr fontId="62" type="noConversion"/>
  </si>
  <si>
    <t>레 이</t>
  </si>
  <si>
    <t>4.5개월</t>
    <phoneticPr fontId="113" type="noConversion"/>
  </si>
  <si>
    <r>
      <t xml:space="preserve">※ 그래비티 : </t>
    </r>
    <r>
      <rPr>
        <b/>
        <sz val="10"/>
        <color rgb="FFFF0000"/>
        <rFont val="기아 Medium"/>
        <family val="3"/>
        <charset val="129"/>
      </rPr>
      <t>7개월</t>
    </r>
    <phoneticPr fontId="113" type="noConversion"/>
  </si>
  <si>
    <t>그
랜
저</t>
    <phoneticPr fontId="62" type="noConversion"/>
  </si>
  <si>
    <t xml:space="preserve">  2.5 가솔린 / Lpi / 3.5 가솔린 / 영업용</t>
    <phoneticPr fontId="62" type="noConversion"/>
  </si>
  <si>
    <t>1 개월</t>
  </si>
  <si>
    <t xml:space="preserve"> ※ '24.11월 이전 생산분 생산월 조건 100만원 적용 (하이브리드 제외)</t>
    <phoneticPr fontId="62" type="noConversion"/>
  </si>
  <si>
    <t>K5</t>
    <phoneticPr fontId="113" type="noConversion"/>
  </si>
  <si>
    <t>2.0 가솔린 / HEV / LPG</t>
    <phoneticPr fontId="113" type="noConversion"/>
  </si>
  <si>
    <t>※ LPG 비선호 및 장애인전용 : 별도점검 후 생산</t>
    <phoneticPr fontId="113" type="noConversion"/>
  </si>
  <si>
    <t xml:space="preserve">  하이브리드</t>
    <phoneticPr fontId="62" type="noConversion"/>
  </si>
  <si>
    <t>1.6 가솔린</t>
    <phoneticPr fontId="113" type="noConversion"/>
  </si>
  <si>
    <t>6~7주</t>
    <phoneticPr fontId="113" type="noConversion"/>
  </si>
  <si>
    <t>아이오닉 6</t>
    <phoneticPr fontId="62" type="noConversion"/>
  </si>
  <si>
    <t>- 빠른 출고 희망 시, 발급가능재고 활용 요망</t>
    <phoneticPr fontId="62" type="noConversion"/>
  </si>
  <si>
    <t>K 8</t>
    <phoneticPr fontId="113" type="noConversion"/>
  </si>
  <si>
    <r>
      <t xml:space="preserve">※ 시그니처 블랙 : </t>
    </r>
    <r>
      <rPr>
        <b/>
        <sz val="10"/>
        <color rgb="FFFF0000"/>
        <rFont val="기아 Medium"/>
        <family val="3"/>
        <charset val="129"/>
      </rPr>
      <t>1~2주 추가 소요</t>
    </r>
    <phoneticPr fontId="113" type="noConversion"/>
  </si>
  <si>
    <t>제
네
시
스</t>
    <phoneticPr fontId="62" type="noConversion"/>
  </si>
  <si>
    <t>G70 (S/B포함)</t>
    <phoneticPr fontId="62" type="noConversion"/>
  </si>
  <si>
    <r>
      <rPr>
        <sz val="10"/>
        <color theme="1"/>
        <rFont val="현대산스 Text"/>
        <family val="3"/>
        <charset val="129"/>
      </rPr>
      <t xml:space="preserve">- BTO 주문 및 과소 칼라/옵션 요청의 경우, 사양에 따라 추가 납기 가능성 있음
 </t>
    </r>
    <r>
      <rPr>
        <sz val="10"/>
        <color rgb="FF0000FF"/>
        <rFont val="현대산스 Text"/>
        <family val="3"/>
        <charset val="129"/>
      </rPr>
      <t>※ 판촉차(인수거부 포함), 조건차 및 전시차 등 발급 가능 재고 다수 보유</t>
    </r>
    <phoneticPr fontId="62" type="noConversion"/>
  </si>
  <si>
    <t>G80</t>
    <phoneticPr fontId="62" type="noConversion"/>
  </si>
  <si>
    <t>단산공지 참조</t>
  </si>
  <si>
    <r>
      <t xml:space="preserve">- </t>
    </r>
    <r>
      <rPr>
        <b/>
        <sz val="10"/>
        <rFont val="현대산스 Text"/>
        <family val="3"/>
        <charset val="129"/>
      </rPr>
      <t>25MY/Black '25년 1월 중순 출시 예정</t>
    </r>
    <r>
      <rPr>
        <sz val="10"/>
        <rFont val="현대산스 Text"/>
        <family val="3"/>
        <charset val="129"/>
      </rPr>
      <t xml:space="preserve">
- </t>
    </r>
    <r>
      <rPr>
        <sz val="10"/>
        <color rgb="FF0000FF"/>
        <rFont val="현대산스 Text"/>
        <family val="3"/>
        <charset val="129"/>
      </rPr>
      <t>1/6(월) 마감 시 限 배정요청 시 현 모델 생산대응 가능하며, 자세한 내용은 단산공지 참고</t>
    </r>
    <phoneticPr fontId="62" type="noConversion"/>
  </si>
  <si>
    <t>K 9</t>
  </si>
  <si>
    <t>Electrified G80</t>
    <phoneticPr fontId="62" type="noConversion"/>
  </si>
  <si>
    <t>G90 (LWB 포함)</t>
    <phoneticPr fontId="62" type="noConversion"/>
  </si>
  <si>
    <t>3 주</t>
  </si>
  <si>
    <r>
      <rPr>
        <sz val="10"/>
        <color theme="1"/>
        <rFont val="현대산스 Text"/>
        <family val="3"/>
        <charset val="129"/>
      </rPr>
      <t>- BTO 주문의 경우, 사양에 따라 추가 납기 가능성 있음</t>
    </r>
    <r>
      <rPr>
        <sz val="10"/>
        <rFont val="현대산스 Text"/>
        <family val="3"/>
        <charset val="129"/>
      </rPr>
      <t xml:space="preserve">
- S/OFF 후 세단 2~3일, LWB/블랙 3~5일 이중점검 고려 한 납기 안내 必 
</t>
    </r>
    <r>
      <rPr>
        <sz val="10"/>
        <color rgb="FF0000FF"/>
        <rFont val="현대산스 Text"/>
        <family val="3"/>
        <charset val="129"/>
      </rPr>
      <t xml:space="preserve"> ※ 판촉차(인수거부 포함), 조건차 및 전시차 등 발급 가능 재고 다수 보유(블랙 제외)</t>
    </r>
    <phoneticPr fontId="62" type="noConversion"/>
  </si>
  <si>
    <t>RV</t>
    <phoneticPr fontId="113" type="noConversion"/>
  </si>
  <si>
    <t>니 로</t>
    <phoneticPr fontId="113" type="noConversion"/>
  </si>
  <si>
    <t>HEV</t>
    <phoneticPr fontId="113" type="noConversion"/>
  </si>
  <si>
    <t>3~4주</t>
    <phoneticPr fontId="113" type="noConversion"/>
  </si>
  <si>
    <t>G90 BLACK</t>
    <phoneticPr fontId="62" type="noConversion"/>
  </si>
  <si>
    <t>1.5 개월</t>
  </si>
  <si>
    <t>셀토스</t>
    <phoneticPr fontId="113" type="noConversion"/>
  </si>
  <si>
    <t>승용</t>
    <phoneticPr fontId="62" type="noConversion"/>
  </si>
  <si>
    <t>스포티지</t>
    <phoneticPr fontId="113" type="noConversion"/>
  </si>
  <si>
    <t>4개월</t>
    <phoneticPr fontId="113" type="noConversion"/>
  </si>
  <si>
    <t>베 뉴</t>
    <phoneticPr fontId="150" type="noConversion"/>
  </si>
  <si>
    <t>2.5 개월</t>
  </si>
  <si>
    <t>LPG</t>
    <phoneticPr fontId="113" type="noConversion"/>
  </si>
  <si>
    <t>코
나</t>
    <phoneticPr fontId="62" type="noConversion"/>
  </si>
  <si>
    <t>가솔린 (N라인 포함)</t>
    <phoneticPr fontId="62" type="noConversion"/>
  </si>
  <si>
    <t>- EV 빠른 출고 희망 시, 발급가능재고 활용 요망</t>
    <phoneticPr fontId="62" type="noConversion"/>
  </si>
  <si>
    <t>3.5개월</t>
    <phoneticPr fontId="113" type="noConversion"/>
  </si>
  <si>
    <t>쏘렌토</t>
    <phoneticPr fontId="113" type="noConversion"/>
  </si>
  <si>
    <t>※ 별도점검 후 생산</t>
    <phoneticPr fontId="113" type="noConversion"/>
  </si>
  <si>
    <t>EV</t>
    <phoneticPr fontId="62" type="noConversion"/>
  </si>
  <si>
    <t>디젤</t>
    <phoneticPr fontId="113" type="noConversion"/>
  </si>
  <si>
    <t>투
싼</t>
    <phoneticPr fontId="62" type="noConversion"/>
  </si>
  <si>
    <r>
      <t xml:space="preserve">가솔린 </t>
    </r>
    <r>
      <rPr>
        <b/>
        <i/>
        <sz val="10"/>
        <rFont val="현대산스 Text OTF"/>
        <family val="2"/>
        <charset val="129"/>
      </rPr>
      <t>(N라인 포함)</t>
    </r>
    <r>
      <rPr>
        <b/>
        <sz val="10"/>
        <color theme="1"/>
        <rFont val="현대산스 Text OTF"/>
        <family val="2"/>
        <charset val="129"/>
      </rPr>
      <t xml:space="preserve"> </t>
    </r>
    <phoneticPr fontId="62" type="noConversion"/>
  </si>
  <si>
    <t>8개월</t>
    <phoneticPr fontId="113" type="noConversion"/>
  </si>
  <si>
    <t>디젤</t>
    <phoneticPr fontId="62" type="noConversion"/>
  </si>
  <si>
    <t>카니발</t>
    <phoneticPr fontId="113" type="noConversion"/>
  </si>
  <si>
    <t>일반</t>
    <phoneticPr fontId="113" type="noConversion"/>
  </si>
  <si>
    <t>2개월</t>
    <phoneticPr fontId="113" type="noConversion"/>
  </si>
  <si>
    <r>
      <t xml:space="preserve">※ 그래비티 </t>
    </r>
    <r>
      <rPr>
        <sz val="10"/>
        <rFont val="Gulim"/>
        <family val="3"/>
        <charset val="129"/>
      </rPr>
      <t xml:space="preserve">中 </t>
    </r>
    <r>
      <rPr>
        <sz val="10"/>
        <rFont val="기아 Medium"/>
        <family val="3"/>
        <charset val="129"/>
      </rPr>
      <t xml:space="preserve">"사이드스텝+LED테일게이트 램프" 적용사양
   → 디젤 </t>
    </r>
    <r>
      <rPr>
        <sz val="10"/>
        <color rgb="FFFF0000"/>
        <rFont val="기아 Medium"/>
        <family val="3"/>
        <charset val="129"/>
      </rPr>
      <t>5개월</t>
    </r>
    <r>
      <rPr>
        <sz val="10"/>
        <rFont val="기아 Medium"/>
        <family val="3"/>
        <charset val="129"/>
      </rPr>
      <t xml:space="preserve">  / 가솔린 </t>
    </r>
    <r>
      <rPr>
        <sz val="10"/>
        <color rgb="FFFF0000"/>
        <rFont val="기아 Medium"/>
        <family val="3"/>
        <charset val="129"/>
      </rPr>
      <t>4개월</t>
    </r>
    <r>
      <rPr>
        <sz val="10"/>
        <rFont val="기아 Medium"/>
        <family val="3"/>
        <charset val="129"/>
      </rPr>
      <t xml:space="preserve"> / HEV </t>
    </r>
    <r>
      <rPr>
        <sz val="10"/>
        <color rgb="FFFF0000"/>
        <rFont val="기아 Medium"/>
        <family val="3"/>
        <charset val="129"/>
      </rPr>
      <t>13개월</t>
    </r>
    <phoneticPr fontId="113" type="noConversion"/>
  </si>
  <si>
    <t>아이오닉 5</t>
    <phoneticPr fontId="62" type="noConversion"/>
  </si>
  <si>
    <t>- 아이오닉5 N 생산 일정에 따라 0.5개월 추가 소요
- 빠른 출고 희망 시, 발급가능재고 활용 요망</t>
    <phoneticPr fontId="62" type="noConversion"/>
  </si>
  <si>
    <t>12개월</t>
    <phoneticPr fontId="113" type="noConversion"/>
  </si>
  <si>
    <t>아이오닉 5 N</t>
    <phoneticPr fontId="62" type="noConversion"/>
  </si>
  <si>
    <t>하이
리무진</t>
    <phoneticPr fontId="113" type="noConversion"/>
  </si>
  <si>
    <t>가솔린
HEV</t>
    <phoneticPr fontId="113" type="noConversion"/>
  </si>
  <si>
    <t>4인승</t>
  </si>
  <si>
    <t>3개월</t>
    <phoneticPr fontId="113" type="noConversion"/>
  </si>
  <si>
    <r>
      <t xml:space="preserve">※비선호 (시그니처 </t>
    </r>
    <r>
      <rPr>
        <b/>
        <u/>
        <sz val="10"/>
        <rFont val="기아 Medium"/>
        <family val="3"/>
        <charset val="129"/>
      </rPr>
      <t>풀옵션 제외</t>
    </r>
    <r>
      <rPr>
        <sz val="10"/>
        <rFont val="기아 Medium"/>
        <family val="3"/>
        <charset val="129"/>
      </rPr>
      <t xml:space="preserve"> 전사양 &amp; HEV 노블레스 전사양) 
   → 납기 </t>
    </r>
    <r>
      <rPr>
        <b/>
        <sz val="10"/>
        <color rgb="FFFF0000"/>
        <rFont val="기아 Medium"/>
        <family val="3"/>
        <charset val="129"/>
      </rPr>
      <t>2개월 추가</t>
    </r>
    <r>
      <rPr>
        <sz val="10"/>
        <rFont val="기아 Medium"/>
        <family val="3"/>
        <charset val="129"/>
      </rPr>
      <t xml:space="preserve"> 소요</t>
    </r>
    <phoneticPr fontId="113" type="noConversion"/>
  </si>
  <si>
    <t>싼
타
페</t>
    <phoneticPr fontId="62" type="noConversion"/>
  </si>
  <si>
    <t>가솔린</t>
    <phoneticPr fontId="62" type="noConversion"/>
  </si>
  <si>
    <r>
      <t xml:space="preserve">-HEV 18인치 1월 限 납기 1개월
 </t>
    </r>
    <r>
      <rPr>
        <sz val="10"/>
        <color rgb="FF0000FF"/>
        <rFont val="현대산스 Text"/>
        <family val="3"/>
        <charset val="129"/>
      </rPr>
      <t>※ '24.11월 이전 생산분 생산월 조건 100만원 적용 (하이브리드)</t>
    </r>
    <phoneticPr fontId="62" type="noConversion"/>
  </si>
  <si>
    <t>7/9인</t>
  </si>
  <si>
    <t>1.5개월</t>
    <phoneticPr fontId="113" type="noConversion"/>
  </si>
  <si>
    <t>2 개월</t>
    <phoneticPr fontId="62" type="noConversion"/>
  </si>
  <si>
    <t xml:space="preserve">팰
리
세
이
드 </t>
    <phoneticPr fontId="62" type="noConversion"/>
  </si>
  <si>
    <t>디젤 / 가솔린</t>
    <phoneticPr fontId="62" type="noConversion"/>
  </si>
  <si>
    <t>추후 별도 공지 예정</t>
  </si>
  <si>
    <r>
      <rPr>
        <sz val="10"/>
        <rFont val="현대산스 Text"/>
        <family val="3"/>
        <charset val="129"/>
      </rPr>
      <t>- ’25년 1월 중 가솔린 및 하이브리드 판매개시 예정 (1월 중 가솔린 출고개시, 2분기 하이브리드 출고개시 예정)</t>
    </r>
    <r>
      <rPr>
        <sz val="10"/>
        <color rgb="FF0000FF"/>
        <rFont val="현대산스 Text"/>
        <family val="3"/>
        <charset val="129"/>
      </rPr>
      <t xml:space="preserve">
 ※  구형 (LX2) 기본 조건 300만원 적용 </t>
    </r>
    <phoneticPr fontId="62" type="noConversion"/>
  </si>
  <si>
    <t>넥쏘</t>
    <phoneticPr fontId="62" type="noConversion"/>
  </si>
  <si>
    <t>즉 시</t>
    <phoneticPr fontId="62" type="noConversion"/>
  </si>
  <si>
    <t>상용</t>
    <phoneticPr fontId="113" type="noConversion"/>
  </si>
  <si>
    <t>봉 고</t>
  </si>
  <si>
    <t>일반사양</t>
    <phoneticPr fontId="113" type="noConversion"/>
  </si>
  <si>
    <r>
      <t xml:space="preserve">※ 주력/선호사양 재고 </t>
    </r>
    <r>
      <rPr>
        <sz val="10"/>
        <rFont val="Gulim"/>
        <family val="3"/>
        <charset val="129"/>
      </rPr>
      <t>多</t>
    </r>
    <phoneticPr fontId="113" type="noConversion"/>
  </si>
  <si>
    <t>GV60</t>
    <phoneticPr fontId="62" type="noConversion"/>
  </si>
  <si>
    <t>3 개월</t>
  </si>
  <si>
    <t>제약
사양</t>
    <phoneticPr fontId="113" type="noConversion"/>
  </si>
  <si>
    <t>1T</t>
    <phoneticPr fontId="113" type="noConversion"/>
  </si>
  <si>
    <t>4~6주</t>
    <phoneticPr fontId="113" type="noConversion"/>
  </si>
  <si>
    <t xml:space="preserve"> 1T 더블캡 A/T</t>
    <phoneticPr fontId="113" type="noConversion"/>
  </si>
  <si>
    <t>GV70</t>
    <phoneticPr fontId="62" type="noConversion"/>
  </si>
  <si>
    <t xml:space="preserve"> ※ '24.10월 이전 생산분 생산월 조건 5% 적용 </t>
    <phoneticPr fontId="62" type="noConversion"/>
  </si>
  <si>
    <t>1.2T</t>
    <phoneticPr fontId="113" type="noConversion"/>
  </si>
  <si>
    <t>5~7주</t>
    <phoneticPr fontId="113" type="noConversion"/>
  </si>
  <si>
    <t xml:space="preserve"> 1.2T  A/T</t>
    <phoneticPr fontId="113" type="noConversion"/>
  </si>
  <si>
    <t>Electrified GV70</t>
    <phoneticPr fontId="62" type="noConversion"/>
  </si>
  <si>
    <t>- 후속 모델 '25년 1분기 출시 예정</t>
    <phoneticPr fontId="62" type="noConversion"/>
  </si>
  <si>
    <t>LPG
특장</t>
    <phoneticPr fontId="113" type="noConversion"/>
  </si>
  <si>
    <t>2~3주</t>
    <phoneticPr fontId="113" type="noConversion"/>
  </si>
  <si>
    <t>GV80</t>
    <phoneticPr fontId="62" type="noConversion"/>
  </si>
  <si>
    <t xml:space="preserve"> ※ '24.11월 이전 생산분 생산월 조건 적용 ('24년 10월 이전 5%, 11월 이전 3%) </t>
    <phoneticPr fontId="62" type="noConversion"/>
  </si>
  <si>
    <t>미닫이/워크스루밴/
파워게이트</t>
    <phoneticPr fontId="113" type="noConversion"/>
  </si>
  <si>
    <t>※ 냉동탑차 A/T - 1월초 본격 생산재개 예정 [납기 별도 통보]</t>
    <phoneticPr fontId="113" type="noConversion"/>
  </si>
  <si>
    <t>GV80 COUPE</t>
    <phoneticPr fontId="62" type="noConversion"/>
  </si>
  <si>
    <t>RV</t>
    <phoneticPr fontId="62" type="noConversion"/>
  </si>
  <si>
    <t>LPi</t>
    <phoneticPr fontId="62" type="noConversion"/>
  </si>
  <si>
    <t>스
타
리
아</t>
    <phoneticPr fontId="62" type="noConversion"/>
  </si>
  <si>
    <t>카고</t>
    <phoneticPr fontId="62" type="noConversion"/>
  </si>
  <si>
    <r>
      <t xml:space="preserve">
</t>
    </r>
    <r>
      <rPr>
        <sz val="10"/>
        <color rgb="FF0000FF"/>
        <rFont val="현대산스 Text"/>
        <family val="3"/>
        <charset val="129"/>
      </rPr>
      <t>※ 전주생산 스타리아 카고 납기 : 3개월</t>
    </r>
    <r>
      <rPr>
        <sz val="10"/>
        <color theme="1"/>
        <rFont val="현대산스 Text"/>
        <family val="3"/>
        <charset val="129"/>
      </rPr>
      <t xml:space="preserve">
* 카고 전주 사양 : 디젤 3&amp;5인승 카고 / 모던 / 일반 테일게이트 中 화이트&amp;실버&amp;그레이 限
- 카고 울산 사양 : 전주 사양 外</t>
    </r>
    <phoneticPr fontId="62" type="noConversion"/>
  </si>
  <si>
    <t>투어러 / 라운지</t>
    <phoneticPr fontId="62" type="noConversion"/>
  </si>
  <si>
    <t>HEV</t>
    <phoneticPr fontId="62" type="noConversion"/>
  </si>
  <si>
    <t>ST1</t>
    <phoneticPr fontId="62" type="noConversion"/>
  </si>
  <si>
    <t>별도 문의 요망</t>
  </si>
  <si>
    <t>- 카고 및 냉동 발급가능 재고 보유 → 재고 유도 출고 요망</t>
    <phoneticPr fontId="62" type="noConversion"/>
  </si>
  <si>
    <t>A/T</t>
    <phoneticPr fontId="62" type="noConversion"/>
  </si>
  <si>
    <t>M/T</t>
    <phoneticPr fontId="62" type="noConversion"/>
  </si>
  <si>
    <r>
      <t xml:space="preserve">- 포터EV 지자체별 공모 개시 상황에 따라 납기 수시 변동 →  </t>
    </r>
    <r>
      <rPr>
        <b/>
        <sz val="10"/>
        <rFont val="현대산스 Text"/>
        <family val="3"/>
        <charset val="129"/>
      </rPr>
      <t>발급가능 재고 보유</t>
    </r>
    <r>
      <rPr>
        <sz val="10"/>
        <color rgb="FFFF0000"/>
        <rFont val="현대산스 Text"/>
        <family val="3"/>
        <charset val="129"/>
      </rPr>
      <t xml:space="preserve">
 </t>
    </r>
    <r>
      <rPr>
        <sz val="10"/>
        <color rgb="FF0000FF"/>
        <rFont val="현대산스 Text"/>
        <family val="3"/>
        <charset val="129"/>
      </rPr>
      <t xml:space="preserve">※ 오토 발급 가능재고 다량 보유  -  재고 없는 사양 납기 : 오토 - 3~4주
</t>
    </r>
    <phoneticPr fontId="62" type="noConversion"/>
  </si>
  <si>
    <t>포
터</t>
    <phoneticPr fontId="62" type="noConversion"/>
  </si>
  <si>
    <t>일반 / 슈퍼캡</t>
    <phoneticPr fontId="62" type="noConversion"/>
  </si>
  <si>
    <t>즉시</t>
  </si>
  <si>
    <t>더블캡</t>
    <phoneticPr fontId="62" type="noConversion"/>
  </si>
  <si>
    <t>포터 EV</t>
    <phoneticPr fontId="62" type="noConversion"/>
  </si>
  <si>
    <t>즉시</t>
    <phoneticPr fontId="62" type="noConversion"/>
  </si>
  <si>
    <t>소형상용</t>
    <phoneticPr fontId="62" type="noConversion"/>
  </si>
  <si>
    <t>대리점/지점</t>
  </si>
  <si>
    <t>G_90</t>
  </si>
  <si>
    <t>신형 G90_3.5GT 일렉트릭 슈퍼차저 AWD(4인승)</t>
    <phoneticPr fontId="1" type="noConversion"/>
  </si>
  <si>
    <t>신형 G90_3.5GT 일렉트릭 슈퍼차저 AWD(4인승)</t>
    <phoneticPr fontId="1" type="noConversion"/>
  </si>
  <si>
    <t>오토원_알차다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</si>
</sst>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6" formatCode="&quot;₩&quot;#,##0;[Red]\-&quot;₩&quot;#,##0"/>
    <numFmt numFmtId="41" formatCode="_-* #,##0_-;\-* #,##0_-;_-* &quot;-&quot;_-;_-@_-"/>
    <numFmt numFmtId="43" formatCode="_-* #,##0.00_-;\-* #,##0.00_-;_-* &quot;-&quot;??_-;_-@_-"/>
    <numFmt numFmtId="176" formatCode="0.0%"/>
    <numFmt numFmtId="177" formatCode="_-* #,##0_-;\-* #,##0_-;_-* &quot;-&quot;??_-;_-@_-"/>
    <numFmt numFmtId="178" formatCode="#,##0&quot;개&quot;&quot;월&quot;"/>
    <numFmt numFmtId="179" formatCode="#,##0_ "/>
    <numFmt numFmtId="180" formatCode="#,##0&quot;원&quot;"/>
    <numFmt numFmtId="181" formatCode="@\ &quot;님&quot;"/>
    <numFmt numFmtId="182" formatCode="#,##0\ &quot;원&quot;"/>
    <numFmt numFmtId="183" formatCode="#,##0\ \c\c"/>
    <numFmt numFmtId="184" formatCode="_-* #,##0.0_-;\-* #,##0.0_-;_-* &quot;-&quot;_-;_-@_-"/>
    <numFmt numFmtId="185" formatCode="_-* #,##0.00_-;\-* #,##0.00_-;_-* &quot;-&quot;_-;_-@_-"/>
    <numFmt numFmtId="186" formatCode="#,###\c\c"/>
    <numFmt numFmtId="187" formatCode="#,###&quot;원&quot;"/>
    <numFmt numFmtId="188" formatCode="#&quot;개&quot;&quot;월&quot;"/>
    <numFmt numFmtId="189" formatCode="0.0"/>
    <numFmt numFmtId="190" formatCode="##,##0&quot;원&quot;"/>
    <numFmt numFmtId="191" formatCode="yyyy&quot;년&quot;\ m&quot;월&quot;;@"/>
    <numFmt numFmtId="192" formatCode="yyyy&quot;년&quot;\ m&quot;월&quot;\ &quot;공&quot;&quot;지&quot;&quot;사&quot;&quot;항&quot;"/>
    <numFmt numFmtId="193" formatCode="##0.0"/>
    <numFmt numFmtId="194" formatCode="_-[$€-2]* #,##0.00_-;\-[$€-2]* #,##0.00_-;_-[$€-2]* &quot;-&quot;??_-"/>
    <numFmt numFmtId="195" formatCode="0_);[Red]\(0\)"/>
    <numFmt numFmtId="196" formatCode="\+0.0%;\▲0.0%"/>
    <numFmt numFmtId="197" formatCode="#,##0\ &quot;개월&quot;"/>
    <numFmt numFmtId="198" formatCode="0.0_);[Red]\(0.0\)"/>
    <numFmt numFmtId="199" formatCode="mm&quot;월&quot;\ dd&quot;일&quot;"/>
    <numFmt numFmtId="200" formatCode="0.0000%"/>
    <numFmt numFmtId="201" formatCode="0.000%"/>
  </numFmts>
  <fonts count="16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sz val="11"/>
      <color theme="1"/>
      <name val="롯데그룹"/>
      <family val="3"/>
      <charset val="129"/>
    </font>
    <font>
      <sz val="6"/>
      <name val="맑은 고딕"/>
      <family val="2"/>
      <charset val="129"/>
      <scheme val="minor"/>
    </font>
    <font>
      <sz val="10"/>
      <color theme="1"/>
      <name val="롯데그룹"/>
      <family val="3"/>
      <charset val="129"/>
    </font>
    <font>
      <sz val="6"/>
      <color theme="1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sz val="10.5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.5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.5"/>
      <name val="맑은 고딕"/>
      <family val="2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theme="0" tint="-4.9989318521683403E-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6"/>
      <color theme="1"/>
      <name val="HY헤드라인M"/>
      <family val="1"/>
      <charset val="129"/>
    </font>
    <font>
      <b/>
      <sz val="2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u/>
      <sz val="12"/>
      <color rgb="FFFF0000"/>
      <name val="맑은 고딕"/>
      <family val="3"/>
      <charset val="129"/>
      <scheme val="minor"/>
    </font>
    <font>
      <b/>
      <sz val="10.5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5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  <font>
      <b/>
      <sz val="3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6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나눔고딕"/>
      <family val="3"/>
      <charset val="129"/>
    </font>
    <font>
      <b/>
      <sz val="15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5"/>
      <name val="맑은 고딕"/>
      <family val="3"/>
      <charset val="129"/>
      <scheme val="minor"/>
    </font>
    <font>
      <sz val="11"/>
      <color indexed="8"/>
      <name val="맑은 고딕"/>
      <family val="3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b/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u/>
      <sz val="16"/>
      <color rgb="FFFF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기아 Medium"/>
      <family val="2"/>
      <charset val="129"/>
    </font>
    <font>
      <sz val="14"/>
      <color theme="1"/>
      <name val="현대하모니 B"/>
      <family val="1"/>
      <charset val="129"/>
    </font>
    <font>
      <b/>
      <sz val="18"/>
      <color theme="1"/>
      <name val="기아 Bold"/>
      <family val="3"/>
      <charset val="129"/>
    </font>
    <font>
      <sz val="8"/>
      <name val="기아 Medium"/>
      <family val="2"/>
      <charset val="129"/>
    </font>
    <font>
      <b/>
      <sz val="10"/>
      <color theme="1"/>
      <name val="기아 Bold"/>
      <family val="3"/>
      <charset val="129"/>
    </font>
    <font>
      <sz val="10"/>
      <color theme="1"/>
      <name val="기아 Bold"/>
      <family val="3"/>
      <charset val="129"/>
    </font>
    <font>
      <b/>
      <sz val="10"/>
      <name val="현대산스 Head OTF Bold"/>
      <family val="2"/>
      <charset val="129"/>
    </font>
    <font>
      <sz val="10"/>
      <name val="현대하모니 M"/>
      <family val="1"/>
      <charset val="129"/>
    </font>
    <font>
      <b/>
      <sz val="14"/>
      <color theme="1"/>
      <name val="기아 Bold"/>
      <family val="3"/>
      <charset val="129"/>
    </font>
    <font>
      <b/>
      <sz val="10"/>
      <name val="현대산스 Text OTF"/>
      <family val="2"/>
      <charset val="129"/>
    </font>
    <font>
      <sz val="8"/>
      <color theme="1"/>
      <name val="기아 Medium"/>
      <family val="3"/>
      <charset val="129"/>
    </font>
    <font>
      <sz val="8"/>
      <color theme="1"/>
      <name val="맑은 고딕"/>
      <family val="3"/>
      <charset val="129"/>
    </font>
    <font>
      <b/>
      <sz val="10"/>
      <color theme="1"/>
      <name val="기아 Medium"/>
      <family val="3"/>
      <charset val="129"/>
    </font>
    <font>
      <b/>
      <sz val="10"/>
      <color rgb="FFFF0000"/>
      <name val="현대산스 Text OTF"/>
      <family val="2"/>
      <charset val="129"/>
    </font>
    <font>
      <sz val="10"/>
      <name val="현대산스 Text OTF"/>
      <family val="2"/>
      <charset val="129"/>
    </font>
    <font>
      <sz val="10"/>
      <color theme="1"/>
      <name val="현대하모니 B"/>
      <family val="1"/>
      <charset val="129"/>
    </font>
    <font>
      <b/>
      <sz val="11"/>
      <color theme="0"/>
      <name val="기아 Medium"/>
      <family val="3"/>
      <charset val="129"/>
    </font>
    <font>
      <b/>
      <sz val="9"/>
      <color theme="0"/>
      <name val="기아 Medium"/>
      <family val="3"/>
      <charset val="129"/>
    </font>
    <font>
      <sz val="10"/>
      <name val="현대하모니 B"/>
      <family val="1"/>
      <charset val="129"/>
    </font>
    <font>
      <b/>
      <sz val="10"/>
      <color rgb="FF0000FF"/>
      <name val="현대산스 Text OTF"/>
      <family val="2"/>
      <charset val="129"/>
    </font>
    <font>
      <b/>
      <sz val="10"/>
      <color theme="0"/>
      <name val="기아 Medium"/>
      <family val="3"/>
      <charset val="129"/>
    </font>
    <font>
      <sz val="8"/>
      <color theme="1"/>
      <name val="현대하모니 L"/>
      <family val="1"/>
      <charset val="129"/>
    </font>
    <font>
      <b/>
      <sz val="10"/>
      <name val="현대하모니 M"/>
      <family val="1"/>
      <charset val="129"/>
    </font>
    <font>
      <b/>
      <sz val="11"/>
      <color theme="1"/>
      <name val="기아 Medium"/>
      <family val="3"/>
      <charset val="129"/>
    </font>
    <font>
      <sz val="10"/>
      <name val="기아 Medium"/>
      <family val="3"/>
      <charset val="129"/>
    </font>
    <font>
      <b/>
      <sz val="10"/>
      <color rgb="FFFF0000"/>
      <name val="기아 Light"/>
      <family val="3"/>
      <charset val="129"/>
    </font>
    <font>
      <sz val="10"/>
      <name val="기아 Medium"/>
      <family val="2"/>
      <charset val="129"/>
    </font>
    <font>
      <b/>
      <sz val="10"/>
      <color theme="0"/>
      <name val="현대산스 Text OTF"/>
      <family val="2"/>
      <charset val="129"/>
    </font>
    <font>
      <sz val="10"/>
      <color theme="1"/>
      <name val="기아 Medium"/>
      <family val="3"/>
      <charset val="129"/>
    </font>
    <font>
      <sz val="9"/>
      <name val="기아 Medium"/>
      <family val="3"/>
      <charset val="129"/>
    </font>
    <font>
      <sz val="10"/>
      <name val="IB_K820Medium"/>
      <family val="1"/>
      <charset val="129"/>
    </font>
    <font>
      <b/>
      <sz val="10"/>
      <name val="현대산스 Text"/>
      <family val="3"/>
      <charset val="129"/>
    </font>
    <font>
      <sz val="11"/>
      <name val="돋움"/>
      <family val="3"/>
      <charset val="129"/>
    </font>
    <font>
      <b/>
      <sz val="10"/>
      <color theme="1"/>
      <name val="현대산스 Text OTF"/>
      <family val="2"/>
      <charset val="129"/>
    </font>
    <font>
      <b/>
      <sz val="10"/>
      <color rgb="FFFF0000"/>
      <name val="Gulim"/>
      <family val="3"/>
      <charset val="129"/>
    </font>
    <font>
      <b/>
      <sz val="10"/>
      <color rgb="FFFF0000"/>
      <name val="기아 Medium"/>
      <family val="3"/>
      <charset val="129"/>
    </font>
    <font>
      <sz val="10"/>
      <color rgb="FF0000FF"/>
      <name val="현대산스 Text"/>
      <family val="3"/>
      <charset val="129"/>
    </font>
    <font>
      <b/>
      <sz val="10"/>
      <color theme="1"/>
      <name val="현대산스 Text"/>
      <family val="3"/>
      <charset val="129"/>
    </font>
    <font>
      <sz val="10"/>
      <name val="현대산스 Text"/>
      <family val="3"/>
      <charset val="129"/>
    </font>
    <font>
      <sz val="10"/>
      <color theme="1"/>
      <name val="현대산스 Text"/>
      <family val="3"/>
      <charset val="129"/>
    </font>
    <font>
      <sz val="8"/>
      <name val="돋움체"/>
      <family val="3"/>
      <charset val="129"/>
    </font>
    <font>
      <b/>
      <i/>
      <sz val="10"/>
      <name val="현대산스 Text OTF"/>
      <family val="2"/>
      <charset val="129"/>
    </font>
    <font>
      <sz val="10"/>
      <color rgb="FFFF0000"/>
      <name val="현대산스 Text"/>
      <family val="3"/>
      <charset val="129"/>
    </font>
    <font>
      <sz val="10"/>
      <name val="Gulim"/>
      <family val="3"/>
      <charset val="129"/>
    </font>
    <font>
      <sz val="10"/>
      <color rgb="FFFF0000"/>
      <name val="기아 Medium"/>
      <family val="3"/>
      <charset val="129"/>
    </font>
    <font>
      <b/>
      <u/>
      <sz val="10"/>
      <name val="기아 Medium"/>
      <family val="3"/>
      <charset val="129"/>
    </font>
    <font>
      <sz val="9"/>
      <color theme="1"/>
      <name val="기아 Medium"/>
      <family val="3"/>
      <charset val="129"/>
    </font>
    <font>
      <b/>
      <sz val="10"/>
      <name val="현대하모니 L"/>
      <family val="1"/>
      <charset val="129"/>
    </font>
    <font>
      <sz val="10"/>
      <name val="Modern H Light"/>
      <family val="3"/>
      <charset val="129"/>
    </font>
    <font>
      <b/>
      <sz val="10"/>
      <color theme="1"/>
      <name val="현대산스 Text OTF"/>
      <family val="2"/>
    </font>
    <font>
      <sz val="8"/>
      <color theme="1"/>
      <name val="기아 Medium"/>
      <family val="2"/>
      <charset val="129"/>
    </font>
  </fonts>
  <fills count="3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35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theme="0" tint="-0.249977111117893"/>
      </left>
      <right/>
      <top style="dotted">
        <color theme="0" tint="-0.14996795556505021"/>
      </top>
      <bottom style="dotted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 style="thin">
        <color theme="0" tint="-0.249977111117893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dotted">
        <color theme="0" tint="-0.149967955565050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14996795556505021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dotted">
        <color theme="0" tint="-0.149967955565050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dotted">
        <color theme="0" tint="-0.1499679555650502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tted">
        <color theme="0" tint="-0.149967955565050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dotted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dotted">
        <color theme="0" tint="-0.149967955565050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tted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4659260841701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thin">
        <color auto="1"/>
      </bottom>
      <diagonal/>
    </border>
    <border>
      <left/>
      <right/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2499465926084170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 style="dotted">
        <color theme="0" tint="-0.24994659260841701"/>
      </top>
      <bottom/>
      <diagonal/>
    </border>
    <border>
      <left style="thin">
        <color indexed="64"/>
      </left>
      <right/>
      <top/>
      <bottom style="dotted">
        <color theme="0" tint="-0.24994659260841701"/>
      </bottom>
      <diagonal/>
    </border>
    <border>
      <left style="thin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theme="0" tint="-0.24994659260841701"/>
      </left>
      <right/>
      <top style="dotted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dotted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dotted">
        <color theme="0" tint="-0.24994659260841701"/>
      </bottom>
      <diagonal/>
    </border>
    <border>
      <left/>
      <right/>
      <top style="medium">
        <color indexed="64"/>
      </top>
      <bottom style="dotted">
        <color theme="0" tint="-0.24994659260841701"/>
      </bottom>
      <diagonal/>
    </border>
    <border>
      <left/>
      <right style="thin">
        <color indexed="64"/>
      </right>
      <top style="medium">
        <color indexed="64"/>
      </top>
      <bottom style="dotted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dotted">
        <color theme="0" tint="-0.24994659260841701"/>
      </bottom>
      <diagonal/>
    </border>
    <border>
      <left/>
      <right style="medium">
        <color indexed="64"/>
      </right>
      <top style="dotted">
        <color theme="0" tint="-0.2499465926084170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 style="dotted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 style="dotted">
        <color theme="1" tint="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dotted">
        <color theme="0" tint="-0.24994659260841701"/>
      </bottom>
      <diagonal/>
    </border>
    <border>
      <left/>
      <right/>
      <top style="thin">
        <color theme="0" tint="-0.24994659260841701"/>
      </top>
      <bottom style="dotted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tted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dotted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dotted">
        <color theme="0" tint="-0.2499465926084170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indexed="64"/>
      </left>
      <right style="medium">
        <color auto="1"/>
      </right>
      <top style="thin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medium">
        <color auto="1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rgb="FFFF0000"/>
      </left>
      <right/>
      <top style="thick">
        <color rgb="FFFF0000"/>
      </top>
      <bottom style="medium">
        <color indexed="64"/>
      </bottom>
      <diagonal/>
    </border>
    <border>
      <left/>
      <right/>
      <top style="thick">
        <color rgb="FFFF0000"/>
      </top>
      <bottom style="medium">
        <color indexed="64"/>
      </bottom>
      <diagonal/>
    </border>
    <border>
      <left/>
      <right style="thick">
        <color rgb="FFFF0000"/>
      </right>
      <top style="thick">
        <color rgb="FFFF0000"/>
      </top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 style="thick">
        <color rgb="FFFF0000"/>
      </bottom>
      <diagonal/>
    </border>
    <border>
      <left/>
      <right/>
      <top style="medium">
        <color indexed="64"/>
      </top>
      <bottom style="thick">
        <color rgb="FFFF0000"/>
      </bottom>
      <diagonal/>
    </border>
    <border>
      <left/>
      <right style="thick">
        <color rgb="FFFF0000"/>
      </right>
      <top style="medium">
        <color indexed="64"/>
      </top>
      <bottom style="thick">
        <color rgb="FFFF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/>
      <top style="thick">
        <color rgb="FFFF0000"/>
      </top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4659260841701"/>
      </top>
      <bottom/>
      <diagonal/>
    </border>
    <border>
      <left/>
      <right style="thin">
        <color theme="0" tint="-0.249977111117893"/>
      </right>
      <top style="thin">
        <color theme="0" tint="-0.2499465926084170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dotted">
        <color theme="0" tint="-0.14996795556505021"/>
      </top>
      <bottom/>
      <diagonal/>
    </border>
    <border>
      <left style="thin">
        <color theme="0" tint="-0.249977111117893"/>
      </left>
      <right/>
      <top style="dotted">
        <color theme="0" tint="-0.14996795556505021"/>
      </top>
      <bottom/>
      <diagonal/>
    </border>
    <border>
      <left style="medium">
        <color indexed="64"/>
      </left>
      <right style="medium">
        <color indexed="64"/>
      </right>
      <top style="dotted">
        <color theme="0" tint="-0.14996795556505021"/>
      </top>
      <bottom/>
      <diagonal/>
    </border>
    <border>
      <left/>
      <right style="thin">
        <color theme="0" tint="-0.249977111117893"/>
      </right>
      <top style="dotted">
        <color theme="0" tint="-0.1499679555650502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 style="hair">
        <color theme="0"/>
      </left>
      <right/>
      <top style="hair">
        <color theme="0"/>
      </top>
      <bottom style="thin">
        <color theme="9" tint="-0.24994659260841701"/>
      </bottom>
      <diagonal/>
    </border>
    <border>
      <left/>
      <right/>
      <top style="hair">
        <color theme="0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9" tint="-0.24994659260841701"/>
      </bottom>
      <diagonal/>
    </border>
    <border>
      <left style="thin">
        <color theme="0"/>
      </left>
      <right style="thin">
        <color theme="0" tint="-0.499984740745262"/>
      </right>
      <top/>
      <bottom style="thin">
        <color theme="9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9" tint="-0.2499465926084170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9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/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24994659260841701"/>
      </bottom>
      <diagonal/>
    </border>
    <border>
      <left/>
      <right/>
      <top style="hair">
        <color theme="0" tint="-0.499984740745262"/>
      </top>
      <bottom style="hair">
        <color theme="0" tint="-0.24994659260841701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24994659260841701"/>
      </top>
      <bottom style="hair">
        <color theme="0" tint="-0.499984740745262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/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  <border>
      <left style="hair">
        <color theme="0" tint="-0.499984740745262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0" tint="-0.499984740745262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499984740745262"/>
      </left>
      <right/>
      <top style="hair">
        <color theme="0" tint="-0.24994659260841701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24994659260841701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24994659260841701"/>
      </right>
      <top style="hair">
        <color theme="0" tint="-0.499984740745262"/>
      </top>
      <bottom/>
      <diagonal/>
    </border>
    <border>
      <left style="hair">
        <color theme="0" tint="-0.24994659260841701"/>
      </left>
      <right style="thin">
        <color theme="0" tint="-0.499984740745262"/>
      </right>
      <top style="hair">
        <color theme="0" tint="-0.499984740745262"/>
      </top>
      <bottom style="hair">
        <color theme="0" tint="-0.24994659260841701"/>
      </bottom>
      <diagonal/>
    </border>
    <border>
      <left style="hair">
        <color theme="0" tint="-0.499984740745262"/>
      </left>
      <right style="hair">
        <color theme="0" tint="-0.24994659260841701"/>
      </right>
      <top/>
      <bottom style="hair">
        <color theme="0" tint="-0.499984740745262"/>
      </bottom>
      <diagonal/>
    </border>
    <border>
      <left style="hair">
        <color theme="0" tint="-0.24994659260841701"/>
      </left>
      <right style="thin">
        <color theme="0" tint="-0.499984740745262"/>
      </right>
      <top style="hair">
        <color theme="0" tint="-0.24994659260841701"/>
      </top>
      <bottom style="hair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24994659260841701"/>
      </top>
      <bottom style="thin">
        <color theme="0" tint="-0.499984740745262"/>
      </bottom>
      <diagonal/>
    </border>
    <border>
      <left style="hair">
        <color theme="0" tint="-0.24994659260841701"/>
      </left>
      <right style="thin">
        <color theme="0" tint="-0.499984740745262"/>
      </right>
      <top style="hair">
        <color theme="0" tint="-0.2499465926084170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24994659260841701"/>
      </right>
      <top style="thin">
        <color theme="0" tint="-0.499984740745262"/>
      </top>
      <bottom/>
      <diagonal/>
    </border>
    <border>
      <left style="hair">
        <color theme="0" tint="-0.24994659260841701"/>
      </left>
      <right/>
      <top style="thin">
        <color theme="0" tint="-0.499984740745262"/>
      </top>
      <bottom style="hair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24994659260841701"/>
      </bottom>
      <diagonal/>
    </border>
    <border>
      <left style="thin">
        <color theme="0" tint="-0.499984740745262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 style="hair">
        <color theme="0" tint="-0.24994659260841701"/>
      </left>
      <right style="thin">
        <color theme="0" tint="-0.499984740745262"/>
      </right>
      <top style="hair">
        <color theme="0" tint="-0.24994659260841701"/>
      </top>
      <bottom/>
      <diagonal/>
    </border>
    <border>
      <left style="thin">
        <color theme="0" tint="-0.499984740745262"/>
      </left>
      <right style="hair">
        <color theme="0" tint="-0.24994659260841701"/>
      </right>
      <top/>
      <bottom style="hair">
        <color theme="0" tint="-0.499984740745262"/>
      </bottom>
      <diagonal/>
    </border>
    <border>
      <left style="hair">
        <color theme="0" tint="-0.24994659260841701"/>
      </left>
      <right/>
      <top/>
      <bottom style="hair">
        <color theme="0" tint="-0.499984740745262"/>
      </bottom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/>
      <right style="thin">
        <color theme="0" tint="-0.499984740745262"/>
      </right>
      <top/>
      <bottom style="hair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24994659260841701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14999847407452621"/>
      </top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1" tint="0.34998626667073579"/>
      </bottom>
      <diagonal/>
    </border>
    <border>
      <left/>
      <right style="thin">
        <color indexed="64"/>
      </right>
      <top style="dotted">
        <color theme="0" tint="-0.24994659260841701"/>
      </top>
      <bottom style="dotted">
        <color theme="1" tint="0.34998626667073579"/>
      </bottom>
      <diagonal/>
    </border>
    <border>
      <left style="thin">
        <color theme="0" tint="-0.24994659260841701"/>
      </left>
      <right/>
      <top style="dotted">
        <color theme="0" tint="-0.24994659260841701"/>
      </top>
      <bottom style="dotted">
        <color theme="1" tint="0.34998626667073579"/>
      </bottom>
      <diagonal/>
    </border>
    <border>
      <left style="thin">
        <color indexed="64"/>
      </left>
      <right/>
      <top style="dotted">
        <color theme="0" tint="-0.24994659260841701"/>
      </top>
      <bottom style="medium">
        <color indexed="64"/>
      </bottom>
      <diagonal/>
    </border>
    <border>
      <left/>
      <right/>
      <top style="dotted">
        <color theme="0" tint="-0.24994659260841701"/>
      </top>
      <bottom style="medium">
        <color indexed="64"/>
      </bottom>
      <diagonal/>
    </border>
    <border>
      <left/>
      <right style="thin">
        <color indexed="64"/>
      </right>
      <top style="dotted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dotted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 style="dotted">
        <color theme="0" tint="-0.24994659260841701"/>
      </top>
      <bottom/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thick">
        <color auto="1"/>
      </bottom>
      <diagonal/>
    </border>
  </borders>
  <cellStyleXfs count="16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/>
    <xf numFmtId="0" fontId="46" fillId="0" borderId="0" applyBorder="0"/>
    <xf numFmtId="0" fontId="6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194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94" fontId="2" fillId="0" borderId="0">
      <alignment vertical="center"/>
    </xf>
    <xf numFmtId="0" fontId="82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142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>
      <alignment vertical="center"/>
    </xf>
  </cellStyleXfs>
  <cellXfs count="1614">
    <xf numFmtId="0" fontId="0" fillId="0" borderId="0" xfId="0">
      <alignment vertical="center"/>
    </xf>
    <xf numFmtId="41" fontId="4" fillId="0" borderId="7" xfId="1" applyFont="1" applyBorder="1" applyAlignment="1">
      <alignment horizontal="left" vertical="center"/>
    </xf>
    <xf numFmtId="41" fontId="4" fillId="0" borderId="8" xfId="1" applyFont="1" applyBorder="1" applyAlignment="1">
      <alignment horizontal="left" vertical="center"/>
    </xf>
    <xf numFmtId="0" fontId="4" fillId="0" borderId="10" xfId="0" applyFont="1" applyBorder="1" applyAlignment="1">
      <alignment horizontal="right" vertical="center"/>
    </xf>
    <xf numFmtId="41" fontId="4" fillId="0" borderId="11" xfId="1" applyFont="1" applyBorder="1" applyAlignment="1">
      <alignment horizontal="left" vertical="center"/>
    </xf>
    <xf numFmtId="41" fontId="4" fillId="0" borderId="12" xfId="1" applyFont="1" applyBorder="1" applyAlignment="1">
      <alignment horizontal="left" vertical="center"/>
    </xf>
    <xf numFmtId="41" fontId="4" fillId="0" borderId="13" xfId="1" applyFont="1" applyBorder="1" applyAlignment="1">
      <alignment horizontal="left" vertical="center"/>
    </xf>
    <xf numFmtId="176" fontId="4" fillId="0" borderId="10" xfId="2" applyNumberFormat="1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41" fontId="4" fillId="0" borderId="15" xfId="1" applyFont="1" applyBorder="1" applyAlignment="1">
      <alignment horizontal="left" vertical="center"/>
    </xf>
    <xf numFmtId="41" fontId="4" fillId="0" borderId="16" xfId="1" applyFont="1" applyBorder="1" applyAlignment="1">
      <alignment horizontal="left" vertical="center"/>
    </xf>
    <xf numFmtId="41" fontId="4" fillId="0" borderId="17" xfId="1" applyFont="1" applyBorder="1" applyAlignment="1">
      <alignment horizontal="left" vertical="center"/>
    </xf>
    <xf numFmtId="176" fontId="4" fillId="0" borderId="14" xfId="2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41" fontId="4" fillId="0" borderId="2" xfId="1" applyFont="1" applyBorder="1" applyAlignment="1">
      <alignment horizontal="left" vertical="center"/>
    </xf>
    <xf numFmtId="41" fontId="4" fillId="0" borderId="19" xfId="1" applyFont="1" applyBorder="1" applyAlignment="1">
      <alignment horizontal="left" vertical="center"/>
    </xf>
    <xf numFmtId="41" fontId="4" fillId="0" borderId="4" xfId="1" applyFont="1" applyBorder="1" applyAlignment="1">
      <alignment horizontal="left" vertical="center"/>
    </xf>
    <xf numFmtId="176" fontId="4" fillId="0" borderId="1" xfId="2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right" vertical="center"/>
    </xf>
    <xf numFmtId="41" fontId="4" fillId="0" borderId="21" xfId="1" applyFont="1" applyBorder="1" applyAlignment="1">
      <alignment horizontal="left" vertical="center"/>
    </xf>
    <xf numFmtId="41" fontId="4" fillId="0" borderId="22" xfId="1" applyFont="1" applyBorder="1" applyAlignment="1">
      <alignment horizontal="left" vertical="center"/>
    </xf>
    <xf numFmtId="41" fontId="4" fillId="0" borderId="23" xfId="1" applyFont="1" applyBorder="1" applyAlignment="1">
      <alignment horizontal="left" vertical="center"/>
    </xf>
    <xf numFmtId="41" fontId="4" fillId="3" borderId="12" xfId="1" applyFont="1" applyFill="1" applyBorder="1" applyAlignment="1">
      <alignment horizontal="left" vertical="center"/>
    </xf>
    <xf numFmtId="41" fontId="4" fillId="0" borderId="11" xfId="1" applyFont="1" applyFill="1" applyBorder="1" applyAlignment="1">
      <alignment horizontal="left" vertical="center"/>
    </xf>
    <xf numFmtId="41" fontId="4" fillId="0" borderId="10" xfId="1" applyFont="1" applyBorder="1" applyAlignment="1">
      <alignment horizontal="right" vertical="center"/>
    </xf>
    <xf numFmtId="41" fontId="4" fillId="0" borderId="1" xfId="1" applyFont="1" applyBorder="1" applyAlignment="1">
      <alignment horizontal="center" vertical="center"/>
    </xf>
    <xf numFmtId="41" fontId="4" fillId="0" borderId="27" xfId="1" applyFont="1" applyBorder="1" applyAlignment="1">
      <alignment horizontal="left" vertical="center"/>
    </xf>
    <xf numFmtId="41" fontId="4" fillId="0" borderId="25" xfId="1" applyFont="1" applyBorder="1" applyAlignment="1">
      <alignment horizontal="left" vertical="center"/>
    </xf>
    <xf numFmtId="177" fontId="4" fillId="0" borderId="4" xfId="1" applyNumberFormat="1" applyFont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center" vertical="center"/>
    </xf>
    <xf numFmtId="41" fontId="6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8" fillId="0" borderId="0" xfId="0" applyFont="1" applyAlignment="1">
      <alignment horizontal="center" vertical="center"/>
    </xf>
    <xf numFmtId="41" fontId="11" fillId="0" borderId="0" xfId="1" applyFont="1">
      <alignment vertical="center"/>
    </xf>
    <xf numFmtId="41" fontId="0" fillId="0" borderId="0" xfId="1" applyFont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41" fontId="15" fillId="0" borderId="0" xfId="1" applyFont="1" applyFill="1" applyBorder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176" fontId="4" fillId="0" borderId="5" xfId="2" applyNumberFormat="1" applyFont="1" applyBorder="1" applyAlignment="1">
      <alignment horizontal="right" vertical="center"/>
    </xf>
    <xf numFmtId="41" fontId="4" fillId="0" borderId="59" xfId="1" applyFont="1" applyFill="1" applyBorder="1" applyAlignment="1">
      <alignment horizontal="left" vertical="center"/>
    </xf>
    <xf numFmtId="41" fontId="4" fillId="0" borderId="60" xfId="1" applyFont="1" applyBorder="1" applyAlignment="1">
      <alignment horizontal="left" vertical="center"/>
    </xf>
    <xf numFmtId="41" fontId="4" fillId="0" borderId="61" xfId="1" applyFont="1" applyBorder="1" applyAlignment="1">
      <alignment horizontal="left" vertical="center"/>
    </xf>
    <xf numFmtId="176" fontId="4" fillId="0" borderId="62" xfId="2" applyNumberFormat="1" applyFont="1" applyBorder="1" applyAlignment="1">
      <alignment horizontal="right" vertical="center"/>
    </xf>
    <xf numFmtId="177" fontId="4" fillId="0" borderId="8" xfId="1" applyNumberFormat="1" applyFont="1" applyBorder="1" applyAlignment="1">
      <alignment horizontal="left" vertical="center"/>
    </xf>
    <xf numFmtId="41" fontId="4" fillId="0" borderId="26" xfId="1" applyFont="1" applyBorder="1" applyAlignment="1">
      <alignment horizontal="left" vertical="center"/>
    </xf>
    <xf numFmtId="41" fontId="4" fillId="0" borderId="0" xfId="1" applyFont="1" applyBorder="1" applyAlignment="1">
      <alignment horizontal="left" vertical="center"/>
    </xf>
    <xf numFmtId="41" fontId="4" fillId="0" borderId="3" xfId="1" applyFont="1" applyBorder="1" applyAlignment="1">
      <alignment horizontal="left" vertical="center"/>
    </xf>
    <xf numFmtId="41" fontId="4" fillId="0" borderId="0" xfId="1" applyFont="1" applyBorder="1" applyAlignment="1">
      <alignment horizontal="right" vertical="center"/>
    </xf>
    <xf numFmtId="0" fontId="0" fillId="0" borderId="63" xfId="0" applyBorder="1" applyAlignment="1">
      <alignment horizontal="left" vertical="center"/>
    </xf>
    <xf numFmtId="41" fontId="4" fillId="0" borderId="63" xfId="1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0" fontId="0" fillId="0" borderId="63" xfId="0" applyBorder="1">
      <alignment vertical="center"/>
    </xf>
    <xf numFmtId="0" fontId="4" fillId="0" borderId="63" xfId="1" applyNumberFormat="1" applyFont="1" applyBorder="1" applyAlignment="1">
      <alignment horizontal="left" vertical="center"/>
    </xf>
    <xf numFmtId="0" fontId="11" fillId="4" borderId="63" xfId="0" applyFont="1" applyFill="1" applyBorder="1" applyAlignment="1">
      <alignment horizontal="center" vertical="center"/>
    </xf>
    <xf numFmtId="41" fontId="3" fillId="4" borderId="63" xfId="1" applyFont="1" applyFill="1" applyBorder="1" applyAlignment="1">
      <alignment horizontal="center" vertical="center"/>
    </xf>
    <xf numFmtId="0" fontId="3" fillId="4" borderId="63" xfId="0" applyFont="1" applyFill="1" applyBorder="1" applyAlignment="1">
      <alignment horizontal="center" vertical="center"/>
    </xf>
    <xf numFmtId="41" fontId="11" fillId="4" borderId="63" xfId="0" applyNumberFormat="1" applyFont="1" applyFill="1" applyBorder="1" applyAlignment="1">
      <alignment horizontal="center" vertical="center"/>
    </xf>
    <xf numFmtId="41" fontId="4" fillId="0" borderId="20" xfId="1" applyFont="1" applyBorder="1" applyAlignment="1">
      <alignment horizontal="right" vertical="center"/>
    </xf>
    <xf numFmtId="41" fontId="3" fillId="4" borderId="63" xfId="1" applyFont="1" applyFill="1" applyBorder="1" applyAlignment="1">
      <alignment horizontal="left" vertical="center"/>
    </xf>
    <xf numFmtId="41" fontId="3" fillId="4" borderId="6" xfId="1" applyFont="1" applyFill="1" applyBorder="1" applyAlignment="1">
      <alignment horizontal="left" vertical="center"/>
    </xf>
    <xf numFmtId="41" fontId="4" fillId="0" borderId="28" xfId="1" applyFont="1" applyFill="1" applyBorder="1">
      <alignment vertical="center"/>
    </xf>
    <xf numFmtId="0" fontId="3" fillId="5" borderId="28" xfId="0" applyFont="1" applyFill="1" applyBorder="1" applyAlignment="1">
      <alignment horizontal="center" vertical="center"/>
    </xf>
    <xf numFmtId="41" fontId="17" fillId="0" borderId="23" xfId="1" applyFont="1" applyBorder="1" applyAlignment="1">
      <alignment horizontal="left" vertical="center"/>
    </xf>
    <xf numFmtId="176" fontId="4" fillId="0" borderId="0" xfId="2" applyNumberFormat="1" applyFont="1" applyBorder="1" applyAlignment="1">
      <alignment horizontal="right" vertical="center"/>
    </xf>
    <xf numFmtId="41" fontId="4" fillId="0" borderId="0" xfId="1" applyFont="1" applyFill="1" applyBorder="1" applyAlignment="1">
      <alignment horizontal="left" vertical="center"/>
    </xf>
    <xf numFmtId="176" fontId="4" fillId="0" borderId="0" xfId="2" applyNumberFormat="1" applyFont="1" applyFill="1" applyBorder="1" applyAlignment="1">
      <alignment horizontal="right" vertical="center"/>
    </xf>
    <xf numFmtId="0" fontId="19" fillId="0" borderId="0" xfId="0" applyFont="1">
      <alignment vertical="center"/>
    </xf>
    <xf numFmtId="0" fontId="8" fillId="0" borderId="0" xfId="0" applyFont="1">
      <alignment vertical="center"/>
    </xf>
    <xf numFmtId="0" fontId="8" fillId="0" borderId="28" xfId="0" applyFont="1" applyBorder="1" applyAlignment="1">
      <alignment horizontal="center" vertical="center"/>
    </xf>
    <xf numFmtId="41" fontId="8" fillId="0" borderId="28" xfId="1" applyFont="1" applyBorder="1" applyAlignment="1">
      <alignment horizontal="center" vertical="center"/>
    </xf>
    <xf numFmtId="41" fontId="4" fillId="0" borderId="28" xfId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1" fontId="4" fillId="0" borderId="28" xfId="1" applyFont="1" applyBorder="1" applyAlignment="1">
      <alignment horizontal="center" vertical="center"/>
    </xf>
    <xf numFmtId="41" fontId="4" fillId="7" borderId="28" xfId="0" applyNumberFormat="1" applyFont="1" applyFill="1" applyBorder="1" applyAlignment="1">
      <alignment horizontal="center" vertical="center"/>
    </xf>
    <xf numFmtId="181" fontId="8" fillId="0" borderId="0" xfId="0" applyNumberFormat="1" applyFont="1">
      <alignment vertical="center"/>
    </xf>
    <xf numFmtId="0" fontId="6" fillId="0" borderId="0" xfId="0" applyFont="1">
      <alignment vertical="center"/>
    </xf>
    <xf numFmtId="14" fontId="13" fillId="0" borderId="0" xfId="0" applyNumberFormat="1" applyFont="1">
      <alignment vertical="center"/>
    </xf>
    <xf numFmtId="0" fontId="25" fillId="0" borderId="0" xfId="0" applyFont="1">
      <alignment vertical="center"/>
    </xf>
    <xf numFmtId="0" fontId="11" fillId="0" borderId="0" xfId="0" applyFont="1">
      <alignment vertical="center"/>
    </xf>
    <xf numFmtId="0" fontId="11" fillId="0" borderId="85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52" xfId="0" applyFont="1" applyBorder="1">
      <alignment vertical="center"/>
    </xf>
    <xf numFmtId="0" fontId="26" fillId="6" borderId="66" xfId="0" applyFont="1" applyFill="1" applyBorder="1" applyAlignment="1">
      <alignment vertical="center" wrapText="1"/>
    </xf>
    <xf numFmtId="0" fontId="26" fillId="6" borderId="41" xfId="0" applyFont="1" applyFill="1" applyBorder="1" applyAlignment="1">
      <alignment vertical="center" wrapText="1"/>
    </xf>
    <xf numFmtId="0" fontId="26" fillId="6" borderId="38" xfId="0" applyFont="1" applyFill="1" applyBorder="1" applyAlignment="1">
      <alignment vertical="center" wrapText="1"/>
    </xf>
    <xf numFmtId="0" fontId="26" fillId="6" borderId="0" xfId="0" applyFont="1" applyFill="1" applyAlignment="1">
      <alignment vertical="center" wrapText="1"/>
    </xf>
    <xf numFmtId="0" fontId="25" fillId="0" borderId="0" xfId="0" applyFont="1" applyAlignment="1">
      <alignment vertical="top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41" fontId="8" fillId="7" borderId="28" xfId="1" applyFont="1" applyFill="1" applyBorder="1" applyAlignment="1">
      <alignment horizontal="center" vertical="center" wrapText="1"/>
    </xf>
    <xf numFmtId="0" fontId="8" fillId="7" borderId="28" xfId="0" applyFont="1" applyFill="1" applyBorder="1" applyAlignment="1">
      <alignment horizontal="center" vertical="center" wrapText="1"/>
    </xf>
    <xf numFmtId="41" fontId="8" fillId="7" borderId="28" xfId="1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 wrapText="1"/>
    </xf>
    <xf numFmtId="41" fontId="4" fillId="7" borderId="28" xfId="1" applyFont="1" applyFill="1" applyBorder="1" applyAlignment="1">
      <alignment horizontal="center" vertical="center" wrapText="1"/>
    </xf>
    <xf numFmtId="0" fontId="31" fillId="0" borderId="41" xfId="0" applyFont="1" applyBorder="1">
      <alignment vertical="center"/>
    </xf>
    <xf numFmtId="0" fontId="30" fillId="0" borderId="0" xfId="0" applyFont="1">
      <alignment vertical="center"/>
    </xf>
    <xf numFmtId="10" fontId="4" fillId="0" borderId="37" xfId="0" applyNumberFormat="1" applyFont="1" applyBorder="1" applyAlignment="1">
      <alignment horizontal="center" vertical="center"/>
    </xf>
    <xf numFmtId="41" fontId="5" fillId="0" borderId="65" xfId="1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41" fontId="5" fillId="0" borderId="53" xfId="1" applyFont="1" applyFill="1" applyBorder="1" applyAlignment="1">
      <alignment horizontal="center" vertical="center"/>
    </xf>
    <xf numFmtId="41" fontId="5" fillId="0" borderId="64" xfId="1" applyFont="1" applyFill="1" applyBorder="1" applyAlignment="1">
      <alignment horizontal="left" vertical="center"/>
    </xf>
    <xf numFmtId="41" fontId="5" fillId="0" borderId="65" xfId="1" applyFont="1" applyFill="1" applyBorder="1" applyAlignment="1">
      <alignment horizontal="left" vertical="center"/>
    </xf>
    <xf numFmtId="41" fontId="5" fillId="0" borderId="53" xfId="1" applyFont="1" applyFill="1" applyBorder="1" applyAlignment="1">
      <alignment horizontal="left" vertical="center"/>
    </xf>
    <xf numFmtId="179" fontId="11" fillId="4" borderId="6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10" fontId="3" fillId="4" borderId="10" xfId="2" applyNumberFormat="1" applyFont="1" applyFill="1" applyBorder="1" applyAlignment="1">
      <alignment horizontal="right" vertical="center"/>
    </xf>
    <xf numFmtId="0" fontId="12" fillId="4" borderId="28" xfId="0" applyFont="1" applyFill="1" applyBorder="1" applyAlignment="1">
      <alignment horizontal="center" vertical="center"/>
    </xf>
    <xf numFmtId="41" fontId="0" fillId="0" borderId="28" xfId="1" applyFont="1" applyBorder="1">
      <alignment vertical="center"/>
    </xf>
    <xf numFmtId="10" fontId="0" fillId="0" borderId="28" xfId="0" applyNumberFormat="1" applyBorder="1">
      <alignment vertical="center"/>
    </xf>
    <xf numFmtId="41" fontId="11" fillId="0" borderId="28" xfId="1" applyFont="1" applyBorder="1">
      <alignment vertical="center"/>
    </xf>
    <xf numFmtId="0" fontId="0" fillId="0" borderId="28" xfId="0" applyBorder="1" applyAlignment="1">
      <alignment horizontal="center" vertical="center"/>
    </xf>
    <xf numFmtId="10" fontId="11" fillId="0" borderId="28" xfId="0" applyNumberFormat="1" applyFont="1" applyBorder="1">
      <alignment vertical="center"/>
    </xf>
    <xf numFmtId="0" fontId="11" fillId="9" borderId="28" xfId="0" applyFont="1" applyFill="1" applyBorder="1" applyAlignment="1">
      <alignment horizontal="center" vertical="center"/>
    </xf>
    <xf numFmtId="41" fontId="11" fillId="9" borderId="28" xfId="1" applyFont="1" applyFill="1" applyBorder="1">
      <alignment vertical="center"/>
    </xf>
    <xf numFmtId="41" fontId="11" fillId="0" borderId="116" xfId="1" applyFont="1" applyFill="1" applyBorder="1">
      <alignment vertical="center"/>
    </xf>
    <xf numFmtId="10" fontId="11" fillId="0" borderId="116" xfId="0" applyNumberFormat="1" applyFont="1" applyBorder="1">
      <alignment vertical="center"/>
    </xf>
    <xf numFmtId="41" fontId="0" fillId="0" borderId="65" xfId="0" applyNumberFormat="1" applyBorder="1">
      <alignment vertical="center"/>
    </xf>
    <xf numFmtId="41" fontId="0" fillId="0" borderId="65" xfId="1" applyFont="1" applyFill="1" applyBorder="1">
      <alignment vertical="center"/>
    </xf>
    <xf numFmtId="10" fontId="3" fillId="0" borderId="0" xfId="2" applyNumberFormat="1" applyFont="1">
      <alignment vertical="center"/>
    </xf>
    <xf numFmtId="0" fontId="0" fillId="0" borderId="117" xfId="0" applyBorder="1" applyAlignment="1">
      <alignment horizontal="center" vertical="center"/>
    </xf>
    <xf numFmtId="41" fontId="0" fillId="0" borderId="118" xfId="1" applyFont="1" applyBorder="1">
      <alignment vertical="center"/>
    </xf>
    <xf numFmtId="41" fontId="0" fillId="0" borderId="119" xfId="1" applyFont="1" applyBorder="1">
      <alignment vertical="center"/>
    </xf>
    <xf numFmtId="41" fontId="0" fillId="0" borderId="120" xfId="1" applyFont="1" applyBorder="1">
      <alignment vertical="center"/>
    </xf>
    <xf numFmtId="41" fontId="0" fillId="0" borderId="120" xfId="0" applyNumberFormat="1" applyBorder="1">
      <alignment vertical="center"/>
    </xf>
    <xf numFmtId="0" fontId="0" fillId="0" borderId="121" xfId="0" applyBorder="1" applyAlignment="1">
      <alignment horizontal="center" vertical="center"/>
    </xf>
    <xf numFmtId="41" fontId="0" fillId="0" borderId="122" xfId="1" applyFont="1" applyBorder="1">
      <alignment vertical="center"/>
    </xf>
    <xf numFmtId="41" fontId="0" fillId="0" borderId="123" xfId="1" applyFont="1" applyBorder="1">
      <alignment vertical="center"/>
    </xf>
    <xf numFmtId="41" fontId="0" fillId="0" borderId="124" xfId="1" applyFont="1" applyBorder="1">
      <alignment vertical="center"/>
    </xf>
    <xf numFmtId="0" fontId="0" fillId="0" borderId="125" xfId="0" applyBorder="1" applyAlignment="1">
      <alignment horizontal="center" vertical="center"/>
    </xf>
    <xf numFmtId="41" fontId="0" fillId="0" borderId="126" xfId="1" applyFont="1" applyBorder="1">
      <alignment vertical="center"/>
    </xf>
    <xf numFmtId="41" fontId="0" fillId="0" borderId="127" xfId="1" applyFont="1" applyBorder="1">
      <alignment vertical="center"/>
    </xf>
    <xf numFmtId="41" fontId="0" fillId="0" borderId="128" xfId="1" applyFont="1" applyBorder="1">
      <alignment vertical="center"/>
    </xf>
    <xf numFmtId="41" fontId="0" fillId="0" borderId="65" xfId="1" applyFont="1" applyBorder="1">
      <alignment vertical="center"/>
    </xf>
    <xf numFmtId="185" fontId="0" fillId="0" borderId="65" xfId="1" applyNumberFormat="1" applyFont="1" applyBorder="1">
      <alignment vertical="center"/>
    </xf>
    <xf numFmtId="43" fontId="0" fillId="0" borderId="65" xfId="1" applyNumberFormat="1" applyFont="1" applyBorder="1">
      <alignment vertical="center"/>
    </xf>
    <xf numFmtId="41" fontId="11" fillId="9" borderId="28" xfId="1" applyFont="1" applyFill="1" applyBorder="1" applyAlignment="1">
      <alignment horizontal="center" vertical="center"/>
    </xf>
    <xf numFmtId="41" fontId="11" fillId="0" borderId="118" xfId="0" applyNumberFormat="1" applyFont="1" applyBorder="1">
      <alignment vertical="center"/>
    </xf>
    <xf numFmtId="177" fontId="3" fillId="0" borderId="0" xfId="1" applyNumberFormat="1" applyFont="1" applyFill="1" applyBorder="1" applyAlignment="1">
      <alignment horizontal="center" vertical="center"/>
    </xf>
    <xf numFmtId="0" fontId="6" fillId="0" borderId="50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41" fontId="0" fillId="0" borderId="29" xfId="1" applyFont="1" applyBorder="1">
      <alignment vertical="center"/>
    </xf>
    <xf numFmtId="41" fontId="11" fillId="9" borderId="29" xfId="1" applyFont="1" applyFill="1" applyBorder="1">
      <alignment vertical="center"/>
    </xf>
    <xf numFmtId="10" fontId="0" fillId="0" borderId="29" xfId="0" applyNumberFormat="1" applyBorder="1">
      <alignment vertical="center"/>
    </xf>
    <xf numFmtId="10" fontId="11" fillId="0" borderId="29" xfId="0" applyNumberFormat="1" applyFont="1" applyBorder="1">
      <alignment vertical="center"/>
    </xf>
    <xf numFmtId="0" fontId="0" fillId="0" borderId="129" xfId="0" applyBorder="1" applyAlignment="1">
      <alignment horizontal="center" vertical="center"/>
    </xf>
    <xf numFmtId="41" fontId="0" fillId="0" borderId="130" xfId="1" applyFont="1" applyBorder="1">
      <alignment vertical="center"/>
    </xf>
    <xf numFmtId="41" fontId="0" fillId="0" borderId="131" xfId="1" applyFont="1" applyBorder="1">
      <alignment vertical="center"/>
    </xf>
    <xf numFmtId="41" fontId="0" fillId="0" borderId="132" xfId="1" applyFont="1" applyBorder="1">
      <alignment vertical="center"/>
    </xf>
    <xf numFmtId="41" fontId="11" fillId="0" borderId="130" xfId="0" applyNumberFormat="1" applyFont="1" applyBorder="1">
      <alignment vertical="center"/>
    </xf>
    <xf numFmtId="41" fontId="0" fillId="0" borderId="132" xfId="0" applyNumberFormat="1" applyBorder="1">
      <alignment vertical="center"/>
    </xf>
    <xf numFmtId="184" fontId="11" fillId="0" borderId="28" xfId="1" applyNumberFormat="1" applyFont="1" applyBorder="1">
      <alignment vertical="center"/>
    </xf>
    <xf numFmtId="41" fontId="11" fillId="0" borderId="28" xfId="0" applyNumberFormat="1" applyFont="1" applyBorder="1">
      <alignment vertical="center"/>
    </xf>
    <xf numFmtId="184" fontId="11" fillId="0" borderId="28" xfId="0" applyNumberFormat="1" applyFont="1" applyBorder="1">
      <alignment vertical="center"/>
    </xf>
    <xf numFmtId="0" fontId="16" fillId="0" borderId="0" xfId="0" applyFont="1">
      <alignment vertical="center"/>
    </xf>
    <xf numFmtId="0" fontId="33" fillId="0" borderId="0" xfId="0" applyFont="1" applyAlignment="1">
      <alignment horizontal="center" vertical="center"/>
    </xf>
    <xf numFmtId="9" fontId="7" fillId="0" borderId="0" xfId="2" applyFont="1" applyFill="1" applyBorder="1" applyAlignment="1" applyProtection="1">
      <alignment horizontal="center" vertical="center"/>
      <protection locked="0"/>
    </xf>
    <xf numFmtId="41" fontId="7" fillId="0" borderId="0" xfId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0" fillId="6" borderId="0" xfId="0" applyFill="1">
      <alignment vertical="center"/>
    </xf>
    <xf numFmtId="0" fontId="9" fillId="6" borderId="28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6" fillId="0" borderId="0" xfId="0" applyFont="1">
      <alignment vertical="center"/>
    </xf>
    <xf numFmtId="0" fontId="8" fillId="0" borderId="31" xfId="0" applyFont="1" applyBorder="1">
      <alignment vertical="center"/>
    </xf>
    <xf numFmtId="0" fontId="8" fillId="0" borderId="143" xfId="0" applyFont="1" applyBorder="1">
      <alignment vertical="center"/>
    </xf>
    <xf numFmtId="0" fontId="8" fillId="0" borderId="146" xfId="0" applyFont="1" applyBorder="1">
      <alignment vertical="center"/>
    </xf>
    <xf numFmtId="41" fontId="11" fillId="0" borderId="139" xfId="0" applyNumberFormat="1" applyFont="1" applyBorder="1">
      <alignment vertical="center"/>
    </xf>
    <xf numFmtId="41" fontId="11" fillId="0" borderId="142" xfId="0" applyNumberFormat="1" applyFont="1" applyBorder="1">
      <alignment vertical="center"/>
    </xf>
    <xf numFmtId="0" fontId="0" fillId="10" borderId="28" xfId="0" applyFill="1" applyBorder="1">
      <alignment vertical="center"/>
    </xf>
    <xf numFmtId="0" fontId="38" fillId="10" borderId="28" xfId="0" applyFont="1" applyFill="1" applyBorder="1" applyAlignment="1">
      <alignment horizontal="left" vertical="center"/>
    </xf>
    <xf numFmtId="41" fontId="8" fillId="2" borderId="139" xfId="0" applyNumberFormat="1" applyFont="1" applyFill="1" applyBorder="1">
      <alignment vertical="center"/>
    </xf>
    <xf numFmtId="41" fontId="8" fillId="2" borderId="142" xfId="0" applyNumberFormat="1" applyFont="1" applyFill="1" applyBorder="1">
      <alignment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2" xfId="0" applyFont="1" applyFill="1" applyBorder="1" applyAlignment="1">
      <alignment horizontal="center" vertical="center"/>
    </xf>
    <xf numFmtId="0" fontId="9" fillId="6" borderId="64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7" xfId="1" applyNumberFormat="1" applyFont="1" applyFill="1" applyBorder="1" applyAlignment="1">
      <alignment horizontal="center" vertical="center"/>
    </xf>
    <xf numFmtId="0" fontId="47" fillId="0" borderId="0" xfId="0" applyFont="1">
      <alignment vertical="center"/>
    </xf>
    <xf numFmtId="41" fontId="17" fillId="0" borderId="13" xfId="1" applyFont="1" applyBorder="1" applyAlignment="1">
      <alignment horizontal="left" vertical="center"/>
    </xf>
    <xf numFmtId="0" fontId="9" fillId="0" borderId="30" xfId="0" quotePrefix="1" applyFont="1" applyBorder="1" applyAlignment="1">
      <alignment horizontal="center" vertical="center"/>
    </xf>
    <xf numFmtId="0" fontId="9" fillId="0" borderId="30" xfId="0" quotePrefix="1" applyFont="1" applyBorder="1" applyAlignment="1">
      <alignment horizontal="left" vertical="center"/>
    </xf>
    <xf numFmtId="177" fontId="48" fillId="0" borderId="13" xfId="1" applyNumberFormat="1" applyFont="1" applyBorder="1" applyAlignment="1">
      <alignment horizontal="left" vertical="center"/>
    </xf>
    <xf numFmtId="41" fontId="0" fillId="2" borderId="157" xfId="0" applyNumberFormat="1" applyFill="1" applyBorder="1" applyAlignment="1">
      <alignment horizontal="center" vertical="center"/>
    </xf>
    <xf numFmtId="41" fontId="0" fillId="2" borderId="115" xfId="0" applyNumberFormat="1" applyFill="1" applyBorder="1" applyAlignment="1">
      <alignment horizontal="center" vertical="center"/>
    </xf>
    <xf numFmtId="41" fontId="8" fillId="2" borderId="115" xfId="0" applyNumberFormat="1" applyFont="1" applyFill="1" applyBorder="1" applyAlignment="1">
      <alignment horizontal="center" vertical="center"/>
    </xf>
    <xf numFmtId="41" fontId="8" fillId="2" borderId="136" xfId="0" applyNumberFormat="1" applyFont="1" applyFill="1" applyBorder="1" applyAlignment="1">
      <alignment horizontal="center" vertical="center"/>
    </xf>
    <xf numFmtId="41" fontId="8" fillId="2" borderId="133" xfId="0" applyNumberFormat="1" applyFont="1" applyFill="1" applyBorder="1" applyAlignment="1">
      <alignment horizontal="center" vertical="center"/>
    </xf>
    <xf numFmtId="41" fontId="8" fillId="2" borderId="135" xfId="0" applyNumberFormat="1" applyFont="1" applyFill="1" applyBorder="1" applyAlignment="1">
      <alignment horizontal="center" vertical="center"/>
    </xf>
    <xf numFmtId="41" fontId="4" fillId="0" borderId="29" xfId="1" applyFont="1" applyFill="1" applyBorder="1" applyAlignment="1">
      <alignment horizontal="left" vertical="center"/>
    </xf>
    <xf numFmtId="41" fontId="4" fillId="0" borderId="116" xfId="1" applyFont="1" applyFill="1" applyBorder="1" applyAlignment="1">
      <alignment horizontal="left" vertical="center"/>
    </xf>
    <xf numFmtId="41" fontId="4" fillId="0" borderId="149" xfId="1" applyFont="1" applyFill="1" applyBorder="1" applyAlignment="1">
      <alignment horizontal="right" vertical="center"/>
    </xf>
    <xf numFmtId="41" fontId="49" fillId="0" borderId="13" xfId="1" applyFont="1" applyBorder="1" applyAlignment="1">
      <alignment horizontal="left" vertical="center"/>
    </xf>
    <xf numFmtId="0" fontId="44" fillId="0" borderId="0" xfId="0" applyFont="1" applyProtection="1">
      <alignment vertical="center"/>
      <protection locked="0"/>
    </xf>
    <xf numFmtId="9" fontId="6" fillId="0" borderId="0" xfId="0" applyNumberFormat="1" applyFont="1" applyAlignment="1">
      <alignment horizontal="center" vertical="center"/>
    </xf>
    <xf numFmtId="41" fontId="6" fillId="0" borderId="28" xfId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84" fontId="3" fillId="4" borderId="63" xfId="1" applyNumberFormat="1" applyFont="1" applyFill="1" applyBorder="1" applyAlignment="1">
      <alignment horizontal="center" vertical="center"/>
    </xf>
    <xf numFmtId="41" fontId="6" fillId="0" borderId="28" xfId="1" applyFont="1" applyFill="1" applyBorder="1" applyAlignment="1">
      <alignment horizontal="center" vertical="center"/>
    </xf>
    <xf numFmtId="14" fontId="45" fillId="0" borderId="0" xfId="0" applyNumberFormat="1" applyFont="1">
      <alignment vertical="center"/>
    </xf>
    <xf numFmtId="191" fontId="26" fillId="6" borderId="32" xfId="0" applyNumberFormat="1" applyFont="1" applyFill="1" applyBorder="1" applyAlignment="1">
      <alignment horizontal="center" vertical="center"/>
    </xf>
    <xf numFmtId="0" fontId="45" fillId="0" borderId="0" xfId="0" applyFont="1">
      <alignment vertical="center"/>
    </xf>
    <xf numFmtId="0" fontId="7" fillId="0" borderId="28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41" fontId="4" fillId="0" borderId="6" xfId="1" applyFont="1" applyBorder="1" applyAlignment="1">
      <alignment horizontal="left" vertical="center"/>
    </xf>
    <xf numFmtId="0" fontId="4" fillId="0" borderId="24" xfId="0" applyFont="1" applyBorder="1" applyAlignment="1">
      <alignment horizontal="right" vertical="center"/>
    </xf>
    <xf numFmtId="41" fontId="4" fillId="0" borderId="9" xfId="1" applyFont="1" applyBorder="1" applyAlignment="1">
      <alignment horizontal="left" vertical="center"/>
    </xf>
    <xf numFmtId="41" fontId="0" fillId="7" borderId="0" xfId="1" applyFont="1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/>
    </xf>
    <xf numFmtId="0" fontId="0" fillId="7" borderId="0" xfId="1" applyNumberFormat="1" applyFont="1" applyFill="1" applyAlignment="1">
      <alignment horizontal="left" vertical="center"/>
    </xf>
    <xf numFmtId="0" fontId="0" fillId="7" borderId="0" xfId="1" applyNumberFormat="1" applyFont="1" applyFill="1">
      <alignment vertical="center"/>
    </xf>
    <xf numFmtId="0" fontId="51" fillId="0" borderId="0" xfId="0" applyFont="1">
      <alignment vertical="center"/>
    </xf>
    <xf numFmtId="0" fontId="44" fillId="7" borderId="0" xfId="0" applyFont="1" applyFill="1">
      <alignment vertical="center"/>
    </xf>
    <xf numFmtId="9" fontId="44" fillId="7" borderId="0" xfId="2" applyFont="1" applyFill="1" applyBorder="1" applyAlignment="1">
      <alignment vertical="center"/>
    </xf>
    <xf numFmtId="0" fontId="45" fillId="7" borderId="0" xfId="0" applyFont="1" applyFill="1">
      <alignment vertical="center"/>
    </xf>
    <xf numFmtId="0" fontId="29" fillId="7" borderId="0" xfId="0" applyFont="1" applyFill="1">
      <alignment vertical="center"/>
    </xf>
    <xf numFmtId="0" fontId="11" fillId="0" borderId="142" xfId="0" applyFont="1" applyBorder="1" applyAlignment="1">
      <alignment horizontal="center" vertical="center"/>
    </xf>
    <xf numFmtId="41" fontId="0" fillId="0" borderId="0" xfId="0" applyNumberFormat="1">
      <alignment vertical="center"/>
    </xf>
    <xf numFmtId="41" fontId="53" fillId="0" borderId="0" xfId="1" applyFont="1" applyFill="1" applyBorder="1" applyAlignment="1">
      <alignment horizontal="left" vertical="center"/>
    </xf>
    <xf numFmtId="41" fontId="30" fillId="0" borderId="0" xfId="1" applyFont="1" applyFill="1" applyBorder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56" fillId="7" borderId="0" xfId="0" applyFont="1" applyFill="1" applyAlignment="1">
      <alignment horizontal="left" vertical="center"/>
    </xf>
    <xf numFmtId="14" fontId="57" fillId="7" borderId="0" xfId="0" applyNumberFormat="1" applyFont="1" applyFill="1" applyAlignment="1">
      <alignment horizontal="right" vertical="center"/>
    </xf>
    <xf numFmtId="0" fontId="56" fillId="7" borderId="0" xfId="0" applyFont="1" applyFill="1" applyAlignment="1">
      <alignment horizontal="right" vertical="center"/>
    </xf>
    <xf numFmtId="0" fontId="56" fillId="7" borderId="0" xfId="0" applyFont="1" applyFill="1">
      <alignment vertical="center"/>
    </xf>
    <xf numFmtId="14" fontId="57" fillId="7" borderId="0" xfId="0" applyNumberFormat="1" applyFont="1" applyFill="1" applyAlignment="1">
      <alignment horizontal="center" vertical="center"/>
    </xf>
    <xf numFmtId="14" fontId="58" fillId="7" borderId="0" xfId="0" applyNumberFormat="1" applyFont="1" applyFill="1" applyAlignment="1">
      <alignment horizontal="left" vertical="center"/>
    </xf>
    <xf numFmtId="0" fontId="59" fillId="7" borderId="0" xfId="0" applyFont="1" applyFill="1" applyAlignment="1">
      <alignment horizontal="center" vertical="center"/>
    </xf>
    <xf numFmtId="0" fontId="60" fillId="7" borderId="0" xfId="0" applyFont="1" applyFill="1">
      <alignment vertical="center"/>
    </xf>
    <xf numFmtId="14" fontId="61" fillId="7" borderId="0" xfId="0" applyNumberFormat="1" applyFont="1" applyFill="1" applyAlignment="1">
      <alignment horizontal="left" vertical="center"/>
    </xf>
    <xf numFmtId="0" fontId="64" fillId="7" borderId="52" xfId="5" applyFont="1" applyFill="1" applyBorder="1" applyAlignment="1">
      <alignment vertical="center"/>
    </xf>
    <xf numFmtId="0" fontId="65" fillId="7" borderId="52" xfId="0" applyFont="1" applyFill="1" applyBorder="1">
      <alignment vertical="center"/>
    </xf>
    <xf numFmtId="0" fontId="66" fillId="7" borderId="28" xfId="0" applyFont="1" applyFill="1" applyBorder="1" applyAlignment="1">
      <alignment horizontal="center" vertical="center"/>
    </xf>
    <xf numFmtId="0" fontId="59" fillId="7" borderId="28" xfId="0" applyFont="1" applyFill="1" applyBorder="1" applyAlignment="1">
      <alignment horizontal="center" vertical="center"/>
    </xf>
    <xf numFmtId="0" fontId="66" fillId="7" borderId="0" xfId="0" applyFont="1" applyFill="1">
      <alignment vertical="center"/>
    </xf>
    <xf numFmtId="0" fontId="66" fillId="7" borderId="0" xfId="0" applyFont="1" applyFill="1" applyAlignment="1">
      <alignment horizontal="center" vertical="center"/>
    </xf>
    <xf numFmtId="41" fontId="34" fillId="7" borderId="28" xfId="1" applyFont="1" applyFill="1" applyBorder="1" applyAlignment="1">
      <alignment horizontal="center" vertical="center"/>
    </xf>
    <xf numFmtId="0" fontId="37" fillId="7" borderId="28" xfId="0" applyFont="1" applyFill="1" applyBorder="1" applyAlignment="1">
      <alignment horizontal="center" vertical="center"/>
    </xf>
    <xf numFmtId="0" fontId="69" fillId="7" borderId="0" xfId="0" applyFont="1" applyFill="1" applyAlignment="1">
      <alignment horizontal="center" vertical="center"/>
    </xf>
    <xf numFmtId="41" fontId="68" fillId="7" borderId="0" xfId="1" applyFont="1" applyFill="1" applyBorder="1" applyAlignment="1">
      <alignment horizontal="center" vertical="center"/>
    </xf>
    <xf numFmtId="0" fontId="70" fillId="7" borderId="37" xfId="0" applyFont="1" applyFill="1" applyBorder="1" applyAlignment="1">
      <alignment horizontal="left" vertical="center"/>
    </xf>
    <xf numFmtId="0" fontId="60" fillId="7" borderId="0" xfId="0" applyFont="1" applyFill="1" applyAlignment="1">
      <alignment horizontal="left" vertical="center"/>
    </xf>
    <xf numFmtId="0" fontId="60" fillId="7" borderId="65" xfId="0" applyFont="1" applyFill="1" applyBorder="1" applyAlignment="1">
      <alignment horizontal="left" vertical="center"/>
    </xf>
    <xf numFmtId="0" fontId="66" fillId="7" borderId="51" xfId="0" applyFont="1" applyFill="1" applyBorder="1" applyAlignment="1">
      <alignment horizontal="left" vertical="top"/>
    </xf>
    <xf numFmtId="0" fontId="66" fillId="7" borderId="52" xfId="0" applyFont="1" applyFill="1" applyBorder="1" applyAlignment="1">
      <alignment horizontal="left" vertical="top"/>
    </xf>
    <xf numFmtId="0" fontId="66" fillId="7" borderId="53" xfId="0" applyFont="1" applyFill="1" applyBorder="1" applyAlignment="1">
      <alignment horizontal="left" vertical="top"/>
    </xf>
    <xf numFmtId="0" fontId="71" fillId="7" borderId="0" xfId="0" applyFont="1" applyFill="1">
      <alignment vertical="center"/>
    </xf>
    <xf numFmtId="0" fontId="34" fillId="7" borderId="0" xfId="0" applyFont="1" applyFill="1" applyAlignment="1">
      <alignment horizontal="center" vertical="center"/>
    </xf>
    <xf numFmtId="0" fontId="34" fillId="4" borderId="28" xfId="0" applyFont="1" applyFill="1" applyBorder="1" applyAlignment="1">
      <alignment horizontal="center" vertical="center"/>
    </xf>
    <xf numFmtId="0" fontId="59" fillId="7" borderId="52" xfId="0" applyFont="1" applyFill="1" applyBorder="1" applyAlignment="1">
      <alignment horizontal="center" vertical="center"/>
    </xf>
    <xf numFmtId="0" fontId="60" fillId="7" borderId="52" xfId="0" applyFont="1" applyFill="1" applyBorder="1">
      <alignment vertical="center"/>
    </xf>
    <xf numFmtId="0" fontId="60" fillId="7" borderId="52" xfId="0" applyFont="1" applyFill="1" applyBorder="1" applyAlignment="1">
      <alignment horizontal="center" vertical="center"/>
    </xf>
    <xf numFmtId="0" fontId="44" fillId="7" borderId="0" xfId="0" applyFont="1" applyFill="1" applyProtection="1">
      <alignment vertical="center"/>
      <protection locked="0"/>
    </xf>
    <xf numFmtId="0" fontId="29" fillId="7" borderId="0" xfId="0" applyFont="1" applyFill="1" applyProtection="1">
      <alignment vertical="center"/>
      <protection locked="0"/>
    </xf>
    <xf numFmtId="41" fontId="8" fillId="2" borderId="145" xfId="0" applyNumberFormat="1" applyFont="1" applyFill="1" applyBorder="1" applyAlignment="1">
      <alignment horizontal="center" vertical="center"/>
    </xf>
    <xf numFmtId="0" fontId="73" fillId="0" borderId="0" xfId="0" applyFont="1">
      <alignment vertical="center"/>
    </xf>
    <xf numFmtId="0" fontId="9" fillId="5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8" fillId="2" borderId="142" xfId="0" applyFont="1" applyFill="1" applyBorder="1" applyAlignment="1">
      <alignment horizontal="center" vertical="center"/>
    </xf>
    <xf numFmtId="0" fontId="34" fillId="7" borderId="28" xfId="0" applyFont="1" applyFill="1" applyBorder="1" applyAlignment="1">
      <alignment horizontal="center" vertical="center"/>
    </xf>
    <xf numFmtId="0" fontId="66" fillId="7" borderId="28" xfId="0" applyFont="1" applyFill="1" applyBorder="1" applyAlignment="1" applyProtection="1">
      <alignment horizontal="center" vertical="center"/>
      <protection locked="0"/>
    </xf>
    <xf numFmtId="0" fontId="59" fillId="7" borderId="28" xfId="0" applyFont="1" applyFill="1" applyBorder="1" applyAlignment="1" applyProtection="1">
      <alignment horizontal="center" vertical="center" wrapText="1"/>
      <protection locked="0"/>
    </xf>
    <xf numFmtId="0" fontId="59" fillId="7" borderId="28" xfId="0" applyFont="1" applyFill="1" applyBorder="1" applyAlignment="1" applyProtection="1">
      <alignment horizontal="center" vertical="center"/>
      <protection locked="0"/>
    </xf>
    <xf numFmtId="0" fontId="4" fillId="15" borderId="28" xfId="0" applyFont="1" applyFill="1" applyBorder="1" applyAlignment="1">
      <alignment horizontal="center" vertical="center"/>
    </xf>
    <xf numFmtId="41" fontId="4" fillId="15" borderId="28" xfId="1" applyFont="1" applyFill="1" applyBorder="1" applyAlignment="1">
      <alignment horizontal="center" vertical="center"/>
    </xf>
    <xf numFmtId="41" fontId="4" fillId="15" borderId="28" xfId="0" applyNumberFormat="1" applyFont="1" applyFill="1" applyBorder="1" applyAlignment="1">
      <alignment horizontal="center" vertical="center"/>
    </xf>
    <xf numFmtId="184" fontId="12" fillId="4" borderId="63" xfId="1" applyNumberFormat="1" applyFont="1" applyFill="1" applyBorder="1" applyAlignment="1">
      <alignment horizontal="left" vertical="center"/>
    </xf>
    <xf numFmtId="184" fontId="12" fillId="0" borderId="0" xfId="1" applyNumberFormat="1" applyFont="1">
      <alignment vertical="center"/>
    </xf>
    <xf numFmtId="3" fontId="0" fillId="7" borderId="0" xfId="0" applyNumberFormat="1" applyFill="1">
      <alignment vertical="center"/>
    </xf>
    <xf numFmtId="41" fontId="0" fillId="0" borderId="0" xfId="1" applyFont="1" applyFill="1">
      <alignment vertical="center"/>
    </xf>
    <xf numFmtId="0" fontId="0" fillId="9" borderId="0" xfId="0" applyFill="1">
      <alignment vertical="center"/>
    </xf>
    <xf numFmtId="0" fontId="0" fillId="0" borderId="0" xfId="1" applyNumberFormat="1" applyFont="1" applyFill="1">
      <alignment vertical="center"/>
    </xf>
    <xf numFmtId="0" fontId="0" fillId="0" borderId="0" xfId="1" applyNumberFormat="1" applyFont="1" applyFill="1" applyAlignment="1">
      <alignment horizontal="left" vertical="center"/>
    </xf>
    <xf numFmtId="41" fontId="8" fillId="0" borderId="0" xfId="1" applyFont="1" applyFill="1">
      <alignment vertical="center"/>
    </xf>
    <xf numFmtId="0" fontId="3" fillId="5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4" fillId="0" borderId="37" xfId="1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center" vertical="center"/>
    </xf>
    <xf numFmtId="41" fontId="4" fillId="7" borderId="28" xfId="1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75" fillId="0" borderId="63" xfId="0" applyFont="1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>
      <alignment vertical="center"/>
    </xf>
    <xf numFmtId="0" fontId="4" fillId="4" borderId="10" xfId="0" applyFont="1" applyFill="1" applyBorder="1" applyAlignment="1">
      <alignment horizontal="right" vertical="center"/>
    </xf>
    <xf numFmtId="41" fontId="4" fillId="4" borderId="11" xfId="1" applyFont="1" applyFill="1" applyBorder="1" applyAlignment="1">
      <alignment horizontal="left" vertical="center"/>
    </xf>
    <xf numFmtId="41" fontId="4" fillId="4" borderId="12" xfId="1" applyFont="1" applyFill="1" applyBorder="1" applyAlignment="1">
      <alignment horizontal="left" vertical="center"/>
    </xf>
    <xf numFmtId="41" fontId="4" fillId="4" borderId="13" xfId="1" applyFont="1" applyFill="1" applyBorder="1" applyAlignment="1">
      <alignment horizontal="left" vertical="center"/>
    </xf>
    <xf numFmtId="41" fontId="11" fillId="0" borderId="12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1" fontId="4" fillId="0" borderId="0" xfId="1" applyFont="1" applyBorder="1" applyAlignment="1">
      <alignment horizontal="center" vertical="center"/>
    </xf>
    <xf numFmtId="41" fontId="0" fillId="8" borderId="0" xfId="1" applyFont="1" applyFill="1">
      <alignment vertical="center"/>
    </xf>
    <xf numFmtId="41" fontId="8" fillId="8" borderId="0" xfId="1" applyFont="1" applyFill="1">
      <alignment vertical="center"/>
    </xf>
    <xf numFmtId="6" fontId="4" fillId="0" borderId="3" xfId="1" applyNumberFormat="1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41" fontId="8" fillId="2" borderId="138" xfId="0" applyNumberFormat="1" applyFont="1" applyFill="1" applyBorder="1" applyAlignment="1">
      <alignment horizontal="center" vertical="center"/>
    </xf>
    <xf numFmtId="41" fontId="8" fillId="2" borderId="141" xfId="0" applyNumberFormat="1" applyFont="1" applyFill="1" applyBorder="1" applyAlignment="1">
      <alignment horizontal="center" vertical="center"/>
    </xf>
    <xf numFmtId="41" fontId="8" fillId="2" borderId="139" xfId="0" applyNumberFormat="1" applyFont="1" applyFill="1" applyBorder="1" applyAlignment="1">
      <alignment horizontal="center" vertical="center"/>
    </xf>
    <xf numFmtId="41" fontId="8" fillId="2" borderId="142" xfId="0" applyNumberFormat="1" applyFont="1" applyFill="1" applyBorder="1" applyAlignment="1">
      <alignment horizontal="center" vertical="center"/>
    </xf>
    <xf numFmtId="41" fontId="8" fillId="2" borderId="144" xfId="0" applyNumberFormat="1" applyFont="1" applyFill="1" applyBorder="1" applyAlignment="1">
      <alignment horizontal="center" vertical="center"/>
    </xf>
    <xf numFmtId="41" fontId="8" fillId="2" borderId="139" xfId="0" applyNumberFormat="1" applyFont="1" applyFill="1" applyBorder="1" applyAlignment="1">
      <alignment horizontal="center" vertical="center" shrinkToFit="1"/>
    </xf>
    <xf numFmtId="41" fontId="8" fillId="2" borderId="142" xfId="0" applyNumberFormat="1" applyFont="1" applyFill="1" applyBorder="1" applyAlignment="1">
      <alignment horizontal="center" vertical="center" shrinkToFit="1"/>
    </xf>
    <xf numFmtId="41" fontId="8" fillId="2" borderId="145" xfId="0" applyNumberFormat="1" applyFont="1" applyFill="1" applyBorder="1" applyAlignment="1">
      <alignment horizontal="center" vertical="center" shrinkToFit="1"/>
    </xf>
    <xf numFmtId="0" fontId="11" fillId="0" borderId="115" xfId="0" applyFont="1" applyBorder="1" applyAlignment="1">
      <alignment horizontal="center" vertical="center" wrapText="1"/>
    </xf>
    <xf numFmtId="0" fontId="11" fillId="0" borderId="139" xfId="0" applyFont="1" applyBorder="1">
      <alignment vertical="center"/>
    </xf>
    <xf numFmtId="0" fontId="11" fillId="0" borderId="142" xfId="0" applyFont="1" applyBorder="1">
      <alignment vertical="center"/>
    </xf>
    <xf numFmtId="0" fontId="37" fillId="0" borderId="28" xfId="0" applyFont="1" applyBorder="1">
      <alignment vertical="center"/>
    </xf>
    <xf numFmtId="0" fontId="37" fillId="0" borderId="0" xfId="0" applyFont="1" applyAlignment="1">
      <alignment horizontal="right" vertical="center"/>
    </xf>
    <xf numFmtId="41" fontId="5" fillId="17" borderId="65" xfId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41" fontId="8" fillId="4" borderId="28" xfId="1" applyFont="1" applyFill="1" applyBorder="1" applyAlignment="1">
      <alignment horizontal="center" vertical="center"/>
    </xf>
    <xf numFmtId="0" fontId="6" fillId="12" borderId="28" xfId="0" applyFont="1" applyFill="1" applyBorder="1" applyAlignment="1">
      <alignment horizontal="center" vertical="center" wrapText="1"/>
    </xf>
    <xf numFmtId="49" fontId="6" fillId="12" borderId="28" xfId="0" applyNumberFormat="1" applyFont="1" applyFill="1" applyBorder="1" applyAlignment="1">
      <alignment horizontal="center" vertical="center" wrapText="1"/>
    </xf>
    <xf numFmtId="189" fontId="6" fillId="12" borderId="28" xfId="0" applyNumberFormat="1" applyFont="1" applyFill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189" fontId="6" fillId="0" borderId="28" xfId="0" applyNumberFormat="1" applyFont="1" applyBorder="1" applyAlignment="1">
      <alignment horizontal="center" vertical="center" wrapText="1"/>
    </xf>
    <xf numFmtId="193" fontId="5" fillId="18" borderId="28" xfId="0" applyNumberFormat="1" applyFont="1" applyFill="1" applyBorder="1" applyAlignment="1">
      <alignment horizontal="center" vertical="center"/>
    </xf>
    <xf numFmtId="176" fontId="6" fillId="0" borderId="28" xfId="2" applyNumberFormat="1" applyFont="1" applyFill="1" applyBorder="1" applyAlignment="1">
      <alignment horizontal="center" vertical="center"/>
    </xf>
    <xf numFmtId="0" fontId="76" fillId="19" borderId="28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37" fillId="4" borderId="28" xfId="0" applyFont="1" applyFill="1" applyBorder="1" applyAlignment="1" applyProtection="1">
      <alignment horizontal="center" vertical="center"/>
      <protection locked="0"/>
    </xf>
    <xf numFmtId="0" fontId="37" fillId="0" borderId="30" xfId="0" applyFont="1" applyBorder="1">
      <alignment vertical="center"/>
    </xf>
    <xf numFmtId="0" fontId="37" fillId="0" borderId="31" xfId="0" applyFont="1" applyBorder="1">
      <alignment vertical="center"/>
    </xf>
    <xf numFmtId="0" fontId="37" fillId="0" borderId="32" xfId="0" applyFont="1" applyBorder="1">
      <alignment vertical="center"/>
    </xf>
    <xf numFmtId="0" fontId="37" fillId="0" borderId="28" xfId="0" applyFont="1" applyBorder="1" applyAlignment="1">
      <alignment horizontal="center" vertical="center"/>
    </xf>
    <xf numFmtId="0" fontId="72" fillId="4" borderId="28" xfId="0" applyFont="1" applyFill="1" applyBorder="1" applyAlignment="1" applyProtection="1">
      <alignment horizontal="center" vertical="center"/>
      <protection locked="0"/>
    </xf>
    <xf numFmtId="0" fontId="5" fillId="0" borderId="28" xfId="6" applyFont="1" applyBorder="1" applyAlignment="1">
      <alignment horizontal="center" vertical="center"/>
    </xf>
    <xf numFmtId="41" fontId="6" fillId="4" borderId="28" xfId="6" applyNumberFormat="1" applyFont="1" applyFill="1" applyBorder="1" applyAlignment="1">
      <alignment horizontal="center" vertical="center"/>
    </xf>
    <xf numFmtId="41" fontId="6" fillId="4" borderId="28" xfId="1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41" fontId="6" fillId="7" borderId="28" xfId="1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8" xfId="1" applyNumberFormat="1" applyFont="1" applyBorder="1" applyAlignment="1">
      <alignment horizontal="center" vertical="center"/>
    </xf>
    <xf numFmtId="41" fontId="9" fillId="0" borderId="28" xfId="1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right" vertical="center"/>
    </xf>
    <xf numFmtId="43" fontId="0" fillId="0" borderId="0" xfId="0" applyNumberFormat="1">
      <alignment vertical="center"/>
    </xf>
    <xf numFmtId="0" fontId="77" fillId="0" borderId="0" xfId="0" applyFont="1">
      <alignment vertical="center"/>
    </xf>
    <xf numFmtId="0" fontId="25" fillId="15" borderId="28" xfId="0" applyFont="1" applyFill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/>
    </xf>
    <xf numFmtId="0" fontId="25" fillId="0" borderId="116" xfId="0" applyFont="1" applyBorder="1" applyAlignment="1">
      <alignment horizontal="center" vertical="center"/>
    </xf>
    <xf numFmtId="0" fontId="25" fillId="0" borderId="65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116" xfId="0" applyFont="1" applyBorder="1" applyAlignment="1">
      <alignment horizontal="center" vertical="center" wrapText="1"/>
    </xf>
    <xf numFmtId="0" fontId="75" fillId="0" borderId="116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49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149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 wrapText="1"/>
    </xf>
    <xf numFmtId="0" fontId="25" fillId="0" borderId="78" xfId="0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right" vertical="center"/>
    </xf>
    <xf numFmtId="195" fontId="8" fillId="15" borderId="162" xfId="7" applyNumberFormat="1" applyFont="1" applyFill="1" applyBorder="1" applyAlignment="1">
      <alignment horizontal="center" vertical="center"/>
    </xf>
    <xf numFmtId="194" fontId="2" fillId="0" borderId="0" xfId="7">
      <alignment vertical="center"/>
    </xf>
    <xf numFmtId="194" fontId="0" fillId="0" borderId="0" xfId="7" applyFont="1">
      <alignment vertical="center"/>
    </xf>
    <xf numFmtId="0" fontId="3" fillId="0" borderId="164" xfId="0" applyFont="1" applyBorder="1" applyAlignment="1">
      <alignment horizontal="center" vertical="center"/>
    </xf>
    <xf numFmtId="0" fontId="11" fillId="0" borderId="164" xfId="0" applyFont="1" applyBorder="1" applyAlignment="1">
      <alignment horizontal="center" vertical="center"/>
    </xf>
    <xf numFmtId="0" fontId="3" fillId="0" borderId="164" xfId="8" applyNumberFormat="1" applyFont="1" applyBorder="1" applyAlignment="1">
      <alignment horizontal="center" vertical="center"/>
    </xf>
    <xf numFmtId="0" fontId="11" fillId="0" borderId="164" xfId="8" applyNumberFormat="1" applyFont="1" applyBorder="1" applyAlignment="1">
      <alignment horizontal="center" vertical="center"/>
    </xf>
    <xf numFmtId="0" fontId="3" fillId="0" borderId="167" xfId="0" applyFont="1" applyBorder="1" applyAlignment="1">
      <alignment horizontal="center" vertical="center"/>
    </xf>
    <xf numFmtId="0" fontId="11" fillId="0" borderId="167" xfId="8" applyNumberFormat="1" applyFont="1" applyBorder="1" applyAlignment="1">
      <alignment horizontal="center" vertical="center"/>
    </xf>
    <xf numFmtId="0" fontId="78" fillId="0" borderId="0" xfId="0" applyFont="1">
      <alignment vertical="center"/>
    </xf>
    <xf numFmtId="194" fontId="79" fillId="0" borderId="0" xfId="9" applyFont="1">
      <alignment vertical="center"/>
    </xf>
    <xf numFmtId="194" fontId="6" fillId="0" borderId="0" xfId="7" applyFont="1">
      <alignment vertical="center"/>
    </xf>
    <xf numFmtId="194" fontId="26" fillId="0" borderId="0" xfId="9" applyFont="1">
      <alignment vertical="center"/>
    </xf>
    <xf numFmtId="194" fontId="26" fillId="15" borderId="161" xfId="9" applyFont="1" applyFill="1" applyBorder="1" applyAlignment="1">
      <alignment horizontal="center" vertical="center"/>
    </xf>
    <xf numFmtId="0" fontId="11" fillId="15" borderId="162" xfId="0" applyFont="1" applyFill="1" applyBorder="1" applyAlignment="1">
      <alignment horizontal="center" vertical="center"/>
    </xf>
    <xf numFmtId="194" fontId="11" fillId="15" borderId="162" xfId="7" applyFont="1" applyFill="1" applyBorder="1" applyAlignment="1">
      <alignment horizontal="center" vertical="center"/>
    </xf>
    <xf numFmtId="194" fontId="11" fillId="15" borderId="168" xfId="7" applyFont="1" applyFill="1" applyBorder="1" applyAlignment="1">
      <alignment horizontal="center" vertical="center"/>
    </xf>
    <xf numFmtId="0" fontId="80" fillId="0" borderId="0" xfId="0" quotePrefix="1" applyFont="1">
      <alignment vertical="center"/>
    </xf>
    <xf numFmtId="194" fontId="26" fillId="15" borderId="169" xfId="9" applyFont="1" applyFill="1" applyBorder="1" applyAlignment="1">
      <alignment horizontal="center" vertical="center"/>
    </xf>
    <xf numFmtId="196" fontId="11" fillId="0" borderId="167" xfId="2" applyNumberFormat="1" applyFont="1" applyBorder="1" applyAlignment="1">
      <alignment horizontal="center" vertical="center"/>
    </xf>
    <xf numFmtId="196" fontId="11" fillId="0" borderId="170" xfId="2" applyNumberFormat="1" applyFont="1" applyBorder="1" applyAlignment="1">
      <alignment horizontal="center" vertical="center"/>
    </xf>
    <xf numFmtId="194" fontId="26" fillId="15" borderId="162" xfId="9" applyFont="1" applyFill="1" applyBorder="1" applyAlignment="1">
      <alignment horizontal="center" vertical="center"/>
    </xf>
    <xf numFmtId="194" fontId="26" fillId="15" borderId="158" xfId="9" applyFont="1" applyFill="1" applyBorder="1" applyAlignment="1">
      <alignment horizontal="center" vertical="center"/>
    </xf>
    <xf numFmtId="0" fontId="11" fillId="15" borderId="168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176" fontId="26" fillId="0" borderId="169" xfId="2" applyNumberFormat="1" applyFont="1" applyFill="1" applyBorder="1" applyAlignment="1">
      <alignment horizontal="center" vertical="center"/>
    </xf>
    <xf numFmtId="9" fontId="26" fillId="0" borderId="167" xfId="2" applyFont="1" applyFill="1" applyBorder="1" applyAlignment="1">
      <alignment horizontal="center" vertical="center"/>
    </xf>
    <xf numFmtId="9" fontId="26" fillId="0" borderId="171" xfId="2" applyFont="1" applyFill="1" applyBorder="1" applyAlignment="1">
      <alignment horizontal="center" vertical="center"/>
    </xf>
    <xf numFmtId="9" fontId="0" fillId="0" borderId="170" xfId="2" applyFont="1" applyBorder="1" applyAlignment="1">
      <alignment horizontal="center" vertical="center"/>
    </xf>
    <xf numFmtId="0" fontId="81" fillId="0" borderId="0" xfId="0" applyFont="1">
      <alignment vertical="center"/>
    </xf>
    <xf numFmtId="0" fontId="3" fillId="2" borderId="172" xfId="10" applyFont="1" applyFill="1" applyBorder="1" applyAlignment="1">
      <alignment horizontal="center" vertical="center"/>
    </xf>
    <xf numFmtId="0" fontId="83" fillId="2" borderId="173" xfId="10" applyFont="1" applyFill="1" applyBorder="1" applyAlignment="1">
      <alignment horizontal="center" vertical="center"/>
    </xf>
    <xf numFmtId="0" fontId="83" fillId="2" borderId="174" xfId="10" applyFont="1" applyFill="1" applyBorder="1" applyAlignment="1">
      <alignment horizontal="center" vertical="center"/>
    </xf>
    <xf numFmtId="197" fontId="4" fillId="7" borderId="175" xfId="10" applyNumberFormat="1" applyFont="1" applyFill="1" applyBorder="1" applyAlignment="1">
      <alignment horizontal="center" vertical="center"/>
    </xf>
    <xf numFmtId="189" fontId="84" fillId="7" borderId="162" xfId="11" applyNumberFormat="1" applyFont="1" applyFill="1" applyBorder="1" applyAlignment="1">
      <alignment horizontal="center" vertical="center"/>
    </xf>
    <xf numFmtId="189" fontId="84" fillId="7" borderId="176" xfId="11" applyNumberFormat="1" applyFont="1" applyFill="1" applyBorder="1" applyAlignment="1">
      <alignment horizontal="center" vertical="center"/>
    </xf>
    <xf numFmtId="197" fontId="4" fillId="7" borderId="177" xfId="10" applyNumberFormat="1" applyFont="1" applyFill="1" applyBorder="1" applyAlignment="1">
      <alignment horizontal="center" vertical="center"/>
    </xf>
    <xf numFmtId="189" fontId="84" fillId="7" borderId="164" xfId="11" applyNumberFormat="1" applyFont="1" applyFill="1" applyBorder="1" applyAlignment="1">
      <alignment horizontal="center" vertical="center"/>
    </xf>
    <xf numFmtId="189" fontId="84" fillId="7" borderId="178" xfId="11" applyNumberFormat="1" applyFont="1" applyFill="1" applyBorder="1" applyAlignment="1">
      <alignment horizontal="center" vertical="center"/>
    </xf>
    <xf numFmtId="197" fontId="3" fillId="2" borderId="179" xfId="10" applyNumberFormat="1" applyFont="1" applyFill="1" applyBorder="1" applyAlignment="1">
      <alignment horizontal="center" vertical="center"/>
    </xf>
    <xf numFmtId="189" fontId="85" fillId="2" borderId="167" xfId="11" applyNumberFormat="1" applyFont="1" applyFill="1" applyBorder="1" applyAlignment="1">
      <alignment horizontal="center" vertical="center"/>
    </xf>
    <xf numFmtId="189" fontId="85" fillId="2" borderId="180" xfId="11" applyNumberFormat="1" applyFont="1" applyFill="1" applyBorder="1" applyAlignment="1">
      <alignment horizontal="center" vertical="center"/>
    </xf>
    <xf numFmtId="189" fontId="84" fillId="7" borderId="181" xfId="11" applyNumberFormat="1" applyFont="1" applyFill="1" applyBorder="1" applyAlignment="1">
      <alignment horizontal="center" vertical="center"/>
    </xf>
    <xf numFmtId="189" fontId="84" fillId="7" borderId="182" xfId="11" applyNumberFormat="1" applyFont="1" applyFill="1" applyBorder="1" applyAlignment="1">
      <alignment horizontal="center" vertical="center"/>
    </xf>
    <xf numFmtId="0" fontId="0" fillId="0" borderId="52" xfId="0" applyBorder="1">
      <alignment vertical="center"/>
    </xf>
    <xf numFmtId="197" fontId="4" fillId="2" borderId="179" xfId="10" applyNumberFormat="1" applyFont="1" applyFill="1" applyBorder="1" applyAlignment="1">
      <alignment horizontal="center" vertical="center"/>
    </xf>
    <xf numFmtId="189" fontId="84" fillId="2" borderId="167" xfId="11" applyNumberFormat="1" applyFont="1" applyFill="1" applyBorder="1" applyAlignment="1">
      <alignment horizontal="center" vertical="center"/>
    </xf>
    <xf numFmtId="189" fontId="84" fillId="2" borderId="180" xfId="11" applyNumberFormat="1" applyFont="1" applyFill="1" applyBorder="1" applyAlignment="1">
      <alignment horizontal="center" vertical="center"/>
    </xf>
    <xf numFmtId="197" fontId="11" fillId="2" borderId="179" xfId="10" applyNumberFormat="1" applyFont="1" applyFill="1" applyBorder="1" applyAlignment="1">
      <alignment horizontal="center" vertical="center"/>
    </xf>
    <xf numFmtId="189" fontId="27" fillId="2" borderId="167" xfId="2" applyNumberFormat="1" applyFont="1" applyFill="1" applyBorder="1" applyAlignment="1">
      <alignment horizontal="center" vertical="center"/>
    </xf>
    <xf numFmtId="189" fontId="27" fillId="2" borderId="180" xfId="2" applyNumberFormat="1" applyFont="1" applyFill="1" applyBorder="1" applyAlignment="1">
      <alignment horizontal="center" vertical="center"/>
    </xf>
    <xf numFmtId="197" fontId="8" fillId="0" borderId="177" xfId="10" applyNumberFormat="1" applyFont="1" applyBorder="1" applyAlignment="1">
      <alignment horizontal="center" vertical="center"/>
    </xf>
    <xf numFmtId="189" fontId="86" fillId="0" borderId="164" xfId="11" applyNumberFormat="1" applyFont="1" applyFill="1" applyBorder="1" applyAlignment="1">
      <alignment horizontal="center" vertical="center"/>
    </xf>
    <xf numFmtId="189" fontId="86" fillId="0" borderId="178" xfId="11" applyNumberFormat="1" applyFont="1" applyFill="1" applyBorder="1" applyAlignment="1">
      <alignment horizontal="center" vertical="center"/>
    </xf>
    <xf numFmtId="197" fontId="4" fillId="7" borderId="154" xfId="10" applyNumberFormat="1" applyFont="1" applyFill="1" applyBorder="1" applyAlignment="1">
      <alignment horizontal="center" vertical="center"/>
    </xf>
    <xf numFmtId="189" fontId="84" fillId="7" borderId="183" xfId="11" applyNumberFormat="1" applyFont="1" applyFill="1" applyBorder="1" applyAlignment="1">
      <alignment horizontal="center" vertical="center"/>
    </xf>
    <xf numFmtId="189" fontId="84" fillId="7" borderId="184" xfId="11" applyNumberFormat="1" applyFont="1" applyFill="1" applyBorder="1" applyAlignment="1">
      <alignment horizontal="center" vertical="center"/>
    </xf>
    <xf numFmtId="197" fontId="4" fillId="7" borderId="185" xfId="10" applyNumberFormat="1" applyFont="1" applyFill="1" applyBorder="1" applyAlignment="1">
      <alignment horizontal="center" vertical="center"/>
    </xf>
    <xf numFmtId="189" fontId="84" fillId="7" borderId="186" xfId="11" applyNumberFormat="1" applyFont="1" applyFill="1" applyBorder="1" applyAlignment="1">
      <alignment horizontal="center" vertical="center"/>
    </xf>
    <xf numFmtId="189" fontId="84" fillId="7" borderId="187" xfId="11" applyNumberFormat="1" applyFont="1" applyFill="1" applyBorder="1" applyAlignment="1">
      <alignment horizontal="center" vertical="center"/>
    </xf>
    <xf numFmtId="197" fontId="3" fillId="2" borderId="185" xfId="10" applyNumberFormat="1" applyFont="1" applyFill="1" applyBorder="1" applyAlignment="1">
      <alignment horizontal="center" vertical="center"/>
    </xf>
    <xf numFmtId="189" fontId="85" fillId="2" borderId="186" xfId="11" applyNumberFormat="1" applyFont="1" applyFill="1" applyBorder="1" applyAlignment="1">
      <alignment horizontal="center" vertical="center"/>
    </xf>
    <xf numFmtId="189" fontId="85" fillId="2" borderId="187" xfId="11" applyNumberFormat="1" applyFont="1" applyFill="1" applyBorder="1" applyAlignment="1">
      <alignment horizontal="center" vertical="center"/>
    </xf>
    <xf numFmtId="0" fontId="6" fillId="0" borderId="0" xfId="12" applyFont="1" applyAlignment="1">
      <alignment horizontal="center" vertical="center"/>
    </xf>
    <xf numFmtId="197" fontId="4" fillId="7" borderId="188" xfId="10" applyNumberFormat="1" applyFont="1" applyFill="1" applyBorder="1" applyAlignment="1">
      <alignment horizontal="center" vertical="center"/>
    </xf>
    <xf numFmtId="197" fontId="3" fillId="2" borderId="189" xfId="10" applyNumberFormat="1" applyFont="1" applyFill="1" applyBorder="1" applyAlignment="1">
      <alignment horizontal="center" vertical="center"/>
    </xf>
    <xf numFmtId="189" fontId="85" fillId="2" borderId="190" xfId="11" applyNumberFormat="1" applyFont="1" applyFill="1" applyBorder="1" applyAlignment="1">
      <alignment horizontal="center" vertical="center"/>
    </xf>
    <xf numFmtId="189" fontId="85" fillId="2" borderId="191" xfId="11" applyNumberFormat="1" applyFont="1" applyFill="1" applyBorder="1" applyAlignment="1">
      <alignment horizontal="center" vertical="center"/>
    </xf>
    <xf numFmtId="0" fontId="83" fillId="0" borderId="0" xfId="10" applyFont="1" applyAlignment="1">
      <alignment horizontal="left" vertical="center"/>
    </xf>
    <xf numFmtId="0" fontId="13" fillId="0" borderId="28" xfId="0" applyFont="1" applyBorder="1" applyAlignment="1">
      <alignment horizontal="center" vertical="center"/>
    </xf>
    <xf numFmtId="0" fontId="75" fillId="0" borderId="28" xfId="0" applyFont="1" applyBorder="1" applyAlignment="1">
      <alignment horizontal="center" vertical="center" wrapText="1"/>
    </xf>
    <xf numFmtId="0" fontId="75" fillId="0" borderId="28" xfId="0" applyFont="1" applyBorder="1" applyAlignment="1">
      <alignment horizontal="center" vertical="center"/>
    </xf>
    <xf numFmtId="195" fontId="8" fillId="15" borderId="168" xfId="7" applyNumberFormat="1" applyFont="1" applyFill="1" applyBorder="1" applyAlignment="1">
      <alignment horizontal="center" vertical="center"/>
    </xf>
    <xf numFmtId="0" fontId="11" fillId="0" borderId="192" xfId="0" applyFont="1" applyBorder="1" applyAlignment="1">
      <alignment horizontal="center" vertical="center"/>
    </xf>
    <xf numFmtId="0" fontId="3" fillId="0" borderId="192" xfId="8" applyNumberFormat="1" applyFont="1" applyBorder="1" applyAlignment="1">
      <alignment horizontal="center" vertical="center"/>
    </xf>
    <xf numFmtId="0" fontId="11" fillId="0" borderId="192" xfId="8" applyNumberFormat="1" applyFont="1" applyBorder="1" applyAlignment="1">
      <alignment horizontal="center" vertical="center"/>
    </xf>
    <xf numFmtId="0" fontId="11" fillId="0" borderId="170" xfId="8" applyNumberFormat="1" applyFont="1" applyBorder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3" fillId="0" borderId="28" xfId="8" applyNumberFormat="1" applyFont="1" applyBorder="1" applyAlignment="1">
      <alignment horizontal="center" vertical="center"/>
    </xf>
    <xf numFmtId="0" fontId="11" fillId="0" borderId="28" xfId="8" applyNumberFormat="1" applyFont="1" applyBorder="1" applyAlignment="1">
      <alignment horizontal="center" vertical="center"/>
    </xf>
    <xf numFmtId="41" fontId="8" fillId="0" borderId="0" xfId="1" applyFont="1" applyFill="1" applyBorder="1" applyAlignment="1">
      <alignment horizontal="left" vertical="center"/>
    </xf>
    <xf numFmtId="176" fontId="8" fillId="0" borderId="0" xfId="2" applyNumberFormat="1" applyFont="1" applyFill="1" applyBorder="1" applyAlignment="1">
      <alignment horizontal="right" vertical="center"/>
    </xf>
    <xf numFmtId="41" fontId="11" fillId="0" borderId="0" xfId="1" applyFont="1" applyFill="1" applyBorder="1" applyAlignment="1">
      <alignment horizontal="center" vertical="center"/>
    </xf>
    <xf numFmtId="41" fontId="8" fillId="0" borderId="28" xfId="1" applyFont="1" applyFill="1" applyBorder="1" applyAlignment="1">
      <alignment horizontal="center" vertical="center"/>
    </xf>
    <xf numFmtId="41" fontId="11" fillId="16" borderId="28" xfId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41" fontId="30" fillId="0" borderId="0" xfId="1" applyFont="1" applyFill="1" applyBorder="1" applyAlignment="1">
      <alignment horizontal="center" vertical="center"/>
    </xf>
    <xf numFmtId="41" fontId="4" fillId="0" borderId="0" xfId="1" applyFont="1" applyFill="1" applyBorder="1" applyAlignment="1">
      <alignment horizontal="center" vertical="center"/>
    </xf>
    <xf numFmtId="41" fontId="8" fillId="21" borderId="28" xfId="1" applyFont="1" applyFill="1" applyBorder="1" applyAlignment="1">
      <alignment horizontal="center" vertical="center"/>
    </xf>
    <xf numFmtId="41" fontId="12" fillId="21" borderId="0" xfId="1" applyFont="1" applyFill="1" applyAlignment="1">
      <alignment horizontal="center" vertical="center"/>
    </xf>
    <xf numFmtId="41" fontId="0" fillId="21" borderId="28" xfId="1" applyFont="1" applyFill="1" applyBorder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41" fontId="12" fillId="21" borderId="0" xfId="1" applyFont="1" applyFill="1" applyBorder="1" applyAlignment="1">
      <alignment horizontal="center" vertical="center"/>
    </xf>
    <xf numFmtId="0" fontId="8" fillId="0" borderId="28" xfId="1" applyNumberFormat="1" applyFont="1" applyFill="1" applyBorder="1" applyAlignment="1">
      <alignment horizontal="center" vertical="center"/>
    </xf>
    <xf numFmtId="195" fontId="8" fillId="0" borderId="28" xfId="0" applyNumberFormat="1" applyFont="1" applyBorder="1" applyAlignment="1">
      <alignment horizontal="center" vertical="center"/>
    </xf>
    <xf numFmtId="198" fontId="0" fillId="0" borderId="28" xfId="0" applyNumberFormat="1" applyBorder="1" applyAlignment="1">
      <alignment horizontal="center" vertical="center"/>
    </xf>
    <xf numFmtId="198" fontId="8" fillId="0" borderId="28" xfId="0" applyNumberFormat="1" applyFont="1" applyBorder="1" applyAlignment="1">
      <alignment horizontal="center" vertical="center"/>
    </xf>
    <xf numFmtId="198" fontId="8" fillId="0" borderId="28" xfId="1" applyNumberFormat="1" applyFont="1" applyFill="1" applyBorder="1" applyAlignment="1">
      <alignment horizontal="center" vertical="center"/>
    </xf>
    <xf numFmtId="198" fontId="8" fillId="21" borderId="28" xfId="0" applyNumberFormat="1" applyFont="1" applyFill="1" applyBorder="1" applyAlignment="1">
      <alignment horizontal="center" vertical="center"/>
    </xf>
    <xf numFmtId="198" fontId="8" fillId="0" borderId="28" xfId="2" applyNumberFormat="1" applyFont="1" applyFill="1" applyBorder="1" applyAlignment="1">
      <alignment horizontal="center" vertical="center"/>
    </xf>
    <xf numFmtId="0" fontId="8" fillId="0" borderId="28" xfId="2" applyNumberFormat="1" applyFont="1" applyFill="1" applyBorder="1" applyAlignment="1">
      <alignment horizontal="center" vertical="center"/>
    </xf>
    <xf numFmtId="0" fontId="53" fillId="0" borderId="0" xfId="0" applyFont="1">
      <alignment vertical="center"/>
    </xf>
    <xf numFmtId="0" fontId="6" fillId="0" borderId="28" xfId="0" applyFont="1" applyBorder="1" applyAlignment="1">
      <alignment horizontal="center" vertical="center"/>
    </xf>
    <xf numFmtId="0" fontId="11" fillId="0" borderId="28" xfId="1" applyNumberFormat="1" applyFont="1" applyFill="1" applyBorder="1" applyAlignment="1">
      <alignment horizontal="center" vertical="center"/>
    </xf>
    <xf numFmtId="0" fontId="11" fillId="0" borderId="28" xfId="2" applyNumberFormat="1" applyFont="1" applyFill="1" applyBorder="1" applyAlignment="1">
      <alignment horizontal="center" vertical="center"/>
    </xf>
    <xf numFmtId="41" fontId="6" fillId="0" borderId="0" xfId="1" applyFont="1" applyBorder="1" applyAlignment="1">
      <alignment horizontal="center" vertical="center"/>
    </xf>
    <xf numFmtId="194" fontId="13" fillId="15" borderId="28" xfId="9" applyFont="1" applyFill="1" applyBorder="1" applyAlignment="1">
      <alignment horizontal="center" vertical="center"/>
    </xf>
    <xf numFmtId="0" fontId="13" fillId="15" borderId="28" xfId="0" applyFont="1" applyFill="1" applyBorder="1" applyAlignment="1">
      <alignment horizontal="center" vertical="center"/>
    </xf>
    <xf numFmtId="194" fontId="13" fillId="15" borderId="28" xfId="7" applyFont="1" applyFill="1" applyBorder="1" applyAlignment="1">
      <alignment horizontal="center" vertical="center"/>
    </xf>
    <xf numFmtId="196" fontId="13" fillId="0" borderId="28" xfId="2" applyNumberFormat="1" applyFont="1" applyBorder="1" applyAlignment="1">
      <alignment horizontal="center" vertical="center"/>
    </xf>
    <xf numFmtId="0" fontId="6" fillId="0" borderId="194" xfId="0" applyFont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0" fontId="6" fillId="0" borderId="86" xfId="0" applyFont="1" applyBorder="1" applyAlignment="1">
      <alignment horizontal="left" vertical="center"/>
    </xf>
    <xf numFmtId="176" fontId="6" fillId="0" borderId="0" xfId="2" applyNumberFormat="1" applyFont="1" applyFill="1" applyAlignment="1">
      <alignment horizontal="center" vertical="center"/>
    </xf>
    <xf numFmtId="9" fontId="6" fillId="0" borderId="0" xfId="2" applyFont="1" applyFill="1" applyAlignment="1">
      <alignment horizontal="center" vertical="center"/>
    </xf>
    <xf numFmtId="0" fontId="40" fillId="10" borderId="149" xfId="0" applyFont="1" applyFill="1" applyBorder="1" applyAlignment="1">
      <alignment horizontal="center" vertical="center"/>
    </xf>
    <xf numFmtId="0" fontId="38" fillId="10" borderId="149" xfId="0" applyFont="1" applyFill="1" applyBorder="1" applyAlignment="1">
      <alignment horizontal="left" vertical="center"/>
    </xf>
    <xf numFmtId="0" fontId="72" fillId="4" borderId="196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>
      <alignment vertical="center"/>
    </xf>
    <xf numFmtId="0" fontId="6" fillId="6" borderId="52" xfId="0" applyFont="1" applyFill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90" fillId="0" borderId="28" xfId="2" applyNumberFormat="1" applyFont="1" applyFill="1" applyBorder="1" applyAlignment="1">
      <alignment horizontal="center" vertical="center"/>
    </xf>
    <xf numFmtId="0" fontId="91" fillId="0" borderId="28" xfId="2" applyNumberFormat="1" applyFont="1" applyFill="1" applyBorder="1" applyAlignment="1">
      <alignment horizontal="center" vertical="center"/>
    </xf>
    <xf numFmtId="195" fontId="8" fillId="0" borderId="28" xfId="7" applyNumberFormat="1" applyFont="1" applyBorder="1" applyAlignment="1">
      <alignment horizontal="center" vertical="center"/>
    </xf>
    <xf numFmtId="0" fontId="92" fillId="15" borderId="28" xfId="0" applyFont="1" applyFill="1" applyBorder="1" applyAlignment="1">
      <alignment horizontal="center" vertical="center"/>
    </xf>
    <xf numFmtId="194" fontId="92" fillId="15" borderId="28" xfId="7" applyFont="1" applyFill="1" applyBorder="1" applyAlignment="1">
      <alignment horizontal="center" vertical="center"/>
    </xf>
    <xf numFmtId="176" fontId="93" fillId="0" borderId="28" xfId="2" quotePrefix="1" applyNumberFormat="1" applyFont="1" applyBorder="1" applyAlignment="1">
      <alignment horizontal="center" vertical="center"/>
    </xf>
    <xf numFmtId="176" fontId="93" fillId="0" borderId="28" xfId="2" applyNumberFormat="1" applyFont="1" applyBorder="1" applyAlignment="1">
      <alignment horizontal="center" vertical="center"/>
    </xf>
    <xf numFmtId="176" fontId="92" fillId="0" borderId="28" xfId="2" quotePrefix="1" applyNumberFormat="1" applyFont="1" applyBorder="1" applyAlignment="1">
      <alignment horizontal="center" vertical="center"/>
    </xf>
    <xf numFmtId="0" fontId="42" fillId="4" borderId="197" xfId="0" applyFont="1" applyFill="1" applyBorder="1" applyAlignment="1">
      <alignment horizontal="center" vertical="center" wrapText="1"/>
    </xf>
    <xf numFmtId="0" fontId="88" fillId="7" borderId="0" xfId="0" applyFont="1" applyFill="1">
      <alignment vertical="center"/>
    </xf>
    <xf numFmtId="0" fontId="11" fillId="7" borderId="0" xfId="0" applyFont="1" applyFill="1">
      <alignment vertical="center"/>
    </xf>
    <xf numFmtId="0" fontId="8" fillId="7" borderId="0" xfId="0" applyFont="1" applyFill="1">
      <alignment vertical="center"/>
    </xf>
    <xf numFmtId="0" fontId="4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95" fillId="22" borderId="209" xfId="0" applyFont="1" applyFill="1" applyBorder="1" applyAlignment="1">
      <alignment horizontal="center" vertical="center"/>
    </xf>
    <xf numFmtId="0" fontId="95" fillId="23" borderId="210" xfId="0" applyFont="1" applyFill="1" applyBorder="1" applyAlignment="1">
      <alignment horizontal="center" vertical="center"/>
    </xf>
    <xf numFmtId="0" fontId="95" fillId="22" borderId="210" xfId="0" applyFont="1" applyFill="1" applyBorder="1" applyAlignment="1">
      <alignment horizontal="center" vertical="center"/>
    </xf>
    <xf numFmtId="0" fontId="95" fillId="22" borderId="210" xfId="0" applyFont="1" applyFill="1" applyBorder="1" applyAlignment="1">
      <alignment horizontal="center" vertical="center" wrapText="1"/>
    </xf>
    <xf numFmtId="0" fontId="95" fillId="23" borderId="210" xfId="0" applyFont="1" applyFill="1" applyBorder="1" applyAlignment="1">
      <alignment horizontal="center" vertical="center" wrapText="1"/>
    </xf>
    <xf numFmtId="0" fontId="95" fillId="22" borderId="21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9" fillId="0" borderId="0" xfId="0" applyFont="1">
      <alignment vertical="center"/>
    </xf>
    <xf numFmtId="0" fontId="99" fillId="24" borderId="0" xfId="0" applyFont="1" applyFill="1">
      <alignment vertical="center"/>
    </xf>
    <xf numFmtId="0" fontId="9" fillId="7" borderId="0" xfId="0" applyFont="1" applyFill="1">
      <alignment vertical="center"/>
    </xf>
    <xf numFmtId="0" fontId="11" fillId="7" borderId="31" xfId="0" applyFont="1" applyFill="1" applyBorder="1" applyAlignment="1">
      <alignment horizontal="left" vertical="center" shrinkToFit="1"/>
    </xf>
    <xf numFmtId="0" fontId="39" fillId="7" borderId="28" xfId="0" applyFont="1" applyFill="1" applyBorder="1" applyAlignment="1">
      <alignment horizontal="center" vertical="center"/>
    </xf>
    <xf numFmtId="0" fontId="37" fillId="4" borderId="32" xfId="0" applyFont="1" applyFill="1" applyBorder="1" applyAlignment="1" applyProtection="1">
      <alignment horizontal="center" vertical="center"/>
      <protection locked="0"/>
    </xf>
    <xf numFmtId="0" fontId="37" fillId="8" borderId="32" xfId="0" applyFont="1" applyFill="1" applyBorder="1" applyAlignment="1">
      <alignment horizontal="center" vertical="center" wrapText="1"/>
    </xf>
    <xf numFmtId="0" fontId="11" fillId="7" borderId="115" xfId="0" applyFont="1" applyFill="1" applyBorder="1" applyAlignment="1">
      <alignment horizontal="center" vertical="center" shrinkToFit="1"/>
    </xf>
    <xf numFmtId="187" fontId="11" fillId="0" borderId="31" xfId="0" applyNumberFormat="1" applyFont="1" applyBorder="1" applyAlignment="1">
      <alignment horizontal="center" vertical="center"/>
    </xf>
    <xf numFmtId="0" fontId="11" fillId="7" borderId="52" xfId="0" applyFont="1" applyFill="1" applyBorder="1" applyAlignment="1">
      <alignment horizontal="left" vertical="center" shrinkToFit="1"/>
    </xf>
    <xf numFmtId="41" fontId="8" fillId="0" borderId="31" xfId="0" applyNumberFormat="1" applyFont="1" applyBorder="1" applyAlignment="1">
      <alignment horizontal="center" vertical="center"/>
    </xf>
    <xf numFmtId="0" fontId="34" fillId="4" borderId="28" xfId="0" applyFont="1" applyFill="1" applyBorder="1" applyAlignment="1" applyProtection="1">
      <alignment horizontal="center" vertical="center"/>
      <protection locked="0"/>
    </xf>
    <xf numFmtId="0" fontId="11" fillId="0" borderId="145" xfId="0" applyFont="1" applyBorder="1">
      <alignment vertical="center"/>
    </xf>
    <xf numFmtId="0" fontId="11" fillId="0" borderId="145" xfId="0" applyFont="1" applyBorder="1" applyAlignment="1">
      <alignment horizontal="center" vertical="center"/>
    </xf>
    <xf numFmtId="0" fontId="16" fillId="2" borderId="145" xfId="0" applyFont="1" applyFill="1" applyBorder="1" applyAlignment="1">
      <alignment horizontal="center" vertical="center"/>
    </xf>
    <xf numFmtId="41" fontId="8" fillId="2" borderId="214" xfId="0" applyNumberFormat="1" applyFont="1" applyFill="1" applyBorder="1" applyAlignment="1">
      <alignment horizontal="center" vertical="center"/>
    </xf>
    <xf numFmtId="0" fontId="8" fillId="0" borderId="157" xfId="0" applyFont="1" applyBorder="1">
      <alignment vertical="center"/>
    </xf>
    <xf numFmtId="0" fontId="8" fillId="0" borderId="147" xfId="0" applyFont="1" applyBorder="1">
      <alignment vertical="center"/>
    </xf>
    <xf numFmtId="0" fontId="8" fillId="2" borderId="115" xfId="0" applyFont="1" applyFill="1" applyBorder="1" applyAlignment="1">
      <alignment horizontal="center" vertical="center" wrapText="1"/>
    </xf>
    <xf numFmtId="0" fontId="8" fillId="0" borderId="115" xfId="0" applyFont="1" applyBorder="1">
      <alignment vertical="center"/>
    </xf>
    <xf numFmtId="0" fontId="8" fillId="0" borderId="134" xfId="0" applyFont="1" applyBorder="1">
      <alignment vertical="center"/>
    </xf>
    <xf numFmtId="9" fontId="11" fillId="0" borderId="136" xfId="2" applyFont="1" applyBorder="1" applyAlignment="1">
      <alignment horizontal="center" vertical="center"/>
    </xf>
    <xf numFmtId="0" fontId="8" fillId="0" borderId="136" xfId="0" applyFont="1" applyBorder="1">
      <alignment vertical="center"/>
    </xf>
    <xf numFmtId="0" fontId="8" fillId="0" borderId="137" xfId="0" applyFont="1" applyBorder="1">
      <alignment vertical="center"/>
    </xf>
    <xf numFmtId="0" fontId="8" fillId="0" borderId="115" xfId="0" applyFont="1" applyBorder="1" applyAlignment="1">
      <alignment horizontal="center" vertical="center" wrapText="1"/>
    </xf>
    <xf numFmtId="179" fontId="11" fillId="0" borderId="140" xfId="0" applyNumberFormat="1" applyFont="1" applyBorder="1">
      <alignment vertical="center"/>
    </xf>
    <xf numFmtId="187" fontId="11" fillId="0" borderId="142" xfId="0" applyNumberFormat="1" applyFont="1" applyBorder="1">
      <alignment vertical="center"/>
    </xf>
    <xf numFmtId="187" fontId="11" fillId="0" borderId="139" xfId="0" applyNumberFormat="1" applyFont="1" applyBorder="1">
      <alignment vertical="center"/>
    </xf>
    <xf numFmtId="187" fontId="11" fillId="0" borderId="139" xfId="0" applyNumberFormat="1" applyFont="1" applyBorder="1" applyAlignment="1">
      <alignment horizontal="left" vertical="center"/>
    </xf>
    <xf numFmtId="187" fontId="11" fillId="0" borderId="142" xfId="0" applyNumberFormat="1" applyFont="1" applyBorder="1" applyAlignment="1">
      <alignment horizontal="left" vertical="center"/>
    </xf>
    <xf numFmtId="187" fontId="11" fillId="0" borderId="145" xfId="0" applyNumberFormat="1" applyFont="1" applyBorder="1" applyAlignment="1">
      <alignment horizontal="center" vertical="center"/>
    </xf>
    <xf numFmtId="176" fontId="11" fillId="0" borderId="145" xfId="2" applyNumberFormat="1" applyFont="1" applyBorder="1" applyAlignment="1">
      <alignment horizontal="center" vertical="center"/>
    </xf>
    <xf numFmtId="9" fontId="11" fillId="0" borderId="115" xfId="2" applyFont="1" applyBorder="1" applyAlignment="1">
      <alignment horizontal="center" vertical="center"/>
    </xf>
    <xf numFmtId="0" fontId="39" fillId="7" borderId="29" xfId="0" applyFont="1" applyFill="1" applyBorder="1" applyAlignment="1">
      <alignment horizontal="center" vertical="center"/>
    </xf>
    <xf numFmtId="188" fontId="11" fillId="0" borderId="157" xfId="0" applyNumberFormat="1" applyFont="1" applyBorder="1" applyAlignment="1">
      <alignment horizontal="left" vertical="center" indent="1"/>
    </xf>
    <xf numFmtId="41" fontId="8" fillId="2" borderId="157" xfId="0" applyNumberFormat="1" applyFont="1" applyFill="1" applyBorder="1" applyAlignment="1">
      <alignment horizontal="center" vertical="center" shrinkToFit="1"/>
    </xf>
    <xf numFmtId="0" fontId="11" fillId="0" borderId="157" xfId="0" applyFont="1" applyBorder="1" applyAlignment="1">
      <alignment horizontal="left" vertical="center" indent="1"/>
    </xf>
    <xf numFmtId="0" fontId="11" fillId="0" borderId="115" xfId="0" applyFont="1" applyBorder="1" applyAlignment="1">
      <alignment horizontal="center" vertical="center"/>
    </xf>
    <xf numFmtId="41" fontId="8" fillId="2" borderId="115" xfId="0" applyNumberFormat="1" applyFont="1" applyFill="1" applyBorder="1" applyAlignment="1">
      <alignment horizontal="center" vertical="center" shrinkToFit="1"/>
    </xf>
    <xf numFmtId="0" fontId="11" fillId="0" borderId="115" xfId="0" applyFont="1" applyBorder="1" applyAlignment="1">
      <alignment horizontal="left" vertical="center" indent="1"/>
    </xf>
    <xf numFmtId="41" fontId="11" fillId="7" borderId="115" xfId="0" applyNumberFormat="1" applyFont="1" applyFill="1" applyBorder="1" applyAlignment="1">
      <alignment horizontal="center" vertical="center" shrinkToFit="1"/>
    </xf>
    <xf numFmtId="0" fontId="8" fillId="2" borderId="115" xfId="0" applyFont="1" applyFill="1" applyBorder="1" applyAlignment="1">
      <alignment horizontal="center" vertical="center" shrinkToFit="1"/>
    </xf>
    <xf numFmtId="0" fontId="13" fillId="0" borderId="115" xfId="0" applyFont="1" applyBorder="1" applyAlignment="1">
      <alignment horizontal="center" vertical="center"/>
    </xf>
    <xf numFmtId="14" fontId="13" fillId="0" borderId="134" xfId="0" applyNumberFormat="1" applyFont="1" applyBorder="1" applyAlignment="1">
      <alignment horizontal="center" vertical="center"/>
    </xf>
    <xf numFmtId="0" fontId="0" fillId="2" borderId="115" xfId="0" applyFill="1" applyBorder="1" applyAlignment="1">
      <alignment horizontal="center" vertical="center"/>
    </xf>
    <xf numFmtId="186" fontId="11" fillId="0" borderId="115" xfId="0" applyNumberFormat="1" applyFont="1" applyBorder="1" applyAlignment="1">
      <alignment horizontal="center" vertical="center"/>
    </xf>
    <xf numFmtId="0" fontId="8" fillId="0" borderId="135" xfId="0" applyFont="1" applyBorder="1">
      <alignment vertical="center"/>
    </xf>
    <xf numFmtId="0" fontId="98" fillId="0" borderId="216" xfId="0" applyFont="1" applyBorder="1" applyAlignment="1">
      <alignment horizontal="center" vertical="center" wrapText="1"/>
    </xf>
    <xf numFmtId="3" fontId="98" fillId="0" borderId="216" xfId="0" applyNumberFormat="1" applyFont="1" applyBorder="1" applyAlignment="1">
      <alignment horizontal="center" vertical="center" wrapText="1"/>
    </xf>
    <xf numFmtId="41" fontId="98" fillId="0" borderId="21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98" fillId="0" borderId="216" xfId="0" applyFont="1" applyBorder="1" applyAlignment="1">
      <alignment horizontal="left" vertical="center" wrapText="1"/>
    </xf>
    <xf numFmtId="49" fontId="88" fillId="25" borderId="220" xfId="4" applyNumberFormat="1" applyFont="1" applyFill="1" applyBorder="1" applyAlignment="1">
      <alignment horizontal="center" vertical="center" wrapText="1"/>
    </xf>
    <xf numFmtId="49" fontId="88" fillId="25" borderId="221" xfId="4" applyNumberFormat="1" applyFont="1" applyFill="1" applyBorder="1" applyAlignment="1">
      <alignment horizontal="center" vertical="center" wrapText="1"/>
    </xf>
    <xf numFmtId="49" fontId="88" fillId="25" borderId="222" xfId="4" applyNumberFormat="1" applyFont="1" applyFill="1" applyBorder="1" applyAlignment="1">
      <alignment horizontal="center" vertical="center" wrapText="1"/>
    </xf>
    <xf numFmtId="0" fontId="88" fillId="25" borderId="222" xfId="4" applyFont="1" applyFill="1" applyBorder="1" applyAlignment="1">
      <alignment horizontal="center" vertical="center" wrapText="1"/>
    </xf>
    <xf numFmtId="49" fontId="88" fillId="25" borderId="223" xfId="4" applyNumberFormat="1" applyFont="1" applyFill="1" applyBorder="1" applyAlignment="1">
      <alignment horizontal="center" vertical="center" wrapText="1"/>
    </xf>
    <xf numFmtId="49" fontId="88" fillId="25" borderId="224" xfId="4" applyNumberFormat="1" applyFont="1" applyFill="1" applyBorder="1" applyAlignment="1">
      <alignment horizontal="center" vertical="center" wrapText="1"/>
    </xf>
    <xf numFmtId="49" fontId="5" fillId="7" borderId="33" xfId="4" applyNumberFormat="1" applyFont="1" applyFill="1" applyBorder="1" applyAlignment="1">
      <alignment horizontal="center" vertical="center" wrapText="1"/>
    </xf>
    <xf numFmtId="49" fontId="101" fillId="25" borderId="221" xfId="4" applyNumberFormat="1" applyFont="1" applyFill="1" applyBorder="1" applyAlignment="1">
      <alignment horizontal="center" vertical="center" wrapText="1"/>
    </xf>
    <xf numFmtId="49" fontId="39" fillId="8" borderId="35" xfId="4" applyNumberFormat="1" applyFont="1" applyFill="1" applyBorder="1" applyAlignment="1">
      <alignment horizontal="center" vertical="center" wrapText="1"/>
    </xf>
    <xf numFmtId="49" fontId="3" fillId="8" borderId="36" xfId="4" applyNumberFormat="1" applyFont="1" applyFill="1" applyBorder="1" applyAlignment="1">
      <alignment horizontal="center" vertical="center" wrapText="1"/>
    </xf>
    <xf numFmtId="0" fontId="6" fillId="7" borderId="33" xfId="0" applyFont="1" applyFill="1" applyBorder="1" applyAlignment="1">
      <alignment vertical="center" wrapText="1"/>
    </xf>
    <xf numFmtId="0" fontId="5" fillId="7" borderId="33" xfId="4" applyFont="1" applyFill="1" applyBorder="1" applyAlignment="1">
      <alignment horizontal="center" vertical="center" wrapText="1"/>
    </xf>
    <xf numFmtId="0" fontId="7" fillId="7" borderId="33" xfId="4" applyFont="1" applyFill="1" applyBorder="1" applyAlignment="1">
      <alignment horizontal="center" vertical="center" wrapText="1"/>
    </xf>
    <xf numFmtId="0" fontId="6" fillId="7" borderId="33" xfId="0" applyFont="1" applyFill="1" applyBorder="1" applyAlignment="1">
      <alignment horizontal="center" vertical="center" wrapText="1"/>
    </xf>
    <xf numFmtId="41" fontId="6" fillId="7" borderId="33" xfId="1" applyFont="1" applyFill="1" applyBorder="1" applyAlignment="1">
      <alignment horizontal="right" vertical="center" wrapText="1"/>
    </xf>
    <xf numFmtId="0" fontId="6" fillId="7" borderId="47" xfId="0" applyFont="1" applyFill="1" applyBorder="1" applyAlignment="1">
      <alignment vertical="center" wrapText="1"/>
    </xf>
    <xf numFmtId="199" fontId="97" fillId="24" borderId="215" xfId="0" applyNumberFormat="1" applyFont="1" applyFill="1" applyBorder="1" applyAlignment="1">
      <alignment horizontal="center" vertical="center" wrapText="1"/>
    </xf>
    <xf numFmtId="0" fontId="97" fillId="24" borderId="216" xfId="0" applyFont="1" applyFill="1" applyBorder="1" applyAlignment="1">
      <alignment horizontal="center" vertical="center" wrapText="1"/>
    </xf>
    <xf numFmtId="3" fontId="98" fillId="0" borderId="217" xfId="0" applyNumberFormat="1" applyFont="1" applyBorder="1" applyAlignment="1">
      <alignment horizontal="center" vertical="center" wrapText="1"/>
    </xf>
    <xf numFmtId="0" fontId="7" fillId="7" borderId="34" xfId="4" applyFont="1" applyFill="1" applyBorder="1" applyAlignment="1">
      <alignment horizontal="center" vertical="center" wrapText="1"/>
    </xf>
    <xf numFmtId="0" fontId="9" fillId="14" borderId="0" xfId="0" applyFont="1" applyFill="1" applyAlignment="1">
      <alignment horizontal="left" vertical="center"/>
    </xf>
    <xf numFmtId="0" fontId="89" fillId="0" borderId="0" xfId="0" applyFont="1" applyAlignment="1">
      <alignment horizontal="left" vertical="center"/>
    </xf>
    <xf numFmtId="0" fontId="6" fillId="7" borderId="46" xfId="4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left" vertical="center" wrapText="1"/>
    </xf>
    <xf numFmtId="0" fontId="8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center" vertical="center"/>
    </xf>
    <xf numFmtId="41" fontId="15" fillId="8" borderId="0" xfId="1" applyFont="1" applyFill="1" applyBorder="1" applyAlignment="1">
      <alignment horizontal="center" vertical="center"/>
    </xf>
    <xf numFmtId="176" fontId="13" fillId="0" borderId="28" xfId="0" applyNumberFormat="1" applyFont="1" applyBorder="1" applyAlignment="1">
      <alignment horizontal="center" vertical="center"/>
    </xf>
    <xf numFmtId="185" fontId="0" fillId="0" borderId="53" xfId="1" applyNumberFormat="1" applyFont="1" applyBorder="1">
      <alignment vertical="center"/>
    </xf>
    <xf numFmtId="41" fontId="0" fillId="0" borderId="53" xfId="1" applyFont="1" applyBorder="1">
      <alignment vertical="center"/>
    </xf>
    <xf numFmtId="43" fontId="0" fillId="0" borderId="53" xfId="1" applyNumberFormat="1" applyFont="1" applyBorder="1">
      <alignment vertical="center"/>
    </xf>
    <xf numFmtId="189" fontId="11" fillId="16" borderId="28" xfId="0" applyNumberFormat="1" applyFont="1" applyFill="1" applyBorder="1" applyAlignment="1">
      <alignment horizontal="center" vertical="center"/>
    </xf>
    <xf numFmtId="184" fontId="11" fillId="16" borderId="28" xfId="1" applyNumberFormat="1" applyFont="1" applyFill="1" applyBorder="1" applyAlignment="1">
      <alignment horizontal="center" vertical="center"/>
    </xf>
    <xf numFmtId="41" fontId="4" fillId="0" borderId="0" xfId="0" applyNumberFormat="1" applyFont="1" applyAlignment="1">
      <alignment horizontal="left" vertical="center"/>
    </xf>
    <xf numFmtId="41" fontId="4" fillId="0" borderId="0" xfId="2" applyNumberFormat="1" applyFont="1" applyBorder="1" applyAlignment="1">
      <alignment horizontal="right" vertical="center"/>
    </xf>
    <xf numFmtId="41" fontId="102" fillId="0" borderId="0" xfId="0" applyNumberFormat="1" applyFont="1">
      <alignment vertical="center"/>
    </xf>
    <xf numFmtId="41" fontId="3" fillId="0" borderId="0" xfId="1" applyFont="1" applyFill="1" applyBorder="1" applyAlignment="1">
      <alignment horizontal="left" vertical="center"/>
    </xf>
    <xf numFmtId="41" fontId="4" fillId="0" borderId="228" xfId="1" applyFont="1" applyFill="1" applyBorder="1" applyAlignment="1">
      <alignment horizontal="left" vertical="center"/>
    </xf>
    <xf numFmtId="41" fontId="4" fillId="0" borderId="229" xfId="1" applyFont="1" applyBorder="1" applyAlignment="1">
      <alignment horizontal="left" vertical="center"/>
    </xf>
    <xf numFmtId="176" fontId="4" fillId="0" borderId="230" xfId="2" applyNumberFormat="1" applyFont="1" applyBorder="1" applyAlignment="1">
      <alignment horizontal="right" vertical="center"/>
    </xf>
    <xf numFmtId="41" fontId="3" fillId="0" borderId="231" xfId="1" applyFont="1" applyFill="1" applyBorder="1" applyAlignment="1">
      <alignment horizontal="left" vertical="center"/>
    </xf>
    <xf numFmtId="41" fontId="3" fillId="0" borderId="231" xfId="1" applyFont="1" applyBorder="1" applyAlignment="1">
      <alignment horizontal="center" vertical="center"/>
    </xf>
    <xf numFmtId="176" fontId="3" fillId="0" borderId="231" xfId="2" applyNumberFormat="1" applyFont="1" applyBorder="1" applyAlignment="1">
      <alignment horizontal="center" vertical="center"/>
    </xf>
    <xf numFmtId="41" fontId="3" fillId="0" borderId="231" xfId="2" applyNumberFormat="1" applyFont="1" applyBorder="1" applyAlignment="1">
      <alignment horizontal="right" vertical="center"/>
    </xf>
    <xf numFmtId="41" fontId="4" fillId="0" borderId="231" xfId="1" applyFont="1" applyBorder="1" applyAlignment="1">
      <alignment horizontal="left" vertical="center"/>
    </xf>
    <xf numFmtId="41" fontId="3" fillId="0" borderId="232" xfId="1" applyFont="1" applyBorder="1" applyAlignment="1">
      <alignment horizontal="center" vertical="center"/>
    </xf>
    <xf numFmtId="41" fontId="12" fillId="0" borderId="231" xfId="1" applyFont="1" applyFill="1" applyBorder="1" applyAlignment="1">
      <alignment horizontal="center" vertical="center"/>
    </xf>
    <xf numFmtId="41" fontId="12" fillId="0" borderId="231" xfId="1" applyFont="1" applyBorder="1" applyAlignment="1">
      <alignment horizontal="left" vertical="center"/>
    </xf>
    <xf numFmtId="41" fontId="12" fillId="0" borderId="231" xfId="2" applyNumberFormat="1" applyFont="1" applyBorder="1" applyAlignment="1">
      <alignment horizontal="right" vertical="center"/>
    </xf>
    <xf numFmtId="41" fontId="4" fillId="0" borderId="234" xfId="1" applyFont="1" applyFill="1" applyBorder="1" applyAlignment="1">
      <alignment horizontal="left" vertical="center"/>
    </xf>
    <xf numFmtId="41" fontId="4" fillId="0" borderId="234" xfId="1" applyFont="1" applyBorder="1" applyAlignment="1">
      <alignment horizontal="left" vertical="center"/>
    </xf>
    <xf numFmtId="41" fontId="4" fillId="0" borderId="234" xfId="2" applyNumberFormat="1" applyFont="1" applyBorder="1" applyAlignment="1">
      <alignment horizontal="right" vertical="center"/>
    </xf>
    <xf numFmtId="41" fontId="0" fillId="0" borderId="122" xfId="1" applyFont="1" applyBorder="1" applyAlignment="1">
      <alignment vertical="center"/>
    </xf>
    <xf numFmtId="41" fontId="0" fillId="0" borderId="123" xfId="1" applyFont="1" applyBorder="1" applyAlignment="1">
      <alignment vertical="center"/>
    </xf>
    <xf numFmtId="41" fontId="0" fillId="0" borderId="124" xfId="1" applyFont="1" applyBorder="1" applyAlignment="1">
      <alignment vertical="center"/>
    </xf>
    <xf numFmtId="185" fontId="0" fillId="0" borderId="65" xfId="1" applyNumberFormat="1" applyFont="1" applyBorder="1" applyAlignment="1">
      <alignment vertical="center"/>
    </xf>
    <xf numFmtId="41" fontId="0" fillId="0" borderId="65" xfId="1" applyFont="1" applyBorder="1" applyAlignment="1">
      <alignment vertical="center"/>
    </xf>
    <xf numFmtId="43" fontId="0" fillId="0" borderId="65" xfId="1" applyNumberFormat="1" applyFont="1" applyBorder="1" applyAlignment="1">
      <alignment vertical="center"/>
    </xf>
    <xf numFmtId="41" fontId="0" fillId="0" borderId="65" xfId="1" applyFont="1" applyFill="1" applyBorder="1" applyAlignment="1">
      <alignment vertical="center"/>
    </xf>
    <xf numFmtId="6" fontId="3" fillId="0" borderId="231" xfId="2" applyNumberFormat="1" applyFont="1" applyBorder="1" applyAlignment="1">
      <alignment horizontal="right" vertical="center"/>
    </xf>
    <xf numFmtId="41" fontId="103" fillId="7" borderId="0" xfId="0" applyNumberFormat="1" applyFont="1" applyFill="1">
      <alignment vertical="center"/>
    </xf>
    <xf numFmtId="41" fontId="73" fillId="0" borderId="231" xfId="2" applyNumberFormat="1" applyFont="1" applyBorder="1" applyAlignment="1">
      <alignment horizontal="right" vertical="center"/>
    </xf>
    <xf numFmtId="41" fontId="104" fillId="0" borderId="0" xfId="2" applyNumberFormat="1" applyFont="1" applyBorder="1" applyAlignment="1">
      <alignment horizontal="right" vertical="center"/>
    </xf>
    <xf numFmtId="41" fontId="73" fillId="0" borderId="231" xfId="1" applyFont="1" applyBorder="1" applyAlignment="1">
      <alignment horizontal="left" vertical="center"/>
    </xf>
    <xf numFmtId="41" fontId="3" fillId="0" borderId="231" xfId="2" applyNumberFormat="1" applyFont="1" applyFill="1" applyBorder="1" applyAlignment="1">
      <alignment horizontal="right" vertical="center"/>
    </xf>
    <xf numFmtId="0" fontId="9" fillId="0" borderId="78" xfId="0" applyFont="1" applyBorder="1" applyAlignment="1">
      <alignment horizontal="left" vertical="center"/>
    </xf>
    <xf numFmtId="41" fontId="3" fillId="0" borderId="78" xfId="1" applyFont="1" applyFill="1" applyBorder="1" applyAlignment="1">
      <alignment horizontal="left" vertical="center"/>
    </xf>
    <xf numFmtId="176" fontId="4" fillId="0" borderId="6" xfId="2" applyNumberFormat="1" applyFont="1" applyBorder="1" applyAlignment="1">
      <alignment horizontal="right" vertical="center"/>
    </xf>
    <xf numFmtId="41" fontId="3" fillId="0" borderId="0" xfId="1" applyFont="1" applyFill="1" applyBorder="1" applyAlignment="1">
      <alignment horizontal="center" vertical="center"/>
    </xf>
    <xf numFmtId="184" fontId="12" fillId="0" borderId="0" xfId="1" applyNumberFormat="1" applyFont="1" applyFill="1" applyBorder="1" applyAlignment="1">
      <alignment horizontal="left" vertical="center"/>
    </xf>
    <xf numFmtId="41" fontId="4" fillId="0" borderId="0" xfId="1" applyFont="1" applyFill="1" applyBorder="1" applyAlignment="1">
      <alignment horizontal="right" vertical="center"/>
    </xf>
    <xf numFmtId="176" fontId="3" fillId="0" borderId="0" xfId="2" applyNumberFormat="1" applyFont="1" applyFill="1" applyBorder="1" applyAlignment="1">
      <alignment horizontal="right" vertical="center"/>
    </xf>
    <xf numFmtId="0" fontId="8" fillId="0" borderId="0" xfId="0" applyFont="1" applyProtection="1">
      <alignment vertical="center"/>
      <protection locked="0"/>
    </xf>
    <xf numFmtId="0" fontId="6" fillId="4" borderId="0" xfId="0" applyFont="1" applyFill="1" applyAlignment="1">
      <alignment horizontal="center" vertical="center"/>
    </xf>
    <xf numFmtId="10" fontId="4" fillId="0" borderId="28" xfId="1" applyNumberFormat="1" applyFont="1" applyBorder="1" applyAlignment="1">
      <alignment horizontal="center" vertical="center"/>
    </xf>
    <xf numFmtId="176" fontId="11" fillId="9" borderId="0" xfId="2" applyNumberFormat="1" applyFont="1" applyFill="1" applyAlignment="1">
      <alignment horizontal="center" vertical="center"/>
    </xf>
    <xf numFmtId="176" fontId="3" fillId="9" borderId="0" xfId="2" applyNumberFormat="1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90" fillId="0" borderId="29" xfId="2" applyNumberFormat="1" applyFont="1" applyFill="1" applyBorder="1" applyAlignment="1">
      <alignment horizontal="center" vertical="center"/>
    </xf>
    <xf numFmtId="0" fontId="91" fillId="0" borderId="29" xfId="2" applyNumberFormat="1" applyFont="1" applyFill="1" applyBorder="1" applyAlignment="1">
      <alignment horizontal="center" vertical="center"/>
    </xf>
    <xf numFmtId="195" fontId="8" fillId="15" borderId="28" xfId="7" applyNumberFormat="1" applyFont="1" applyFill="1" applyBorder="1" applyAlignment="1">
      <alignment horizontal="center" vertical="center"/>
    </xf>
    <xf numFmtId="41" fontId="87" fillId="0" borderId="28" xfId="1" applyFont="1" applyFill="1" applyBorder="1">
      <alignment vertical="center"/>
    </xf>
    <xf numFmtId="41" fontId="8" fillId="0" borderId="28" xfId="0" applyNumberFormat="1" applyFont="1" applyBorder="1" applyAlignment="1">
      <alignment horizontal="center" vertical="center"/>
    </xf>
    <xf numFmtId="0" fontId="6" fillId="27" borderId="0" xfId="0" applyFont="1" applyFill="1" applyAlignment="1">
      <alignment horizontal="center" vertical="center"/>
    </xf>
    <xf numFmtId="0" fontId="6" fillId="27" borderId="37" xfId="0" applyFont="1" applyFill="1" applyBorder="1" applyAlignment="1">
      <alignment horizontal="center" vertical="center"/>
    </xf>
    <xf numFmtId="176" fontId="12" fillId="4" borderId="237" xfId="2" applyNumberFormat="1" applyFont="1" applyFill="1" applyBorder="1" applyAlignment="1">
      <alignment horizontal="right" vertical="center"/>
    </xf>
    <xf numFmtId="176" fontId="12" fillId="4" borderId="236" xfId="1" applyNumberFormat="1" applyFont="1" applyFill="1" applyBorder="1" applyAlignment="1">
      <alignment vertical="center"/>
    </xf>
    <xf numFmtId="41" fontId="4" fillId="0" borderId="238" xfId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1" fillId="0" borderId="149" xfId="1" applyNumberFormat="1" applyFont="1" applyFill="1" applyBorder="1" applyAlignment="1">
      <alignment horizontal="center" vertical="center"/>
    </xf>
    <xf numFmtId="0" fontId="11" fillId="0" borderId="149" xfId="2" applyNumberFormat="1" applyFont="1" applyFill="1" applyBorder="1" applyAlignment="1">
      <alignment horizontal="center" vertical="center"/>
    </xf>
    <xf numFmtId="0" fontId="3" fillId="4" borderId="193" xfId="1" applyNumberFormat="1" applyFont="1" applyFill="1" applyBorder="1" applyAlignment="1">
      <alignment horizontal="center" vertical="center"/>
    </xf>
    <xf numFmtId="41" fontId="4" fillId="0" borderId="63" xfId="1" applyFont="1" applyBorder="1" applyAlignment="1">
      <alignment horizontal="center" vertical="center"/>
    </xf>
    <xf numFmtId="0" fontId="3" fillId="4" borderId="63" xfId="1" applyNumberFormat="1" applyFont="1" applyFill="1" applyBorder="1" applyAlignment="1">
      <alignment horizontal="center" vertical="center"/>
    </xf>
    <xf numFmtId="41" fontId="3" fillId="4" borderId="63" xfId="1" applyFont="1" applyFill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41" fontId="3" fillId="4" borderId="239" xfId="2" applyNumberFormat="1" applyFont="1" applyFill="1" applyBorder="1" applyAlignment="1">
      <alignment horizontal="right" vertical="center"/>
    </xf>
    <xf numFmtId="41" fontId="4" fillId="0" borderId="63" xfId="1" applyFont="1" applyBorder="1" applyAlignment="1">
      <alignment horizontal="right" vertical="center"/>
    </xf>
    <xf numFmtId="41" fontId="4" fillId="0" borderId="63" xfId="1" applyFont="1" applyBorder="1" applyAlignment="1">
      <alignment horizontal="left" vertical="center" wrapText="1"/>
    </xf>
    <xf numFmtId="43" fontId="19" fillId="0" borderId="63" xfId="0" applyNumberFormat="1" applyFont="1" applyBorder="1">
      <alignment vertical="center"/>
    </xf>
    <xf numFmtId="0" fontId="19" fillId="0" borderId="63" xfId="0" applyFont="1" applyBorder="1">
      <alignment vertical="center"/>
    </xf>
    <xf numFmtId="0" fontId="50" fillId="0" borderId="63" xfId="0" applyFont="1" applyBorder="1">
      <alignment vertical="center"/>
    </xf>
    <xf numFmtId="41" fontId="3" fillId="4" borderId="64" xfId="1" applyFont="1" applyFill="1" applyBorder="1" applyAlignment="1">
      <alignment horizontal="left" vertical="center"/>
    </xf>
    <xf numFmtId="41" fontId="4" fillId="0" borderId="18" xfId="1" applyFont="1" applyBorder="1" applyAlignment="1">
      <alignment horizontal="left" vertical="center"/>
    </xf>
    <xf numFmtId="41" fontId="4" fillId="0" borderId="63" xfId="1" applyFont="1" applyFill="1" applyBorder="1" applyAlignment="1">
      <alignment horizontal="right" vertical="center"/>
    </xf>
    <xf numFmtId="176" fontId="12" fillId="4" borderId="63" xfId="1" applyNumberFormat="1" applyFont="1" applyFill="1" applyBorder="1" applyAlignment="1">
      <alignment horizontal="right" vertical="center"/>
    </xf>
    <xf numFmtId="41" fontId="4" fillId="0" borderId="241" xfId="1" applyFont="1" applyBorder="1" applyAlignment="1">
      <alignment horizontal="left" vertical="center"/>
    </xf>
    <xf numFmtId="41" fontId="4" fillId="0" borderId="63" xfId="1" applyFont="1" applyFill="1" applyBorder="1" applyAlignment="1">
      <alignment horizontal="left" vertical="center"/>
    </xf>
    <xf numFmtId="41" fontId="5" fillId="0" borderId="242" xfId="1" applyFont="1" applyBorder="1" applyAlignment="1">
      <alignment horizontal="right" vertical="center"/>
    </xf>
    <xf numFmtId="41" fontId="4" fillId="0" borderId="243" xfId="1" applyFont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41" fontId="12" fillId="5" borderId="28" xfId="0" applyNumberFormat="1" applyFont="1" applyFill="1" applyBorder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41" fontId="3" fillId="5" borderId="28" xfId="0" applyNumberFormat="1" applyFont="1" applyFill="1" applyBorder="1" applyAlignment="1">
      <alignment horizontal="center" vertical="center"/>
    </xf>
    <xf numFmtId="41" fontId="0" fillId="0" borderId="28" xfId="0" applyNumberFormat="1" applyBorder="1">
      <alignment vertical="center"/>
    </xf>
    <xf numFmtId="0" fontId="4" fillId="9" borderId="28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/>
    </xf>
    <xf numFmtId="0" fontId="4" fillId="9" borderId="32" xfId="0" applyFont="1" applyFill="1" applyBorder="1" applyAlignment="1">
      <alignment horizontal="center" vertical="center"/>
    </xf>
    <xf numFmtId="41" fontId="4" fillId="9" borderId="28" xfId="1" applyFont="1" applyFill="1" applyBorder="1" applyAlignment="1">
      <alignment horizontal="center" vertical="center"/>
    </xf>
    <xf numFmtId="41" fontId="4" fillId="9" borderId="28" xfId="1" applyFont="1" applyFill="1" applyBorder="1">
      <alignment vertical="center"/>
    </xf>
    <xf numFmtId="41" fontId="87" fillId="9" borderId="28" xfId="1" applyFont="1" applyFill="1" applyBorder="1">
      <alignment vertical="center"/>
    </xf>
    <xf numFmtId="0" fontId="109" fillId="0" borderId="0" xfId="0" applyFont="1" applyAlignment="1">
      <alignment horizontal="center" vertical="center"/>
    </xf>
    <xf numFmtId="0" fontId="4" fillId="0" borderId="244" xfId="0" applyFont="1" applyBorder="1" applyAlignment="1">
      <alignment horizontal="right" vertical="center"/>
    </xf>
    <xf numFmtId="41" fontId="4" fillId="0" borderId="245" xfId="1" applyFont="1" applyFill="1" applyBorder="1" applyAlignment="1">
      <alignment horizontal="left" vertical="center"/>
    </xf>
    <xf numFmtId="41" fontId="4" fillId="0" borderId="246" xfId="1" applyFont="1" applyBorder="1" applyAlignment="1">
      <alignment horizontal="left" vertical="center"/>
    </xf>
    <xf numFmtId="41" fontId="4" fillId="0" borderId="247" xfId="1" applyFont="1" applyBorder="1" applyAlignment="1">
      <alignment horizontal="left" vertical="center"/>
    </xf>
    <xf numFmtId="0" fontId="6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176" fontId="5" fillId="0" borderId="0" xfId="2" applyNumberFormat="1" applyFont="1" applyFill="1" applyAlignment="1">
      <alignment horizontal="center" vertical="center"/>
    </xf>
    <xf numFmtId="0" fontId="109" fillId="8" borderId="0" xfId="0" applyFont="1" applyFill="1" applyAlignment="1">
      <alignment horizontal="center" vertical="center"/>
    </xf>
    <xf numFmtId="10" fontId="0" fillId="0" borderId="0" xfId="2" applyNumberFormat="1" applyFont="1">
      <alignment vertical="center"/>
    </xf>
    <xf numFmtId="10" fontId="4" fillId="0" borderId="0" xfId="2" applyNumberFormat="1" applyFont="1" applyBorder="1" applyAlignment="1">
      <alignment horizontal="right" vertical="center"/>
    </xf>
    <xf numFmtId="200" fontId="3" fillId="4" borderId="240" xfId="2" applyNumberFormat="1" applyFont="1" applyFill="1" applyBorder="1" applyAlignment="1">
      <alignment horizontal="right" vertical="center"/>
    </xf>
    <xf numFmtId="200" fontId="3" fillId="4" borderId="1" xfId="2" applyNumberFormat="1" applyFont="1" applyFill="1" applyBorder="1" applyAlignment="1">
      <alignment horizontal="right" vertical="center"/>
    </xf>
    <xf numFmtId="0" fontId="11" fillId="0" borderId="78" xfId="0" applyFont="1" applyBorder="1">
      <alignment vertical="center"/>
    </xf>
    <xf numFmtId="41" fontId="4" fillId="4" borderId="28" xfId="1" applyFont="1" applyFill="1" applyBorder="1" applyAlignment="1">
      <alignment horizontal="center" vertical="center"/>
    </xf>
    <xf numFmtId="9" fontId="6" fillId="16" borderId="0" xfId="2" applyFont="1" applyFill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176" fontId="3" fillId="2" borderId="63" xfId="2" applyNumberFormat="1" applyFont="1" applyFill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41" fontId="3" fillId="0" borderId="63" xfId="0" applyNumberFormat="1" applyFont="1" applyBorder="1" applyAlignment="1">
      <alignment horizontal="center" vertical="center"/>
    </xf>
    <xf numFmtId="41" fontId="16" fillId="0" borderId="63" xfId="1" applyFont="1" applyFill="1" applyBorder="1" applyAlignment="1">
      <alignment horizontal="right" vertical="center"/>
    </xf>
    <xf numFmtId="0" fontId="11" fillId="2" borderId="28" xfId="0" applyFont="1" applyFill="1" applyBorder="1" applyAlignment="1">
      <alignment horizontal="center" vertical="center"/>
    </xf>
    <xf numFmtId="10" fontId="4" fillId="0" borderId="11" xfId="2" applyNumberFormat="1" applyFont="1" applyBorder="1" applyAlignment="1">
      <alignment horizontal="right" vertical="center"/>
    </xf>
    <xf numFmtId="201" fontId="4" fillId="17" borderId="37" xfId="0" applyNumberFormat="1" applyFont="1" applyFill="1" applyBorder="1" applyAlignment="1">
      <alignment horizontal="center" vertical="center"/>
    </xf>
    <xf numFmtId="10" fontId="4" fillId="0" borderId="9" xfId="2" applyNumberFormat="1" applyFont="1" applyBorder="1" applyAlignment="1">
      <alignment horizontal="right" vertical="center"/>
    </xf>
    <xf numFmtId="0" fontId="6" fillId="0" borderId="78" xfId="0" applyFont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176" fontId="4" fillId="0" borderId="20" xfId="2" applyNumberFormat="1" applyFont="1" applyBorder="1" applyAlignment="1">
      <alignment horizontal="right" vertical="center"/>
    </xf>
    <xf numFmtId="176" fontId="16" fillId="0" borderId="10" xfId="2" applyNumberFormat="1" applyFont="1" applyFill="1" applyBorder="1" applyAlignment="1">
      <alignment horizontal="right" vertical="center"/>
    </xf>
    <xf numFmtId="176" fontId="4" fillId="0" borderId="244" xfId="2" applyNumberFormat="1" applyFont="1" applyBorder="1" applyAlignment="1">
      <alignment horizontal="right" vertical="center"/>
    </xf>
    <xf numFmtId="176" fontId="4" fillId="0" borderId="248" xfId="2" applyNumberFormat="1" applyFont="1" applyBorder="1" applyAlignment="1">
      <alignment horizontal="right" vertical="center"/>
    </xf>
    <xf numFmtId="10" fontId="4" fillId="17" borderId="37" xfId="0" applyNumberFormat="1" applyFont="1" applyFill="1" applyBorder="1" applyAlignment="1">
      <alignment horizontal="center" vertical="center"/>
    </xf>
    <xf numFmtId="0" fontId="30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0" fontId="88" fillId="0" borderId="0" xfId="0" applyFont="1" applyAlignment="1">
      <alignment vertical="center" wrapText="1"/>
    </xf>
    <xf numFmtId="0" fontId="4" fillId="16" borderId="50" xfId="0" applyFont="1" applyFill="1" applyBorder="1" applyAlignment="1">
      <alignment horizontal="center" vertical="center"/>
    </xf>
    <xf numFmtId="41" fontId="5" fillId="16" borderId="64" xfId="1" applyFont="1" applyFill="1" applyBorder="1" applyAlignment="1">
      <alignment horizontal="center" vertical="center"/>
    </xf>
    <xf numFmtId="41" fontId="2" fillId="0" borderId="0" xfId="1" applyFont="1" applyFill="1" applyBorder="1" applyAlignment="1">
      <alignment horizontal="left" vertical="center"/>
    </xf>
    <xf numFmtId="0" fontId="3" fillId="0" borderId="63" xfId="1" applyNumberFormat="1" applyFont="1" applyFill="1" applyBorder="1" applyAlignment="1">
      <alignment horizontal="center" vertical="center"/>
    </xf>
    <xf numFmtId="0" fontId="11" fillId="28" borderId="28" xfId="0" applyFont="1" applyFill="1" applyBorder="1" applyAlignment="1" applyProtection="1">
      <alignment horizontal="center" vertical="center"/>
      <protection locked="0"/>
    </xf>
    <xf numFmtId="195" fontId="8" fillId="9" borderId="28" xfId="7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83" fillId="9" borderId="0" xfId="1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5" borderId="0" xfId="1" applyNumberFormat="1" applyFont="1" applyFill="1" applyBorder="1" applyAlignment="1">
      <alignment horizontal="left" vertical="center"/>
    </xf>
    <xf numFmtId="0" fontId="7" fillId="5" borderId="0" xfId="1" applyNumberFormat="1" applyFont="1" applyFill="1" applyBorder="1" applyAlignment="1">
      <alignment horizontal="center" vertical="center"/>
    </xf>
    <xf numFmtId="0" fontId="7" fillId="5" borderId="37" xfId="1" applyNumberFormat="1" applyFont="1" applyFill="1" applyBorder="1" applyAlignment="1">
      <alignment horizontal="center" vertical="center"/>
    </xf>
    <xf numFmtId="0" fontId="7" fillId="5" borderId="0" xfId="1" applyNumberFormat="1" applyFont="1" applyFill="1" applyBorder="1" applyAlignment="1">
      <alignment horizontal="center" vertical="center" shrinkToFit="1"/>
    </xf>
    <xf numFmtId="41" fontId="7" fillId="5" borderId="0" xfId="1" applyFont="1" applyFill="1" applyBorder="1" applyAlignment="1">
      <alignment horizontal="center" vertical="center"/>
    </xf>
    <xf numFmtId="0" fontId="83" fillId="5" borderId="0" xfId="1" applyNumberFormat="1" applyFont="1" applyFill="1" applyBorder="1" applyAlignment="1">
      <alignment horizontal="center" vertical="center"/>
    </xf>
    <xf numFmtId="0" fontId="13" fillId="5" borderId="0" xfId="1" applyNumberFormat="1" applyFont="1" applyFill="1" applyBorder="1" applyAlignment="1">
      <alignment horizontal="center" vertical="center"/>
    </xf>
    <xf numFmtId="0" fontId="108" fillId="5" borderId="0" xfId="1" applyNumberFormat="1" applyFont="1" applyFill="1" applyBorder="1" applyAlignment="1">
      <alignment horizontal="center" vertical="center"/>
    </xf>
    <xf numFmtId="0" fontId="108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6" fillId="8" borderId="37" xfId="0" applyFont="1" applyFill="1" applyBorder="1" applyAlignment="1">
      <alignment horizontal="center" vertical="center"/>
    </xf>
    <xf numFmtId="176" fontId="6" fillId="8" borderId="0" xfId="2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6" borderId="37" xfId="0" applyFont="1" applyFill="1" applyBorder="1" applyAlignment="1">
      <alignment horizontal="center" vertical="center"/>
    </xf>
    <xf numFmtId="176" fontId="6" fillId="6" borderId="0" xfId="2" applyNumberFormat="1" applyFont="1" applyFill="1" applyAlignment="1">
      <alignment horizontal="center" vertical="center"/>
    </xf>
    <xf numFmtId="0" fontId="6" fillId="21" borderId="0" xfId="0" applyFont="1" applyFill="1" applyAlignment="1">
      <alignment horizontal="left" vertical="center"/>
    </xf>
    <xf numFmtId="0" fontId="6" fillId="21" borderId="37" xfId="0" applyFont="1" applyFill="1" applyBorder="1" applyAlignment="1">
      <alignment horizontal="center" vertical="center"/>
    </xf>
    <xf numFmtId="176" fontId="6" fillId="21" borderId="0" xfId="2" applyNumberFormat="1" applyFont="1" applyFill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9" fontId="6" fillId="4" borderId="0" xfId="2" applyFont="1" applyFill="1" applyAlignment="1">
      <alignment horizontal="center" vertical="center"/>
    </xf>
    <xf numFmtId="176" fontId="6" fillId="4" borderId="0" xfId="2" applyNumberFormat="1" applyFont="1" applyFill="1" applyAlignment="1">
      <alignment horizontal="center" vertical="center"/>
    </xf>
    <xf numFmtId="0" fontId="109" fillId="6" borderId="0" xfId="0" applyFont="1" applyFill="1" applyAlignment="1">
      <alignment horizontal="center" vertical="center"/>
    </xf>
    <xf numFmtId="201" fontId="3" fillId="4" borderId="1" xfId="2" applyNumberFormat="1" applyFont="1" applyFill="1" applyBorder="1" applyAlignment="1">
      <alignment horizontal="right" vertical="center"/>
    </xf>
    <xf numFmtId="0" fontId="110" fillId="0" borderId="0" xfId="0" applyFont="1">
      <alignment vertical="center"/>
    </xf>
    <xf numFmtId="0" fontId="110" fillId="0" borderId="0" xfId="0" applyFont="1" applyAlignment="1">
      <alignment horizontal="center" vertical="center"/>
    </xf>
    <xf numFmtId="0" fontId="111" fillId="0" borderId="0" xfId="0" applyFont="1" applyAlignment="1"/>
    <xf numFmtId="0" fontId="112" fillId="0" borderId="0" xfId="0" applyFont="1" applyAlignment="1"/>
    <xf numFmtId="0" fontId="114" fillId="0" borderId="0" xfId="0" applyFont="1">
      <alignment vertical="center"/>
    </xf>
    <xf numFmtId="0" fontId="115" fillId="0" borderId="0" xfId="0" applyFont="1" applyAlignment="1">
      <alignment horizontal="right"/>
    </xf>
    <xf numFmtId="0" fontId="116" fillId="0" borderId="0" xfId="4" applyFont="1" applyAlignment="1">
      <alignment vertical="center"/>
    </xf>
    <xf numFmtId="0" fontId="117" fillId="0" borderId="0" xfId="4" applyFont="1" applyAlignment="1">
      <alignment vertical="center"/>
    </xf>
    <xf numFmtId="0" fontId="111" fillId="0" borderId="0" xfId="0" applyFont="1">
      <alignment vertical="center"/>
    </xf>
    <xf numFmtId="0" fontId="118" fillId="0" borderId="0" xfId="0" applyFont="1">
      <alignment vertical="center"/>
    </xf>
    <xf numFmtId="0" fontId="120" fillId="5" borderId="0" xfId="0" applyFont="1" applyFill="1">
      <alignment vertical="center"/>
    </xf>
    <xf numFmtId="0" fontId="122" fillId="5" borderId="0" xfId="0" applyFont="1" applyFill="1">
      <alignment vertical="center"/>
    </xf>
    <xf numFmtId="0" fontId="114" fillId="5" borderId="0" xfId="0" applyFont="1" applyFill="1">
      <alignment vertical="center"/>
    </xf>
    <xf numFmtId="0" fontId="115" fillId="5" borderId="0" xfId="0" applyFont="1" applyFill="1" applyAlignment="1">
      <alignment horizontal="right"/>
    </xf>
    <xf numFmtId="0" fontId="119" fillId="7" borderId="0" xfId="4" quotePrefix="1" applyFont="1" applyFill="1" applyAlignment="1">
      <alignment horizontal="left"/>
    </xf>
    <xf numFmtId="0" fontId="119" fillId="7" borderId="0" xfId="4" quotePrefix="1" applyFont="1" applyFill="1" applyAlignment="1">
      <alignment horizontal="left" vertical="center"/>
    </xf>
    <xf numFmtId="0" fontId="119" fillId="0" borderId="0" xfId="4" quotePrefix="1" applyFont="1" applyAlignment="1">
      <alignment horizontal="left" vertical="center"/>
    </xf>
    <xf numFmtId="0" fontId="110" fillId="7" borderId="0" xfId="0" applyFont="1" applyFill="1">
      <alignment vertical="center"/>
    </xf>
    <xf numFmtId="0" fontId="110" fillId="7" borderId="0" xfId="0" applyFont="1" applyFill="1" applyAlignment="1">
      <alignment horizontal="center" vertical="center"/>
    </xf>
    <xf numFmtId="0" fontId="123" fillId="0" borderId="0" xfId="4" quotePrefix="1" applyFont="1" applyAlignment="1">
      <alignment horizontal="left"/>
    </xf>
    <xf numFmtId="0" fontId="124" fillId="0" borderId="0" xfId="4" applyFont="1" applyAlignment="1">
      <alignment vertical="center"/>
    </xf>
    <xf numFmtId="0" fontId="125" fillId="0" borderId="0" xfId="0" applyFont="1">
      <alignment vertical="center"/>
    </xf>
    <xf numFmtId="0" fontId="126" fillId="11" borderId="250" xfId="0" applyFont="1" applyFill="1" applyBorder="1" applyAlignment="1">
      <alignment horizontal="center" vertical="center" wrapText="1"/>
    </xf>
    <xf numFmtId="0" fontId="128" fillId="0" borderId="0" xfId="0" applyFont="1">
      <alignment vertical="center"/>
    </xf>
    <xf numFmtId="0" fontId="125" fillId="0" borderId="0" xfId="0" applyFont="1" applyAlignment="1">
      <alignment horizontal="center" vertical="center"/>
    </xf>
    <xf numFmtId="0" fontId="129" fillId="7" borderId="0" xfId="4" quotePrefix="1" applyFont="1" applyFill="1" applyAlignment="1">
      <alignment horizontal="left" vertical="center"/>
    </xf>
    <xf numFmtId="0" fontId="131" fillId="0" borderId="0" xfId="0" applyFont="1">
      <alignment vertical="center"/>
    </xf>
    <xf numFmtId="0" fontId="133" fillId="7" borderId="260" xfId="0" applyFont="1" applyFill="1" applyBorder="1" applyAlignment="1">
      <alignment horizontal="center" vertical="center"/>
    </xf>
    <xf numFmtId="0" fontId="122" fillId="2" borderId="261" xfId="0" applyFont="1" applyFill="1" applyBorder="1" applyAlignment="1">
      <alignment horizontal="center" vertical="center"/>
    </xf>
    <xf numFmtId="0" fontId="135" fillId="2" borderId="262" xfId="0" applyFont="1" applyFill="1" applyBorder="1" applyAlignment="1">
      <alignment horizontal="center" vertical="center" wrapText="1"/>
    </xf>
    <xf numFmtId="0" fontId="134" fillId="0" borderId="261" xfId="0" applyFont="1" applyBorder="1" applyAlignment="1">
      <alignment horizontal="left" vertical="center" wrapText="1"/>
    </xf>
    <xf numFmtId="0" fontId="136" fillId="0" borderId="0" xfId="0" applyFont="1">
      <alignment vertical="center"/>
    </xf>
    <xf numFmtId="0" fontId="133" fillId="7" borderId="260" xfId="0" applyFont="1" applyFill="1" applyBorder="1" applyAlignment="1">
      <alignment horizontal="center" vertical="center" wrapText="1"/>
    </xf>
    <xf numFmtId="0" fontId="122" fillId="2" borderId="267" xfId="0" applyFont="1" applyFill="1" applyBorder="1" applyAlignment="1">
      <alignment horizontal="center" vertical="center" wrapText="1"/>
    </xf>
    <xf numFmtId="0" fontId="135" fillId="2" borderId="267" xfId="0" applyFont="1" applyFill="1" applyBorder="1" applyAlignment="1">
      <alignment horizontal="center" vertical="center" wrapText="1"/>
    </xf>
    <xf numFmtId="0" fontId="134" fillId="0" borderId="267" xfId="0" applyFont="1" applyBorder="1" applyAlignment="1">
      <alignment horizontal="left" vertical="center" wrapText="1"/>
    </xf>
    <xf numFmtId="0" fontId="122" fillId="2" borderId="267" xfId="0" applyFont="1" applyFill="1" applyBorder="1" applyAlignment="1">
      <alignment horizontal="center" vertical="center"/>
    </xf>
    <xf numFmtId="0" fontId="135" fillId="2" borderId="271" xfId="0" applyFont="1" applyFill="1" applyBorder="1" applyAlignment="1">
      <alignment horizontal="center" vertical="center" wrapText="1"/>
    </xf>
    <xf numFmtId="0" fontId="140" fillId="0" borderId="0" xfId="0" applyFont="1">
      <alignment vertical="center"/>
    </xf>
    <xf numFmtId="0" fontId="119" fillId="2" borderId="241" xfId="4" applyFont="1" applyFill="1" applyBorder="1" applyAlignment="1">
      <alignment horizontal="center" vertical="center" wrapText="1"/>
    </xf>
    <xf numFmtId="0" fontId="122" fillId="2" borderId="276" xfId="0" applyFont="1" applyFill="1" applyBorder="1" applyAlignment="1">
      <alignment horizontal="center" vertical="center"/>
    </xf>
    <xf numFmtId="0" fontId="135" fillId="2" borderId="277" xfId="0" applyFont="1" applyFill="1" applyBorder="1" applyAlignment="1">
      <alignment horizontal="center" vertical="center" wrapText="1"/>
    </xf>
    <xf numFmtId="0" fontId="134" fillId="0" borderId="276" xfId="0" quotePrefix="1" applyFont="1" applyBorder="1" applyAlignment="1">
      <alignment horizontal="left" vertical="center" wrapText="1"/>
    </xf>
    <xf numFmtId="0" fontId="110" fillId="0" borderId="0" xfId="0" applyFont="1" applyAlignment="1">
      <alignment vertical="center" textRotation="255"/>
    </xf>
    <xf numFmtId="0" fontId="133" fillId="7" borderId="259" xfId="0" applyFont="1" applyFill="1" applyBorder="1" applyAlignment="1">
      <alignment horizontal="center" vertical="center"/>
    </xf>
    <xf numFmtId="0" fontId="122" fillId="2" borderId="259" xfId="0" applyFont="1" applyFill="1" applyBorder="1" applyAlignment="1">
      <alignment horizontal="center" vertical="center"/>
    </xf>
    <xf numFmtId="0" fontId="135" fillId="2" borderId="259" xfId="0" applyFont="1" applyFill="1" applyBorder="1" applyAlignment="1">
      <alignment horizontal="center" vertical="center" wrapText="1"/>
    </xf>
    <xf numFmtId="0" fontId="134" fillId="0" borderId="259" xfId="0" applyFont="1" applyBorder="1" applyAlignment="1">
      <alignment horizontal="left" vertical="center" wrapText="1"/>
    </xf>
    <xf numFmtId="0" fontId="148" fillId="0" borderId="152" xfId="13" quotePrefix="1" applyNumberFormat="1" applyFont="1" applyBorder="1" applyAlignment="1">
      <alignment horizontal="left" vertical="center" wrapText="1"/>
    </xf>
    <xf numFmtId="0" fontId="122" fillId="2" borderId="280" xfId="0" applyFont="1" applyFill="1" applyBorder="1" applyAlignment="1">
      <alignment horizontal="center" vertical="center" wrapText="1"/>
    </xf>
    <xf numFmtId="0" fontId="135" fillId="2" borderId="284" xfId="0" applyFont="1" applyFill="1" applyBorder="1" applyAlignment="1">
      <alignment horizontal="center" vertical="center" wrapText="1"/>
    </xf>
    <xf numFmtId="0" fontId="138" fillId="0" borderId="285" xfId="0" applyFont="1" applyBorder="1" applyAlignment="1">
      <alignment horizontal="left" vertical="center" wrapText="1"/>
    </xf>
    <xf numFmtId="0" fontId="115" fillId="0" borderId="0" xfId="0" applyFont="1" applyAlignment="1">
      <alignment horizontal="center" vertical="center"/>
    </xf>
    <xf numFmtId="0" fontId="135" fillId="2" borderId="287" xfId="0" applyFont="1" applyFill="1" applyBorder="1" applyAlignment="1">
      <alignment horizontal="center" vertical="center" wrapText="1"/>
    </xf>
    <xf numFmtId="0" fontId="138" fillId="0" borderId="280" xfId="0" applyFont="1" applyBorder="1" applyAlignment="1">
      <alignment horizontal="left" vertical="center" wrapText="1"/>
    </xf>
    <xf numFmtId="0" fontId="148" fillId="0" borderId="289" xfId="13" quotePrefix="1" applyNumberFormat="1" applyFont="1" applyBorder="1" applyAlignment="1">
      <alignment horizontal="left" vertical="center" wrapText="1"/>
    </xf>
    <xf numFmtId="0" fontId="134" fillId="0" borderId="280" xfId="0" applyFont="1" applyBorder="1" applyAlignment="1">
      <alignment horizontal="left" vertical="center" wrapText="1"/>
    </xf>
    <xf numFmtId="0" fontId="148" fillId="7" borderId="266" xfId="13" quotePrefix="1" applyNumberFormat="1" applyFont="1" applyFill="1" applyBorder="1" applyAlignment="1">
      <alignment horizontal="left" vertical="center" wrapText="1"/>
    </xf>
    <xf numFmtId="0" fontId="134" fillId="0" borderId="286" xfId="0" applyFont="1" applyBorder="1" applyAlignment="1">
      <alignment horizontal="left" vertical="center" wrapText="1"/>
    </xf>
    <xf numFmtId="0" fontId="148" fillId="7" borderId="289" xfId="13" quotePrefix="1" applyNumberFormat="1" applyFont="1" applyFill="1" applyBorder="1" applyAlignment="1">
      <alignment horizontal="left" vertical="center" wrapText="1"/>
    </xf>
    <xf numFmtId="0" fontId="122" fillId="2" borderId="297" xfId="0" applyFont="1" applyFill="1" applyBorder="1" applyAlignment="1">
      <alignment horizontal="center" vertical="center"/>
    </xf>
    <xf numFmtId="0" fontId="135" fillId="2" borderId="298" xfId="0" applyFont="1" applyFill="1" applyBorder="1" applyAlignment="1">
      <alignment horizontal="center" vertical="center" wrapText="1"/>
    </xf>
    <xf numFmtId="0" fontId="134" fillId="0" borderId="297" xfId="0" applyFont="1" applyBorder="1" applyAlignment="1">
      <alignment horizontal="left" vertical="center" wrapText="1"/>
    </xf>
    <xf numFmtId="0" fontId="122" fillId="2" borderId="261" xfId="0" applyFont="1" applyFill="1" applyBorder="1" applyAlignment="1">
      <alignment horizontal="center" vertical="center" wrapText="1"/>
    </xf>
    <xf numFmtId="0" fontId="135" fillId="2" borderId="261" xfId="0" applyFont="1" applyFill="1" applyBorder="1" applyAlignment="1">
      <alignment horizontal="center" vertical="center" wrapText="1"/>
    </xf>
    <xf numFmtId="0" fontId="134" fillId="0" borderId="261" xfId="0" applyFont="1" applyBorder="1" applyAlignment="1">
      <alignment horizontal="center" vertical="center" wrapText="1"/>
    </xf>
    <xf numFmtId="0" fontId="119" fillId="7" borderId="274" xfId="4" applyFont="1" applyFill="1" applyBorder="1" applyAlignment="1">
      <alignment horizontal="center" vertical="center" wrapText="1"/>
    </xf>
    <xf numFmtId="0" fontId="119" fillId="7" borderId="94" xfId="4" applyFont="1" applyFill="1" applyBorder="1" applyAlignment="1">
      <alignment horizontal="center" vertical="center"/>
    </xf>
    <xf numFmtId="0" fontId="147" fillId="15" borderId="289" xfId="13" applyNumberFormat="1" applyFont="1" applyFill="1" applyBorder="1" applyAlignment="1">
      <alignment horizontal="left" vertical="center" indent="1"/>
    </xf>
    <xf numFmtId="0" fontId="134" fillId="0" borderId="284" xfId="0" applyFont="1" applyBorder="1" applyAlignment="1">
      <alignment horizontal="left" vertical="center" wrapText="1"/>
    </xf>
    <xf numFmtId="0" fontId="135" fillId="2" borderId="300" xfId="0" applyFont="1" applyFill="1" applyBorder="1" applyAlignment="1">
      <alignment horizontal="center" vertical="center" wrapText="1"/>
    </xf>
    <xf numFmtId="0" fontId="134" fillId="0" borderId="260" xfId="0" applyFont="1" applyBorder="1" applyAlignment="1">
      <alignment horizontal="left" vertical="center" wrapText="1"/>
    </xf>
    <xf numFmtId="0" fontId="138" fillId="0" borderId="287" xfId="0" applyFont="1" applyBorder="1" applyAlignment="1">
      <alignment horizontal="left" vertical="top" wrapText="1"/>
    </xf>
    <xf numFmtId="0" fontId="135" fillId="2" borderId="284" xfId="0" applyFont="1" applyFill="1" applyBorder="1" applyAlignment="1">
      <alignment horizontal="center" vertical="center"/>
    </xf>
    <xf numFmtId="0" fontId="135" fillId="2" borderId="300" xfId="0" applyFont="1" applyFill="1" applyBorder="1" applyAlignment="1">
      <alignment horizontal="center" vertical="center"/>
    </xf>
    <xf numFmtId="0" fontId="135" fillId="2" borderId="306" xfId="0" applyFont="1" applyFill="1" applyBorder="1" applyAlignment="1">
      <alignment horizontal="center" vertical="center"/>
    </xf>
    <xf numFmtId="41" fontId="143" fillId="2" borderId="263" xfId="13" applyFont="1" applyFill="1" applyBorder="1" applyAlignment="1">
      <alignment horizontal="center" vertical="center"/>
    </xf>
    <xf numFmtId="0" fontId="138" fillId="7" borderId="308" xfId="0" applyFont="1" applyFill="1" applyBorder="1" applyAlignment="1">
      <alignment horizontal="center" vertical="center" wrapText="1"/>
    </xf>
    <xf numFmtId="0" fontId="138" fillId="7" borderId="310" xfId="0" applyFont="1" applyFill="1" applyBorder="1" applyAlignment="1">
      <alignment horizontal="center" vertical="center" wrapText="1"/>
    </xf>
    <xf numFmtId="0" fontId="138" fillId="7" borderId="312" xfId="0" applyFont="1" applyFill="1" applyBorder="1" applyAlignment="1">
      <alignment horizontal="center" vertical="center" wrapText="1"/>
    </xf>
    <xf numFmtId="0" fontId="138" fillId="7" borderId="313" xfId="0" applyFont="1" applyFill="1" applyBorder="1" applyAlignment="1">
      <alignment horizontal="center" vertical="center" wrapText="1"/>
    </xf>
    <xf numFmtId="0" fontId="135" fillId="2" borderId="314" xfId="0" applyFont="1" applyFill="1" applyBorder="1" applyAlignment="1">
      <alignment horizontal="center" vertical="center" wrapText="1"/>
    </xf>
    <xf numFmtId="0" fontId="146" fillId="0" borderId="289" xfId="13" quotePrefix="1" applyNumberFormat="1" applyFont="1" applyBorder="1" applyAlignment="1">
      <alignment horizontal="left" vertical="center" wrapText="1"/>
    </xf>
    <xf numFmtId="0" fontId="135" fillId="2" borderId="318" xfId="0" applyFont="1" applyFill="1" applyBorder="1" applyAlignment="1">
      <alignment horizontal="center" vertical="center" wrapText="1"/>
    </xf>
    <xf numFmtId="0" fontId="138" fillId="7" borderId="321" xfId="0" applyFont="1" applyFill="1" applyBorder="1" applyAlignment="1">
      <alignment horizontal="center" vertical="center" wrapText="1"/>
    </xf>
    <xf numFmtId="0" fontId="135" fillId="2" borderId="260" xfId="0" applyFont="1" applyFill="1" applyBorder="1" applyAlignment="1">
      <alignment horizontal="center" vertical="center" wrapText="1"/>
    </xf>
    <xf numFmtId="0" fontId="146" fillId="7" borderId="289" xfId="14" quotePrefix="1" applyNumberFormat="1" applyFont="1" applyFill="1" applyBorder="1" applyAlignment="1">
      <alignment horizontal="left" vertical="center" wrapText="1"/>
    </xf>
    <xf numFmtId="0" fontId="135" fillId="2" borderId="326" xfId="0" applyFont="1" applyFill="1" applyBorder="1" applyAlignment="1">
      <alignment horizontal="center" vertical="center" wrapText="1"/>
    </xf>
    <xf numFmtId="0" fontId="134" fillId="0" borderId="326" xfId="0" applyFont="1" applyBorder="1" applyAlignment="1">
      <alignment horizontal="left" vertical="center" wrapText="1"/>
    </xf>
    <xf numFmtId="0" fontId="135" fillId="2" borderId="328" xfId="0" applyFont="1" applyFill="1" applyBorder="1" applyAlignment="1">
      <alignment horizontal="center" vertical="center" wrapText="1"/>
    </xf>
    <xf numFmtId="0" fontId="134" fillId="0" borderId="328" xfId="0" applyFont="1" applyBorder="1" applyAlignment="1">
      <alignment horizontal="left" vertical="center" wrapText="1"/>
    </xf>
    <xf numFmtId="0" fontId="119" fillId="7" borderId="94" xfId="4" applyFont="1" applyFill="1" applyBorder="1" applyAlignment="1">
      <alignment horizontal="center" vertical="center" wrapText="1" shrinkToFit="1"/>
    </xf>
    <xf numFmtId="41" fontId="143" fillId="7" borderId="272" xfId="13" applyFont="1" applyFill="1" applyBorder="1" applyAlignment="1">
      <alignment horizontal="center" vertical="center"/>
    </xf>
    <xf numFmtId="0" fontId="115" fillId="0" borderId="0" xfId="0" applyFont="1" applyAlignment="1">
      <alignment vertical="center" wrapText="1"/>
    </xf>
    <xf numFmtId="0" fontId="147" fillId="15" borderId="289" xfId="13" applyNumberFormat="1" applyFont="1" applyFill="1" applyBorder="1" applyAlignment="1">
      <alignment horizontal="center" vertical="center"/>
    </xf>
    <xf numFmtId="0" fontId="157" fillId="0" borderId="0" xfId="0" applyFont="1" applyAlignment="1">
      <alignment vertical="top"/>
    </xf>
    <xf numFmtId="0" fontId="131" fillId="0" borderId="0" xfId="0" applyFont="1" applyAlignment="1">
      <alignment horizontal="left" vertical="center" wrapText="1"/>
    </xf>
    <xf numFmtId="0" fontId="159" fillId="30" borderId="268" xfId="4" applyFont="1" applyFill="1" applyBorder="1" applyAlignment="1">
      <alignment horizontal="center" vertical="center" wrapText="1"/>
    </xf>
    <xf numFmtId="0" fontId="143" fillId="30" borderId="331" xfId="4" applyFont="1" applyFill="1" applyBorder="1" applyAlignment="1">
      <alignment horizontal="center" vertical="center" wrapText="1"/>
    </xf>
    <xf numFmtId="0" fontId="159" fillId="7" borderId="289" xfId="4" applyFont="1" applyFill="1" applyBorder="1" applyAlignment="1">
      <alignment horizontal="center" vertical="center" wrapText="1"/>
    </xf>
    <xf numFmtId="199" fontId="119" fillId="7" borderId="268" xfId="4" applyNumberFormat="1" applyFont="1" applyFill="1" applyBorder="1" applyAlignment="1">
      <alignment horizontal="center" vertical="center" wrapText="1"/>
    </xf>
    <xf numFmtId="199" fontId="119" fillId="7" borderId="269" xfId="4" applyNumberFormat="1" applyFont="1" applyFill="1" applyBorder="1" applyAlignment="1">
      <alignment horizontal="center" vertical="center" wrapText="1"/>
    </xf>
    <xf numFmtId="0" fontId="149" fillId="0" borderId="289" xfId="13" quotePrefix="1" applyNumberFormat="1" applyFont="1" applyBorder="1" applyAlignment="1">
      <alignment horizontal="left" vertical="center" wrapText="1"/>
    </xf>
    <xf numFmtId="0" fontId="159" fillId="30" borderId="269" xfId="4" applyFont="1" applyFill="1" applyBorder="1" applyAlignment="1">
      <alignment horizontal="center" vertical="center" wrapText="1"/>
    </xf>
    <xf numFmtId="0" fontId="160" fillId="0" borderId="0" xfId="0" applyFont="1">
      <alignment vertical="center"/>
    </xf>
    <xf numFmtId="0" fontId="143" fillId="15" borderId="289" xfId="13" applyNumberFormat="1" applyFont="1" applyFill="1" applyBorder="1" applyAlignment="1">
      <alignment horizontal="center" vertical="center"/>
    </xf>
    <xf numFmtId="0" fontId="110" fillId="7" borderId="0" xfId="0" applyFont="1" applyFill="1" applyAlignment="1">
      <alignment horizontal="center" vertical="center" wrapText="1"/>
    </xf>
    <xf numFmtId="0" fontId="9" fillId="0" borderId="30" xfId="0" quotePrefix="1" applyFont="1" applyBorder="1" applyAlignment="1">
      <alignment horizontal="center" vertical="center" wrapText="1"/>
    </xf>
    <xf numFmtId="0" fontId="9" fillId="0" borderId="31" xfId="0" quotePrefix="1" applyFont="1" applyBorder="1" applyAlignment="1">
      <alignment horizontal="center" vertical="center"/>
    </xf>
    <xf numFmtId="0" fontId="9" fillId="0" borderId="30" xfId="0" quotePrefix="1" applyFont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" vertical="center"/>
    </xf>
    <xf numFmtId="0" fontId="9" fillId="6" borderId="32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3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2" xfId="0" quotePrefix="1" applyFont="1" applyBorder="1" applyAlignment="1">
      <alignment horizontal="center" vertical="center"/>
    </xf>
    <xf numFmtId="192" fontId="19" fillId="11" borderId="0" xfId="0" applyNumberFormat="1" applyFont="1" applyFill="1" applyAlignment="1">
      <alignment horizontal="center" vertical="center"/>
    </xf>
    <xf numFmtId="0" fontId="9" fillId="0" borderId="50" xfId="0" quotePrefix="1" applyFont="1" applyBorder="1" applyAlignment="1">
      <alignment horizontal="center" vertical="center" wrapText="1"/>
    </xf>
    <xf numFmtId="0" fontId="9" fillId="0" borderId="78" xfId="0" quotePrefix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6" borderId="30" xfId="1" applyNumberFormat="1" applyFont="1" applyFill="1" applyBorder="1" applyAlignment="1">
      <alignment horizontal="center" vertical="center"/>
    </xf>
    <xf numFmtId="0" fontId="7" fillId="6" borderId="31" xfId="1" applyNumberFormat="1" applyFont="1" applyFill="1" applyBorder="1" applyAlignment="1">
      <alignment horizontal="center" vertical="center"/>
    </xf>
    <xf numFmtId="0" fontId="12" fillId="4" borderId="50" xfId="1" applyNumberFormat="1" applyFont="1" applyFill="1" applyBorder="1" applyAlignment="1">
      <alignment horizontal="center" vertical="center" wrapText="1"/>
    </xf>
    <xf numFmtId="0" fontId="12" fillId="4" borderId="78" xfId="1" applyNumberFormat="1" applyFont="1" applyFill="1" applyBorder="1" applyAlignment="1">
      <alignment horizontal="center" vertical="center" wrapText="1"/>
    </xf>
    <xf numFmtId="0" fontId="12" fillId="4" borderId="37" xfId="1" applyNumberFormat="1" applyFont="1" applyFill="1" applyBorder="1" applyAlignment="1">
      <alignment horizontal="center" vertical="center" wrapText="1"/>
    </xf>
    <xf numFmtId="0" fontId="12" fillId="4" borderId="0" xfId="1" applyNumberFormat="1" applyFont="1" applyFill="1" applyBorder="1" applyAlignment="1">
      <alignment horizontal="center" vertical="center" wrapText="1"/>
    </xf>
    <xf numFmtId="0" fontId="12" fillId="4" borderId="51" xfId="1" applyNumberFormat="1" applyFont="1" applyFill="1" applyBorder="1" applyAlignment="1">
      <alignment horizontal="center" vertical="center" wrapText="1"/>
    </xf>
    <xf numFmtId="0" fontId="12" fillId="4" borderId="52" xfId="1" applyNumberFormat="1" applyFont="1" applyFill="1" applyBorder="1" applyAlignment="1">
      <alignment horizontal="center" vertical="center" wrapText="1"/>
    </xf>
    <xf numFmtId="0" fontId="119" fillId="29" borderId="0" xfId="4" quotePrefix="1" applyFont="1" applyFill="1" applyAlignment="1">
      <alignment horizontal="left" vertical="center"/>
    </xf>
    <xf numFmtId="0" fontId="126" fillId="11" borderId="249" xfId="0" applyFont="1" applyFill="1" applyBorder="1" applyAlignment="1">
      <alignment horizontal="center" vertical="center"/>
    </xf>
    <xf numFmtId="0" fontId="126" fillId="11" borderId="250" xfId="0" applyFont="1" applyFill="1" applyBorder="1" applyAlignment="1">
      <alignment horizontal="center" vertical="center"/>
    </xf>
    <xf numFmtId="0" fontId="126" fillId="11" borderId="253" xfId="0" applyFont="1" applyFill="1" applyBorder="1" applyAlignment="1">
      <alignment horizontal="center" vertical="center"/>
    </xf>
    <xf numFmtId="0" fontId="126" fillId="11" borderId="254" xfId="0" applyFont="1" applyFill="1" applyBorder="1" applyAlignment="1">
      <alignment horizontal="center" vertical="center"/>
    </xf>
    <xf numFmtId="0" fontId="126" fillId="11" borderId="251" xfId="0" applyFont="1" applyFill="1" applyBorder="1" applyAlignment="1">
      <alignment horizontal="center" vertical="center" wrapText="1"/>
    </xf>
    <xf numFmtId="0" fontId="126" fillId="11" borderId="257" xfId="0" applyFont="1" applyFill="1" applyBorder="1" applyAlignment="1">
      <alignment horizontal="center" vertical="center" wrapText="1"/>
    </xf>
    <xf numFmtId="0" fontId="126" fillId="11" borderId="252" xfId="0" applyFont="1" applyFill="1" applyBorder="1" applyAlignment="1">
      <alignment horizontal="center" vertical="center" wrapText="1"/>
    </xf>
    <xf numFmtId="0" fontId="126" fillId="11" borderId="258" xfId="0" applyFont="1" applyFill="1" applyBorder="1" applyAlignment="1">
      <alignment horizontal="center" vertical="center" wrapText="1"/>
    </xf>
    <xf numFmtId="0" fontId="130" fillId="11" borderId="255" xfId="0" applyFont="1" applyFill="1" applyBorder="1" applyAlignment="1">
      <alignment horizontal="center" vertical="center" wrapText="1"/>
    </xf>
    <xf numFmtId="0" fontId="130" fillId="11" borderId="256" xfId="0" applyFont="1" applyFill="1" applyBorder="1" applyAlignment="1">
      <alignment horizontal="center" vertical="center" wrapText="1"/>
    </xf>
    <xf numFmtId="0" fontId="132" fillId="0" borderId="0" xfId="4" quotePrefix="1" applyFont="1" applyAlignment="1">
      <alignment horizontal="left" vertical="center"/>
    </xf>
    <xf numFmtId="0" fontId="133" fillId="2" borderId="259" xfId="0" applyFont="1" applyFill="1" applyBorder="1" applyAlignment="1">
      <alignment horizontal="center" vertical="center" textRotation="255"/>
    </xf>
    <xf numFmtId="0" fontId="133" fillId="2" borderId="260" xfId="0" applyFont="1" applyFill="1" applyBorder="1" applyAlignment="1">
      <alignment horizontal="center" vertical="center" textRotation="255"/>
    </xf>
    <xf numFmtId="0" fontId="133" fillId="2" borderId="275" xfId="0" applyFont="1" applyFill="1" applyBorder="1" applyAlignment="1">
      <alignment horizontal="center" vertical="center" textRotation="255"/>
    </xf>
    <xf numFmtId="0" fontId="134" fillId="7" borderId="261" xfId="0" applyFont="1" applyFill="1" applyBorder="1" applyAlignment="1">
      <alignment horizontal="center" vertical="center" wrapText="1"/>
    </xf>
    <xf numFmtId="0" fontId="137" fillId="10" borderId="63" xfId="4" applyFont="1" applyFill="1" applyBorder="1" applyAlignment="1">
      <alignment horizontal="center" vertical="center"/>
    </xf>
    <xf numFmtId="0" fontId="137" fillId="10" borderId="263" xfId="4" applyFont="1" applyFill="1" applyBorder="1" applyAlignment="1">
      <alignment horizontal="center" vertical="center"/>
    </xf>
    <xf numFmtId="0" fontId="137" fillId="10" borderId="264" xfId="4" applyFont="1" applyFill="1" applyBorder="1" applyAlignment="1">
      <alignment horizontal="center" vertical="center" wrapText="1"/>
    </xf>
    <xf numFmtId="0" fontId="137" fillId="10" borderId="265" xfId="4" applyFont="1" applyFill="1" applyBorder="1" applyAlignment="1">
      <alignment horizontal="center" vertical="center" wrapText="1"/>
    </xf>
    <xf numFmtId="0" fontId="137" fillId="10" borderId="268" xfId="4" applyFont="1" applyFill="1" applyBorder="1" applyAlignment="1">
      <alignment horizontal="center" vertical="center" wrapText="1"/>
    </xf>
    <xf numFmtId="0" fontId="137" fillId="10" borderId="269" xfId="4" applyFont="1" applyFill="1" applyBorder="1" applyAlignment="1">
      <alignment horizontal="center" vertical="center" wrapText="1"/>
    </xf>
    <xf numFmtId="0" fontId="137" fillId="10" borderId="266" xfId="4" applyFont="1" applyFill="1" applyBorder="1" applyAlignment="1">
      <alignment horizontal="center" vertical="center" wrapText="1"/>
    </xf>
    <xf numFmtId="0" fontId="137" fillId="10" borderId="270" xfId="4" applyFont="1" applyFill="1" applyBorder="1" applyAlignment="1">
      <alignment horizontal="center" vertical="center" wrapText="1"/>
    </xf>
    <xf numFmtId="0" fontId="138" fillId="7" borderId="267" xfId="0" applyFont="1" applyFill="1" applyBorder="1" applyAlignment="1">
      <alignment horizontal="center" vertical="center" wrapText="1"/>
    </xf>
    <xf numFmtId="0" fontId="139" fillId="7" borderId="267" xfId="0" applyFont="1" applyFill="1" applyBorder="1" applyAlignment="1">
      <alignment horizontal="center" vertical="center" wrapText="1"/>
    </xf>
    <xf numFmtId="0" fontId="141" fillId="15" borderId="272" xfId="4" applyFont="1" applyFill="1" applyBorder="1" applyAlignment="1">
      <alignment horizontal="center" vertical="center"/>
    </xf>
    <xf numFmtId="0" fontId="141" fillId="15" borderId="266" xfId="4" applyFont="1" applyFill="1" applyBorder="1" applyAlignment="1">
      <alignment horizontal="center" vertical="center"/>
    </xf>
    <xf numFmtId="0" fontId="141" fillId="15" borderId="94" xfId="4" applyFont="1" applyFill="1" applyBorder="1" applyAlignment="1">
      <alignment horizontal="center" vertical="center"/>
    </xf>
    <xf numFmtId="0" fontId="141" fillId="15" borderId="152" xfId="4" applyFont="1" applyFill="1" applyBorder="1" applyAlignment="1">
      <alignment horizontal="center" vertical="center"/>
    </xf>
    <xf numFmtId="0" fontId="119" fillId="2" borderId="241" xfId="4" applyFont="1" applyFill="1" applyBorder="1" applyAlignment="1">
      <alignment horizontal="center" vertical="center" wrapText="1"/>
    </xf>
    <xf numFmtId="0" fontId="119" fillId="2" borderId="274" xfId="4" applyFont="1" applyFill="1" applyBorder="1" applyAlignment="1">
      <alignment horizontal="center" vertical="center" wrapText="1"/>
    </xf>
    <xf numFmtId="0" fontId="119" fillId="2" borderId="193" xfId="4" applyFont="1" applyFill="1" applyBorder="1" applyAlignment="1">
      <alignment horizontal="center" vertical="center" wrapText="1"/>
    </xf>
    <xf numFmtId="0" fontId="119" fillId="7" borderId="263" xfId="4" applyFont="1" applyFill="1" applyBorder="1" applyAlignment="1">
      <alignment horizontal="center" vertical="center"/>
    </xf>
    <xf numFmtId="0" fontId="119" fillId="7" borderId="123" xfId="4" applyFont="1" applyFill="1" applyBorder="1" applyAlignment="1">
      <alignment horizontal="center" vertical="center"/>
    </xf>
    <xf numFmtId="0" fontId="138" fillId="7" borderId="276" xfId="0" applyFont="1" applyFill="1" applyBorder="1" applyAlignment="1">
      <alignment horizontal="center" vertical="center" wrapText="1"/>
    </xf>
    <xf numFmtId="41" fontId="143" fillId="7" borderId="278" xfId="13" applyFont="1" applyFill="1" applyBorder="1" applyAlignment="1">
      <alignment horizontal="center" vertical="center" wrapText="1"/>
    </xf>
    <xf numFmtId="41" fontId="143" fillId="7" borderId="279" xfId="13" applyFont="1" applyFill="1" applyBorder="1" applyAlignment="1">
      <alignment horizontal="center" vertical="center" wrapText="1"/>
    </xf>
    <xf numFmtId="0" fontId="146" fillId="0" borderId="266" xfId="13" quotePrefix="1" applyNumberFormat="1" applyFont="1" applyBorder="1" applyAlignment="1">
      <alignment horizontal="left" vertical="center" wrapText="1"/>
    </xf>
    <xf numFmtId="0" fontId="147" fillId="0" borderId="270" xfId="13" quotePrefix="1" applyNumberFormat="1" applyFont="1" applyBorder="1" applyAlignment="1">
      <alignment horizontal="left" vertical="center" wrapText="1"/>
    </xf>
    <xf numFmtId="41" fontId="143" fillId="7" borderId="273" xfId="13" applyFont="1" applyFill="1" applyBorder="1" applyAlignment="1">
      <alignment horizontal="center" vertical="center"/>
    </xf>
    <xf numFmtId="41" fontId="143" fillId="7" borderId="269" xfId="13" applyFont="1" applyFill="1" applyBorder="1" applyAlignment="1">
      <alignment horizontal="center" vertical="center"/>
    </xf>
    <xf numFmtId="0" fontId="141" fillId="0" borderId="266" xfId="13" quotePrefix="1" applyNumberFormat="1" applyFont="1" applyBorder="1" applyAlignment="1">
      <alignment horizontal="center" vertical="center" wrapText="1"/>
    </xf>
    <xf numFmtId="0" fontId="141" fillId="0" borderId="152" xfId="13" quotePrefix="1" applyNumberFormat="1" applyFont="1" applyBorder="1" applyAlignment="1">
      <alignment horizontal="center" vertical="center" wrapText="1"/>
    </xf>
    <xf numFmtId="0" fontId="141" fillId="0" borderId="270" xfId="13" quotePrefix="1" applyNumberFormat="1" applyFont="1" applyBorder="1" applyAlignment="1">
      <alignment horizontal="center" vertical="center" wrapText="1"/>
    </xf>
    <xf numFmtId="41" fontId="129" fillId="7" borderId="273" xfId="13" applyFont="1" applyFill="1" applyBorder="1" applyAlignment="1">
      <alignment horizontal="center" vertical="center"/>
    </xf>
    <xf numFmtId="41" fontId="129" fillId="7" borderId="269" xfId="13" applyFont="1" applyFill="1" applyBorder="1" applyAlignment="1">
      <alignment horizontal="center" vertical="center"/>
    </xf>
    <xf numFmtId="0" fontId="134" fillId="7" borderId="267" xfId="0" applyFont="1" applyFill="1" applyBorder="1" applyAlignment="1">
      <alignment horizontal="center" vertical="center" wrapText="1"/>
    </xf>
    <xf numFmtId="0" fontId="122" fillId="2" borderId="280" xfId="0" applyFont="1" applyFill="1" applyBorder="1" applyAlignment="1">
      <alignment horizontal="center" vertical="center" wrapText="1"/>
    </xf>
    <xf numFmtId="0" fontId="122" fillId="2" borderId="286" xfId="0" applyFont="1" applyFill="1" applyBorder="1" applyAlignment="1">
      <alignment horizontal="center" vertical="center" wrapText="1"/>
    </xf>
    <xf numFmtId="0" fontId="138" fillId="7" borderId="281" xfId="0" applyFont="1" applyFill="1" applyBorder="1" applyAlignment="1">
      <alignment horizontal="center" vertical="center" wrapText="1"/>
    </xf>
    <xf numFmtId="0" fontId="138" fillId="7" borderId="282" xfId="0" applyFont="1" applyFill="1" applyBorder="1" applyAlignment="1">
      <alignment horizontal="center" vertical="center" wrapText="1"/>
    </xf>
    <xf numFmtId="0" fontId="138" fillId="7" borderId="283" xfId="0" applyFont="1" applyFill="1" applyBorder="1" applyAlignment="1">
      <alignment horizontal="center" vertical="center" wrapText="1"/>
    </xf>
    <xf numFmtId="41" fontId="143" fillId="7" borderId="273" xfId="14" applyFont="1" applyFill="1" applyBorder="1" applyAlignment="1">
      <alignment horizontal="center" vertical="center"/>
    </xf>
    <xf numFmtId="41" fontId="143" fillId="7" borderId="269" xfId="14" applyFont="1" applyFill="1" applyBorder="1" applyAlignment="1">
      <alignment horizontal="center" vertical="center"/>
    </xf>
    <xf numFmtId="0" fontId="134" fillId="7" borderId="287" xfId="0" applyFont="1" applyFill="1" applyBorder="1" applyAlignment="1">
      <alignment horizontal="center" vertical="center" wrapText="1"/>
    </xf>
    <xf numFmtId="0" fontId="119" fillId="2" borderId="272" xfId="4" applyFont="1" applyFill="1" applyBorder="1" applyAlignment="1">
      <alignment horizontal="center" vertical="center"/>
    </xf>
    <xf numFmtId="0" fontId="119" fillId="2" borderId="288" xfId="4" applyFont="1" applyFill="1" applyBorder="1" applyAlignment="1">
      <alignment horizontal="center" vertical="center"/>
    </xf>
    <xf numFmtId="0" fontId="133" fillId="2" borderId="297" xfId="0" applyFont="1" applyFill="1" applyBorder="1" applyAlignment="1">
      <alignment horizontal="center" vertical="center" textRotation="255"/>
    </xf>
    <xf numFmtId="0" fontId="134" fillId="7" borderId="259" xfId="0" applyFont="1" applyFill="1" applyBorder="1" applyAlignment="1">
      <alignment horizontal="center" vertical="center" wrapText="1"/>
    </xf>
    <xf numFmtId="0" fontId="134" fillId="7" borderId="290" xfId="0" applyFont="1" applyFill="1" applyBorder="1" applyAlignment="1">
      <alignment horizontal="center" vertical="center" wrapText="1"/>
    </xf>
    <xf numFmtId="0" fontId="134" fillId="7" borderId="291" xfId="0" applyFont="1" applyFill="1" applyBorder="1" applyAlignment="1">
      <alignment horizontal="center" vertical="center" wrapText="1"/>
    </xf>
    <xf numFmtId="0" fontId="134" fillId="7" borderId="292" xfId="0" applyFont="1" applyFill="1" applyBorder="1" applyAlignment="1">
      <alignment horizontal="center" vertical="center" wrapText="1"/>
    </xf>
    <xf numFmtId="0" fontId="134" fillId="7" borderId="293" xfId="0" applyFont="1" applyFill="1" applyBorder="1" applyAlignment="1">
      <alignment horizontal="center" vertical="center" wrapText="1"/>
    </xf>
    <xf numFmtId="0" fontId="134" fillId="7" borderId="294" xfId="0" applyFont="1" applyFill="1" applyBorder="1" applyAlignment="1">
      <alignment horizontal="center" vertical="center" wrapText="1"/>
    </xf>
    <xf numFmtId="0" fontId="134" fillId="7" borderId="295" xfId="0" applyFont="1" applyFill="1" applyBorder="1" applyAlignment="1">
      <alignment horizontal="center" vertical="center" wrapText="1"/>
    </xf>
    <xf numFmtId="0" fontId="138" fillId="7" borderId="297" xfId="0" applyFont="1" applyFill="1" applyBorder="1" applyAlignment="1">
      <alignment horizontal="center" vertical="center" wrapText="1"/>
    </xf>
    <xf numFmtId="0" fontId="119" fillId="7" borderId="296" xfId="4" applyFont="1" applyFill="1" applyBorder="1" applyAlignment="1">
      <alignment horizontal="center" vertical="center"/>
    </xf>
    <xf numFmtId="0" fontId="119" fillId="7" borderId="131" xfId="4" applyFont="1" applyFill="1" applyBorder="1" applyAlignment="1">
      <alignment horizontal="center" vertical="center"/>
    </xf>
    <xf numFmtId="0" fontId="119" fillId="7" borderId="272" xfId="4" applyFont="1" applyFill="1" applyBorder="1" applyAlignment="1">
      <alignment horizontal="center" vertical="center"/>
    </xf>
    <xf numFmtId="0" fontId="148" fillId="7" borderId="266" xfId="13" quotePrefix="1" applyNumberFormat="1" applyFont="1" applyFill="1" applyBorder="1" applyAlignment="1">
      <alignment horizontal="left" vertical="center" wrapText="1"/>
    </xf>
    <xf numFmtId="0" fontId="148" fillId="7" borderId="270" xfId="13" quotePrefix="1" applyNumberFormat="1" applyFont="1" applyFill="1" applyBorder="1" applyAlignment="1">
      <alignment horizontal="left" vertical="center"/>
    </xf>
    <xf numFmtId="0" fontId="135" fillId="2" borderId="280" xfId="0" applyFont="1" applyFill="1" applyBorder="1" applyAlignment="1">
      <alignment horizontal="center" vertical="center" wrapText="1"/>
    </xf>
    <xf numFmtId="0" fontId="135" fillId="2" borderId="286" xfId="0" applyFont="1" applyFill="1" applyBorder="1" applyAlignment="1">
      <alignment horizontal="center" vertical="center" wrapText="1"/>
    </xf>
    <xf numFmtId="0" fontId="134" fillId="0" borderId="280" xfId="0" applyFont="1" applyBorder="1" applyAlignment="1">
      <alignment horizontal="left" vertical="center" wrapText="1"/>
    </xf>
    <xf numFmtId="0" fontId="134" fillId="0" borderId="286" xfId="0" applyFont="1" applyBorder="1" applyAlignment="1">
      <alignment horizontal="left" vertical="center" wrapText="1"/>
    </xf>
    <xf numFmtId="0" fontId="110" fillId="0" borderId="0" xfId="0" applyFont="1" applyAlignment="1">
      <alignment horizontal="center" vertical="center"/>
    </xf>
    <xf numFmtId="0" fontId="133" fillId="2" borderId="299" xfId="0" applyFont="1" applyFill="1" applyBorder="1" applyAlignment="1">
      <alignment horizontal="center" vertical="center" textRotation="255" wrapText="1"/>
    </xf>
    <xf numFmtId="0" fontId="133" fillId="2" borderId="260" xfId="0" applyFont="1" applyFill="1" applyBorder="1" applyAlignment="1">
      <alignment horizontal="center" vertical="center" textRotation="255" wrapText="1"/>
    </xf>
    <xf numFmtId="0" fontId="133" fillId="2" borderId="297" xfId="0" applyFont="1" applyFill="1" applyBorder="1" applyAlignment="1">
      <alignment horizontal="center" vertical="center" textRotation="255" wrapText="1"/>
    </xf>
    <xf numFmtId="0" fontId="138" fillId="7" borderId="261" xfId="0" applyFont="1" applyFill="1" applyBorder="1" applyAlignment="1">
      <alignment horizontal="center" vertical="center" wrapText="1"/>
    </xf>
    <xf numFmtId="0" fontId="119" fillId="15" borderId="263" xfId="4" applyFont="1" applyFill="1" applyBorder="1" applyAlignment="1">
      <alignment horizontal="center" vertical="center"/>
    </xf>
    <xf numFmtId="0" fontId="119" fillId="15" borderId="123" xfId="4" applyFont="1" applyFill="1" applyBorder="1" applyAlignment="1">
      <alignment horizontal="center" vertical="center"/>
    </xf>
    <xf numFmtId="41" fontId="143" fillId="15" borderId="268" xfId="13" applyFont="1" applyFill="1" applyBorder="1" applyAlignment="1">
      <alignment horizontal="center" vertical="center"/>
    </xf>
    <xf numFmtId="41" fontId="143" fillId="15" borderId="269" xfId="13" applyFont="1" applyFill="1" applyBorder="1" applyAlignment="1">
      <alignment horizontal="center" vertical="center"/>
    </xf>
    <xf numFmtId="0" fontId="122" fillId="2" borderId="260" xfId="0" applyFont="1" applyFill="1" applyBorder="1" applyAlignment="1">
      <alignment horizontal="center" vertical="center" wrapText="1"/>
    </xf>
    <xf numFmtId="0" fontId="134" fillId="7" borderId="284" xfId="0" applyFont="1" applyFill="1" applyBorder="1" applyAlignment="1">
      <alignment horizontal="center" vertical="center" wrapText="1"/>
    </xf>
    <xf numFmtId="0" fontId="119" fillId="2" borderId="296" xfId="4" applyFont="1" applyFill="1" applyBorder="1" applyAlignment="1">
      <alignment horizontal="center" vertical="center"/>
    </xf>
    <xf numFmtId="0" fontId="119" fillId="2" borderId="131" xfId="4" applyFont="1" applyFill="1" applyBorder="1" applyAlignment="1">
      <alignment horizontal="center" vertical="center"/>
    </xf>
    <xf numFmtId="41" fontId="143" fillId="7" borderId="268" xfId="13" applyFont="1" applyFill="1" applyBorder="1" applyAlignment="1">
      <alignment horizontal="center" vertical="center"/>
    </xf>
    <xf numFmtId="0" fontId="138" fillId="7" borderId="300" xfId="0" applyFont="1" applyFill="1" applyBorder="1" applyAlignment="1">
      <alignment horizontal="center" vertical="center" wrapText="1"/>
    </xf>
    <xf numFmtId="0" fontId="119" fillId="2" borderId="63" xfId="4" applyFont="1" applyFill="1" applyBorder="1" applyAlignment="1">
      <alignment horizontal="center" vertical="center" wrapText="1"/>
    </xf>
    <xf numFmtId="0" fontId="119" fillId="2" borderId="263" xfId="4" applyFont="1" applyFill="1" applyBorder="1" applyAlignment="1">
      <alignment horizontal="center" vertical="center" wrapText="1"/>
    </xf>
    <xf numFmtId="0" fontId="119" fillId="2" borderId="263" xfId="4" applyFont="1" applyFill="1" applyBorder="1" applyAlignment="1">
      <alignment horizontal="center" vertical="center"/>
    </xf>
    <xf numFmtId="0" fontId="149" fillId="0" borderId="266" xfId="13" quotePrefix="1" applyNumberFormat="1" applyFont="1" applyBorder="1" applyAlignment="1">
      <alignment horizontal="left" vertical="center" wrapText="1"/>
    </xf>
    <xf numFmtId="0" fontId="149" fillId="0" borderId="152" xfId="13" quotePrefix="1" applyNumberFormat="1" applyFont="1" applyBorder="1" applyAlignment="1">
      <alignment horizontal="left" vertical="center" wrapText="1"/>
    </xf>
    <xf numFmtId="0" fontId="149" fillId="0" borderId="270" xfId="13" quotePrefix="1" applyNumberFormat="1" applyFont="1" applyBorder="1" applyAlignment="1">
      <alignment horizontal="left" vertical="center" wrapText="1"/>
    </xf>
    <xf numFmtId="41" fontId="119" fillId="7" borderId="263" xfId="13" applyFont="1" applyFill="1" applyBorder="1" applyAlignment="1">
      <alignment horizontal="center" vertical="center"/>
    </xf>
    <xf numFmtId="41" fontId="119" fillId="7" borderId="123" xfId="13" applyFont="1" applyFill="1" applyBorder="1" applyAlignment="1">
      <alignment horizontal="center" vertical="center"/>
    </xf>
    <xf numFmtId="0" fontId="152" fillId="0" borderId="266" xfId="13" quotePrefix="1" applyNumberFormat="1" applyFont="1" applyBorder="1" applyAlignment="1">
      <alignment horizontal="left" vertical="center" wrapText="1"/>
    </xf>
    <xf numFmtId="0" fontId="152" fillId="0" borderId="152" xfId="13" quotePrefix="1" applyNumberFormat="1" applyFont="1" applyBorder="1" applyAlignment="1">
      <alignment horizontal="left" vertical="center" wrapText="1"/>
    </xf>
    <xf numFmtId="0" fontId="152" fillId="0" borderId="152" xfId="13" applyNumberFormat="1" applyFont="1" applyBorder="1" applyAlignment="1">
      <alignment horizontal="left" vertical="center" wrapText="1"/>
    </xf>
    <xf numFmtId="41" fontId="143" fillId="7" borderId="263" xfId="13" applyFont="1" applyFill="1" applyBorder="1" applyAlignment="1">
      <alignment horizontal="center" vertical="center"/>
    </xf>
    <xf numFmtId="41" fontId="143" fillId="7" borderId="123" xfId="13" applyFont="1" applyFill="1" applyBorder="1" applyAlignment="1">
      <alignment horizontal="center" vertical="center"/>
    </xf>
    <xf numFmtId="0" fontId="122" fillId="2" borderId="297" xfId="0" applyFont="1" applyFill="1" applyBorder="1" applyAlignment="1">
      <alignment horizontal="center" vertical="center" wrapText="1"/>
    </xf>
    <xf numFmtId="0" fontId="138" fillId="7" borderId="290" xfId="0" applyFont="1" applyFill="1" applyBorder="1" applyAlignment="1">
      <alignment horizontal="center" vertical="center" wrapText="1"/>
    </xf>
    <xf numFmtId="0" fontId="138" fillId="7" borderId="302" xfId="0" applyFont="1" applyFill="1" applyBorder="1" applyAlignment="1">
      <alignment horizontal="center" vertical="center" wrapText="1"/>
    </xf>
    <xf numFmtId="0" fontId="138" fillId="7" borderId="293" xfId="0" applyFont="1" applyFill="1" applyBorder="1" applyAlignment="1">
      <alignment horizontal="center" vertical="center" wrapText="1"/>
    </xf>
    <xf numFmtId="0" fontId="138" fillId="7" borderId="301" xfId="0" applyFont="1" applyFill="1" applyBorder="1" applyAlignment="1">
      <alignment horizontal="center" vertical="center" wrapText="1"/>
    </xf>
    <xf numFmtId="0" fontId="134" fillId="0" borderId="260" xfId="0" applyFont="1" applyBorder="1" applyAlignment="1">
      <alignment horizontal="left" vertical="center" wrapText="1"/>
    </xf>
    <xf numFmtId="41" fontId="119" fillId="7" borderId="268" xfId="13" applyFont="1" applyFill="1" applyBorder="1" applyAlignment="1">
      <alignment horizontal="center" vertical="center"/>
    </xf>
    <xf numFmtId="41" fontId="119" fillId="7" borderId="269" xfId="13" applyFont="1" applyFill="1" applyBorder="1" applyAlignment="1">
      <alignment horizontal="center" vertical="center"/>
    </xf>
    <xf numFmtId="0" fontId="138" fillId="7" borderId="303" xfId="0" applyFont="1" applyFill="1" applyBorder="1" applyAlignment="1">
      <alignment horizontal="center" vertical="center" wrapText="1"/>
    </xf>
    <xf numFmtId="0" fontId="138" fillId="7" borderId="304" xfId="0" applyFont="1" applyFill="1" applyBorder="1" applyAlignment="1">
      <alignment horizontal="center" vertical="center" wrapText="1"/>
    </xf>
    <xf numFmtId="0" fontId="138" fillId="7" borderId="311" xfId="0" applyFont="1" applyFill="1" applyBorder="1" applyAlignment="1">
      <alignment horizontal="center" vertical="center" wrapText="1"/>
    </xf>
    <xf numFmtId="0" fontId="138" fillId="7" borderId="307" xfId="0" applyFont="1" applyFill="1" applyBorder="1" applyAlignment="1">
      <alignment horizontal="center" vertical="center" wrapText="1"/>
    </xf>
    <xf numFmtId="0" fontId="138" fillId="7" borderId="309" xfId="0" applyFont="1" applyFill="1" applyBorder="1" applyAlignment="1">
      <alignment horizontal="center" vertical="center" wrapText="1"/>
    </xf>
    <xf numFmtId="0" fontId="134" fillId="0" borderId="297" xfId="0" applyFont="1" applyBorder="1" applyAlignment="1">
      <alignment horizontal="left" vertical="center" wrapText="1"/>
    </xf>
    <xf numFmtId="0" fontId="119" fillId="2" borderId="63" xfId="4" applyFont="1" applyFill="1" applyBorder="1" applyAlignment="1">
      <alignment horizontal="center" vertical="center"/>
    </xf>
    <xf numFmtId="41" fontId="143" fillId="2" borderId="263" xfId="13" applyFont="1" applyFill="1" applyBorder="1" applyAlignment="1">
      <alignment horizontal="center" vertical="center"/>
    </xf>
    <xf numFmtId="41" fontId="143" fillId="2" borderId="123" xfId="13" applyFont="1" applyFill="1" applyBorder="1" applyAlignment="1">
      <alignment horizontal="center" vertical="center"/>
    </xf>
    <xf numFmtId="41" fontId="119" fillId="7" borderId="273" xfId="13" applyFont="1" applyFill="1" applyBorder="1" applyAlignment="1">
      <alignment horizontal="center" vertical="center"/>
    </xf>
    <xf numFmtId="0" fontId="148" fillId="7" borderId="270" xfId="13" quotePrefix="1" applyNumberFormat="1" applyFont="1" applyFill="1" applyBorder="1" applyAlignment="1">
      <alignment horizontal="left" vertical="center" wrapText="1"/>
    </xf>
    <xf numFmtId="0" fontId="138" fillId="7" borderId="305" xfId="0" applyFont="1" applyFill="1" applyBorder="1" applyAlignment="1">
      <alignment horizontal="center" vertical="center" wrapText="1"/>
    </xf>
    <xf numFmtId="0" fontId="138" fillId="7" borderId="306" xfId="0" applyFont="1" applyFill="1" applyBorder="1" applyAlignment="1">
      <alignment horizontal="center" vertical="center" wrapText="1"/>
    </xf>
    <xf numFmtId="0" fontId="119" fillId="2" borderId="270" xfId="4" applyFont="1" applyFill="1" applyBorder="1" applyAlignment="1">
      <alignment horizontal="center" vertical="center"/>
    </xf>
    <xf numFmtId="0" fontId="129" fillId="7" borderId="273" xfId="4" applyFont="1" applyFill="1" applyBorder="1" applyAlignment="1">
      <alignment horizontal="center" vertical="center" wrapText="1"/>
    </xf>
    <xf numFmtId="0" fontId="129" fillId="7" borderId="269" xfId="4" applyFont="1" applyFill="1" applyBorder="1" applyAlignment="1">
      <alignment horizontal="center" vertical="center" wrapText="1"/>
    </xf>
    <xf numFmtId="0" fontId="119" fillId="2" borderId="94" xfId="4" applyFont="1" applyFill="1" applyBorder="1" applyAlignment="1">
      <alignment horizontal="center" vertical="center"/>
    </xf>
    <xf numFmtId="0" fontId="143" fillId="7" borderId="273" xfId="4" applyFont="1" applyFill="1" applyBorder="1" applyAlignment="1">
      <alignment horizontal="center" vertical="center" wrapText="1"/>
    </xf>
    <xf numFmtId="0" fontId="143" fillId="7" borderId="269" xfId="4" applyFont="1" applyFill="1" applyBorder="1" applyAlignment="1">
      <alignment horizontal="center" vertical="center" wrapText="1"/>
    </xf>
    <xf numFmtId="0" fontId="146" fillId="0" borderId="152" xfId="15" quotePrefix="1" applyNumberFormat="1" applyFont="1" applyBorder="1" applyAlignment="1">
      <alignment horizontal="left" vertical="center" wrapText="1"/>
    </xf>
    <xf numFmtId="0" fontId="156" fillId="7" borderId="327" xfId="0" applyFont="1" applyFill="1" applyBorder="1" applyAlignment="1">
      <alignment horizontal="center" vertical="center" wrapText="1"/>
    </xf>
    <xf numFmtId="0" fontId="156" fillId="7" borderId="314" xfId="0" applyFont="1" applyFill="1" applyBorder="1" applyAlignment="1">
      <alignment horizontal="center" vertical="center" wrapText="1"/>
    </xf>
    <xf numFmtId="0" fontId="133" fillId="2" borderId="299" xfId="0" applyFont="1" applyFill="1" applyBorder="1" applyAlignment="1">
      <alignment horizontal="center" vertical="center" textRotation="255"/>
    </xf>
    <xf numFmtId="0" fontId="122" fillId="2" borderId="299" xfId="0" applyFont="1" applyFill="1" applyBorder="1" applyAlignment="1">
      <alignment horizontal="center" vertical="center"/>
    </xf>
    <xf numFmtId="0" fontId="122" fillId="2" borderId="260" xfId="0" applyFont="1" applyFill="1" applyBorder="1" applyAlignment="1">
      <alignment horizontal="center" vertical="center"/>
    </xf>
    <xf numFmtId="0" fontId="122" fillId="2" borderId="297" xfId="0" applyFont="1" applyFill="1" applyBorder="1" applyAlignment="1">
      <alignment horizontal="center" vertical="center"/>
    </xf>
    <xf numFmtId="0" fontId="138" fillId="7" borderId="315" xfId="0" applyFont="1" applyFill="1" applyBorder="1" applyAlignment="1">
      <alignment horizontal="center" vertical="center" wrapText="1"/>
    </xf>
    <xf numFmtId="0" fontId="138" fillId="7" borderId="319" xfId="0" applyFont="1" applyFill="1" applyBorder="1" applyAlignment="1">
      <alignment horizontal="center" vertical="center" wrapText="1"/>
    </xf>
    <xf numFmtId="0" fontId="138" fillId="7" borderId="322" xfId="0" applyFont="1" applyFill="1" applyBorder="1" applyAlignment="1">
      <alignment horizontal="center" vertical="center" wrapText="1"/>
    </xf>
    <xf numFmtId="0" fontId="138" fillId="7" borderId="316" xfId="0" applyFont="1" applyFill="1" applyBorder="1" applyAlignment="1">
      <alignment horizontal="center" vertical="center" wrapText="1"/>
    </xf>
    <xf numFmtId="0" fontId="138" fillId="7" borderId="317" xfId="0" applyFont="1" applyFill="1" applyBorder="1" applyAlignment="1">
      <alignment horizontal="center" vertical="center" wrapText="1"/>
    </xf>
    <xf numFmtId="0" fontId="119" fillId="2" borderId="272" xfId="4" applyFont="1" applyFill="1" applyBorder="1" applyAlignment="1">
      <alignment horizontal="center" vertical="center" wrapText="1" shrinkToFit="1"/>
    </xf>
    <xf numFmtId="0" fontId="119" fillId="2" borderId="94" xfId="4" applyFont="1" applyFill="1" applyBorder="1" applyAlignment="1">
      <alignment horizontal="center" vertical="center" wrapText="1" shrinkToFit="1"/>
    </xf>
    <xf numFmtId="0" fontId="138" fillId="7" borderId="320" xfId="0" applyFont="1" applyFill="1" applyBorder="1" applyAlignment="1">
      <alignment horizontal="center" vertical="center" wrapText="1"/>
    </xf>
    <xf numFmtId="0" fontId="138" fillId="7" borderId="323" xfId="0" applyFont="1" applyFill="1" applyBorder="1" applyAlignment="1">
      <alignment horizontal="center" vertical="center" wrapText="1"/>
    </xf>
    <xf numFmtId="0" fontId="158" fillId="7" borderId="296" xfId="4" applyFont="1" applyFill="1" applyBorder="1" applyAlignment="1">
      <alignment horizontal="center" vertical="center"/>
    </xf>
    <xf numFmtId="0" fontId="158" fillId="7" borderId="131" xfId="4" applyFont="1" applyFill="1" applyBorder="1" applyAlignment="1">
      <alignment horizontal="center" vertical="center"/>
    </xf>
    <xf numFmtId="0" fontId="158" fillId="7" borderId="330" xfId="4" applyFont="1" applyFill="1" applyBorder="1" applyAlignment="1">
      <alignment horizontal="center" vertical="center"/>
    </xf>
    <xf numFmtId="41" fontId="129" fillId="7" borderId="273" xfId="14" applyFont="1" applyFill="1" applyBorder="1" applyAlignment="1">
      <alignment horizontal="center" vertical="center"/>
    </xf>
    <xf numFmtId="41" fontId="129" fillId="7" borderId="269" xfId="14" applyFont="1" applyFill="1" applyBorder="1" applyAlignment="1">
      <alignment horizontal="center" vertical="center"/>
    </xf>
    <xf numFmtId="0" fontId="138" fillId="7" borderId="324" xfId="0" applyFont="1" applyFill="1" applyBorder="1" applyAlignment="1">
      <alignment horizontal="center" vertical="center" wrapText="1"/>
    </xf>
    <xf numFmtId="0" fontId="138" fillId="7" borderId="325" xfId="0" applyFont="1" applyFill="1" applyBorder="1" applyAlignment="1">
      <alignment horizontal="center" vertical="center" wrapText="1"/>
    </xf>
    <xf numFmtId="0" fontId="119" fillId="7" borderId="278" xfId="4" quotePrefix="1" applyFont="1" applyFill="1" applyBorder="1" applyAlignment="1">
      <alignment horizontal="center" vertical="center"/>
    </xf>
    <xf numFmtId="0" fontId="119" fillId="7" borderId="279" xfId="4" quotePrefix="1" applyFont="1" applyFill="1" applyBorder="1" applyAlignment="1">
      <alignment horizontal="center" vertical="center"/>
    </xf>
    <xf numFmtId="0" fontId="119" fillId="7" borderId="329" xfId="4" quotePrefix="1" applyFont="1" applyFill="1" applyBorder="1" applyAlignment="1">
      <alignment horizontal="center" vertical="center"/>
    </xf>
    <xf numFmtId="0" fontId="119" fillId="7" borderId="330" xfId="4" quotePrefix="1" applyFont="1" applyFill="1" applyBorder="1" applyAlignment="1">
      <alignment horizontal="center" vertical="center"/>
    </xf>
    <xf numFmtId="0" fontId="149" fillId="0" borderId="266" xfId="14" quotePrefix="1" applyNumberFormat="1" applyFont="1" applyBorder="1" applyAlignment="1">
      <alignment horizontal="left" vertical="center" wrapText="1"/>
    </xf>
    <xf numFmtId="0" fontId="149" fillId="0" borderId="152" xfId="14" quotePrefix="1" applyNumberFormat="1" applyFont="1" applyBorder="1" applyAlignment="1">
      <alignment horizontal="left" vertical="center" wrapText="1"/>
    </xf>
    <xf numFmtId="0" fontId="149" fillId="0" borderId="270" xfId="14" quotePrefix="1" applyNumberFormat="1" applyFont="1" applyBorder="1" applyAlignment="1">
      <alignment horizontal="left" vertical="center" wrapText="1"/>
    </xf>
    <xf numFmtId="199" fontId="119" fillId="7" borderId="336" xfId="4" applyNumberFormat="1" applyFont="1" applyFill="1" applyBorder="1" applyAlignment="1">
      <alignment horizontal="center" vertical="center" wrapText="1"/>
    </xf>
    <xf numFmtId="199" fontId="119" fillId="7" borderId="337" xfId="4" applyNumberFormat="1" applyFont="1" applyFill="1" applyBorder="1" applyAlignment="1">
      <alignment horizontal="center" vertical="center" wrapText="1"/>
    </xf>
    <xf numFmtId="0" fontId="149" fillId="0" borderId="332" xfId="13" quotePrefix="1" applyNumberFormat="1" applyFont="1" applyBorder="1" applyAlignment="1">
      <alignment horizontal="left" vertical="center" wrapText="1"/>
    </xf>
    <xf numFmtId="0" fontId="149" fillId="0" borderId="333" xfId="13" quotePrefix="1" applyNumberFormat="1" applyFont="1" applyBorder="1" applyAlignment="1">
      <alignment horizontal="left" vertical="center" wrapText="1"/>
    </xf>
    <xf numFmtId="199" fontId="143" fillId="7" borderId="268" xfId="4" applyNumberFormat="1" applyFont="1" applyFill="1" applyBorder="1" applyAlignment="1">
      <alignment horizontal="center" vertical="center" wrapText="1"/>
    </xf>
    <xf numFmtId="199" fontId="143" fillId="7" borderId="269" xfId="4" applyNumberFormat="1" applyFont="1" applyFill="1" applyBorder="1" applyAlignment="1">
      <alignment horizontal="center" vertical="center" wrapText="1"/>
    </xf>
    <xf numFmtId="0" fontId="119" fillId="2" borderId="272" xfId="4" applyFont="1" applyFill="1" applyBorder="1" applyAlignment="1">
      <alignment horizontal="center" vertical="center" wrapText="1"/>
    </xf>
    <xf numFmtId="0" fontId="119" fillId="2" borderId="288" xfId="4" applyFont="1" applyFill="1" applyBorder="1" applyAlignment="1">
      <alignment horizontal="center" vertical="center" wrapText="1"/>
    </xf>
    <xf numFmtId="199" fontId="119" fillId="7" borderId="273" xfId="4" applyNumberFormat="1" applyFont="1" applyFill="1" applyBorder="1" applyAlignment="1">
      <alignment horizontal="center" vertical="center" wrapText="1"/>
    </xf>
    <xf numFmtId="199" fontId="119" fillId="7" borderId="269" xfId="4" applyNumberFormat="1" applyFont="1" applyFill="1" applyBorder="1" applyAlignment="1">
      <alignment horizontal="center" vertical="center" wrapText="1"/>
    </xf>
    <xf numFmtId="0" fontId="110" fillId="7" borderId="0" xfId="0" applyFont="1" applyFill="1" applyAlignment="1">
      <alignment horizontal="center" vertical="center"/>
    </xf>
    <xf numFmtId="0" fontId="119" fillId="15" borderId="296" xfId="4" applyFont="1" applyFill="1" applyBorder="1" applyAlignment="1">
      <alignment horizontal="center" vertical="center"/>
    </xf>
    <xf numFmtId="0" fontId="119" fillId="15" borderId="131" xfId="4" applyFont="1" applyFill="1" applyBorder="1" applyAlignment="1">
      <alignment horizontal="center" vertical="center"/>
    </xf>
    <xf numFmtId="41" fontId="143" fillId="15" borderId="131" xfId="13" applyFont="1" applyFill="1" applyBorder="1" applyAlignment="1">
      <alignment horizontal="center" vertical="center"/>
    </xf>
    <xf numFmtId="0" fontId="158" fillId="7" borderId="334" xfId="4" applyFont="1" applyFill="1" applyBorder="1" applyAlignment="1">
      <alignment horizontal="center" vertical="center"/>
    </xf>
    <xf numFmtId="0" fontId="158" fillId="7" borderId="335" xfId="4" applyFont="1" applyFill="1" applyBorder="1" applyAlignment="1">
      <alignment horizontal="center" vertical="center"/>
    </xf>
    <xf numFmtId="0" fontId="11" fillId="6" borderId="79" xfId="0" applyFont="1" applyFill="1" applyBorder="1" applyAlignment="1">
      <alignment horizontal="center" vertical="center"/>
    </xf>
    <xf numFmtId="0" fontId="11" fillId="6" borderId="73" xfId="0" applyFont="1" applyFill="1" applyBorder="1" applyAlignment="1">
      <alignment horizontal="center" vertical="center"/>
    </xf>
    <xf numFmtId="0" fontId="11" fillId="6" borderId="80" xfId="0" applyFont="1" applyFill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9" fillId="6" borderId="83" xfId="0" applyFont="1" applyFill="1" applyBorder="1" applyAlignment="1">
      <alignment horizontal="center" vertical="center"/>
    </xf>
    <xf numFmtId="0" fontId="9" fillId="6" borderId="75" xfId="0" applyFont="1" applyFill="1" applyBorder="1" applyAlignment="1">
      <alignment horizontal="center" vertical="center"/>
    </xf>
    <xf numFmtId="0" fontId="9" fillId="6" borderId="50" xfId="0" applyFont="1" applyFill="1" applyBorder="1" applyAlignment="1">
      <alignment horizontal="center" vertical="center"/>
    </xf>
    <xf numFmtId="0" fontId="9" fillId="6" borderId="78" xfId="0" applyFont="1" applyFill="1" applyBorder="1" applyAlignment="1">
      <alignment horizontal="center" vertical="center"/>
    </xf>
    <xf numFmtId="0" fontId="9" fillId="6" borderId="107" xfId="0" applyFont="1" applyFill="1" applyBorder="1" applyAlignment="1">
      <alignment horizontal="center" vertical="center"/>
    </xf>
    <xf numFmtId="0" fontId="9" fillId="6" borderId="37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152" xfId="0" applyFont="1" applyFill="1" applyBorder="1" applyAlignment="1">
      <alignment horizontal="center" vertical="center"/>
    </xf>
    <xf numFmtId="0" fontId="9" fillId="6" borderId="51" xfId="0" applyFont="1" applyFill="1" applyBorder="1" applyAlignment="1">
      <alignment horizontal="center" vertical="center"/>
    </xf>
    <xf numFmtId="0" fontId="9" fillId="6" borderId="52" xfId="0" applyFont="1" applyFill="1" applyBorder="1" applyAlignment="1">
      <alignment horizontal="center" vertical="center"/>
    </xf>
    <xf numFmtId="0" fontId="9" fillId="6" borderId="153" xfId="0" applyFont="1" applyFill="1" applyBorder="1" applyAlignment="1">
      <alignment horizontal="center" vertical="center"/>
    </xf>
    <xf numFmtId="0" fontId="9" fillId="6" borderId="92" xfId="0" applyFont="1" applyFill="1" applyBorder="1" applyAlignment="1">
      <alignment horizontal="center" vertical="center"/>
    </xf>
    <xf numFmtId="41" fontId="9" fillId="0" borderId="343" xfId="0" applyNumberFormat="1" applyFont="1" applyBorder="1" applyAlignment="1">
      <alignment horizontal="center" vertical="center"/>
    </xf>
    <xf numFmtId="41" fontId="9" fillId="0" borderId="344" xfId="0" applyNumberFormat="1" applyFont="1" applyBorder="1" applyAlignment="1">
      <alignment horizontal="center" vertical="center"/>
    </xf>
    <xf numFmtId="41" fontId="9" fillId="0" borderId="345" xfId="0" applyNumberFormat="1" applyFont="1" applyBorder="1" applyAlignment="1">
      <alignment horizontal="center" vertical="center"/>
    </xf>
    <xf numFmtId="41" fontId="9" fillId="6" borderId="83" xfId="0" applyNumberFormat="1" applyFont="1" applyFill="1" applyBorder="1" applyAlignment="1">
      <alignment horizontal="center" vertical="center"/>
    </xf>
    <xf numFmtId="41" fontId="9" fillId="6" borderId="75" xfId="0" applyNumberFormat="1" applyFont="1" applyFill="1" applyBorder="1" applyAlignment="1">
      <alignment horizontal="center" vertical="center"/>
    </xf>
    <xf numFmtId="41" fontId="9" fillId="6" borderId="99" xfId="0" applyNumberFormat="1" applyFont="1" applyFill="1" applyBorder="1" applyAlignment="1">
      <alignment horizontal="center" vertical="center"/>
    </xf>
    <xf numFmtId="41" fontId="9" fillId="6" borderId="95" xfId="0" applyNumberFormat="1" applyFont="1" applyFill="1" applyBorder="1" applyAlignment="1">
      <alignment horizontal="center" vertical="center"/>
    </xf>
    <xf numFmtId="41" fontId="9" fillId="6" borderId="96" xfId="0" applyNumberFormat="1" applyFont="1" applyFill="1" applyBorder="1" applyAlignment="1">
      <alignment horizontal="center" vertical="center"/>
    </xf>
    <xf numFmtId="41" fontId="9" fillId="6" borderId="98" xfId="0" applyNumberFormat="1" applyFont="1" applyFill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11" fillId="0" borderId="87" xfId="0" applyFont="1" applyBorder="1" applyAlignment="1">
      <alignment horizontal="center" vertical="center" wrapText="1"/>
    </xf>
    <xf numFmtId="0" fontId="11" fillId="0" borderId="77" xfId="0" applyFont="1" applyBorder="1" applyAlignment="1">
      <alignment horizontal="center" vertical="center" wrapText="1"/>
    </xf>
    <xf numFmtId="0" fontId="11" fillId="0" borderId="347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70" xfId="0" applyFont="1" applyBorder="1" applyAlignment="1">
      <alignment horizontal="center" vertical="center" wrapText="1"/>
    </xf>
    <xf numFmtId="0" fontId="11" fillId="0" borderId="348" xfId="0" applyFont="1" applyBorder="1" applyAlignment="1">
      <alignment horizontal="center" vertical="center" wrapText="1"/>
    </xf>
    <xf numFmtId="0" fontId="11" fillId="0" borderId="87" xfId="0" applyFont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11" fillId="0" borderId="347" xfId="0" applyFont="1" applyBorder="1" applyAlignment="1">
      <alignment horizontal="center" vertical="center"/>
    </xf>
    <xf numFmtId="0" fontId="11" fillId="0" borderId="88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1" fillId="0" borderId="349" xfId="0" applyFont="1" applyBorder="1" applyAlignment="1">
      <alignment horizontal="center" vertical="center"/>
    </xf>
    <xf numFmtId="9" fontId="9" fillId="0" borderId="81" xfId="0" applyNumberFormat="1" applyFont="1" applyBorder="1" applyAlignment="1">
      <alignment horizontal="center" vertical="center"/>
    </xf>
    <xf numFmtId="9" fontId="9" fillId="0" borderId="74" xfId="0" applyNumberFormat="1" applyFont="1" applyBorder="1" applyAlignment="1">
      <alignment horizontal="center" vertical="center"/>
    </xf>
    <xf numFmtId="180" fontId="9" fillId="0" borderId="74" xfId="0" applyNumberFormat="1" applyFont="1" applyBorder="1" applyAlignment="1">
      <alignment horizontal="center" vertical="center"/>
    </xf>
    <xf numFmtId="180" fontId="9" fillId="0" borderId="82" xfId="0" applyNumberFormat="1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9" fillId="0" borderId="80" xfId="0" applyFont="1" applyBorder="1" applyAlignment="1">
      <alignment horizontal="center" vertical="center"/>
    </xf>
    <xf numFmtId="0" fontId="9" fillId="6" borderId="339" xfId="0" applyFont="1" applyFill="1" applyBorder="1" applyAlignment="1">
      <alignment horizontal="center" vertical="center"/>
    </xf>
    <xf numFmtId="0" fontId="9" fillId="6" borderId="73" xfId="0" applyFont="1" applyFill="1" applyBorder="1" applyAlignment="1">
      <alignment horizontal="center" vertical="center"/>
    </xf>
    <xf numFmtId="0" fontId="9" fillId="0" borderId="340" xfId="0" applyFont="1" applyBorder="1" applyAlignment="1">
      <alignment horizontal="center" vertical="center"/>
    </xf>
    <xf numFmtId="0" fontId="9" fillId="0" borderId="341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9" fillId="0" borderId="84" xfId="0" applyFont="1" applyBorder="1" applyAlignment="1">
      <alignment horizontal="center" vertical="center"/>
    </xf>
    <xf numFmtId="0" fontId="9" fillId="0" borderId="112" xfId="0" applyFont="1" applyBorder="1" applyAlignment="1">
      <alignment horizontal="center" vertical="center"/>
    </xf>
    <xf numFmtId="0" fontId="9" fillId="0" borderId="111" xfId="0" applyFont="1" applyBorder="1" applyAlignment="1">
      <alignment horizontal="center" vertical="center"/>
    </xf>
    <xf numFmtId="0" fontId="9" fillId="0" borderId="113" xfId="0" applyFont="1" applyBorder="1" applyAlignment="1">
      <alignment horizontal="center" vertical="center"/>
    </xf>
    <xf numFmtId="0" fontId="9" fillId="6" borderId="81" xfId="0" applyFont="1" applyFill="1" applyBorder="1" applyAlignment="1">
      <alignment horizontal="center" vertical="center"/>
    </xf>
    <xf numFmtId="0" fontId="9" fillId="6" borderId="74" xfId="0" applyFont="1" applyFill="1" applyBorder="1" applyAlignment="1">
      <alignment horizontal="center" vertical="center"/>
    </xf>
    <xf numFmtId="0" fontId="9" fillId="6" borderId="91" xfId="0" applyFont="1" applyFill="1" applyBorder="1" applyAlignment="1">
      <alignment horizontal="center" vertical="center"/>
    </xf>
    <xf numFmtId="0" fontId="9" fillId="6" borderId="338" xfId="0" applyFont="1" applyFill="1" applyBorder="1" applyAlignment="1">
      <alignment horizontal="center" vertical="center"/>
    </xf>
    <xf numFmtId="0" fontId="9" fillId="6" borderId="119" xfId="0" applyFont="1" applyFill="1" applyBorder="1" applyAlignment="1">
      <alignment horizontal="center" vertical="center"/>
    </xf>
    <xf numFmtId="0" fontId="9" fillId="6" borderId="151" xfId="0" applyFont="1" applyFill="1" applyBorder="1" applyAlignment="1">
      <alignment horizontal="center" vertical="center"/>
    </xf>
    <xf numFmtId="0" fontId="9" fillId="6" borderId="93" xfId="0" applyFont="1" applyFill="1" applyBorder="1" applyAlignment="1">
      <alignment horizontal="center" vertical="center"/>
    </xf>
    <xf numFmtId="0" fontId="9" fillId="0" borderId="89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9" fillId="0" borderId="82" xfId="0" applyFont="1" applyBorder="1" applyAlignment="1">
      <alignment horizontal="center" vertical="center"/>
    </xf>
    <xf numFmtId="0" fontId="9" fillId="0" borderId="91" xfId="0" applyFont="1" applyBorder="1" applyAlignment="1">
      <alignment horizontal="center" vertical="center"/>
    </xf>
    <xf numFmtId="0" fontId="9" fillId="6" borderId="118" xfId="0" applyFont="1" applyFill="1" applyBorder="1" applyAlignment="1">
      <alignment horizontal="center" vertical="center"/>
    </xf>
    <xf numFmtId="0" fontId="6" fillId="0" borderId="78" xfId="0" applyFont="1" applyBorder="1" applyAlignment="1">
      <alignment horizontal="center" vertical="center"/>
    </xf>
    <xf numFmtId="14" fontId="6" fillId="6" borderId="30" xfId="0" applyNumberFormat="1" applyFont="1" applyFill="1" applyBorder="1" applyAlignment="1">
      <alignment horizontal="center" vertical="center"/>
    </xf>
    <xf numFmtId="14" fontId="6" fillId="6" borderId="31" xfId="0" applyNumberFormat="1" applyFont="1" applyFill="1" applyBorder="1" applyAlignment="1">
      <alignment horizontal="center" vertical="center"/>
    </xf>
    <xf numFmtId="14" fontId="6" fillId="6" borderId="32" xfId="0" applyNumberFormat="1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0" borderId="81" xfId="0" applyFont="1" applyBorder="1" applyAlignment="1">
      <alignment horizontal="left" vertical="center"/>
    </xf>
    <xf numFmtId="0" fontId="6" fillId="0" borderId="74" xfId="0" applyFont="1" applyBorder="1" applyAlignment="1">
      <alignment horizontal="left" vertical="center"/>
    </xf>
    <xf numFmtId="0" fontId="6" fillId="0" borderId="79" xfId="0" applyFont="1" applyBorder="1" applyAlignment="1">
      <alignment horizontal="left" vertical="center"/>
    </xf>
    <xf numFmtId="0" fontId="6" fillId="0" borderId="73" xfId="0" applyFont="1" applyBorder="1" applyAlignment="1">
      <alignment horizontal="left" vertical="center"/>
    </xf>
    <xf numFmtId="0" fontId="6" fillId="0" borderId="83" xfId="0" applyFont="1" applyBorder="1" applyAlignment="1">
      <alignment horizontal="left" vertical="center"/>
    </xf>
    <xf numFmtId="0" fontId="6" fillId="0" borderId="75" xfId="0" applyFont="1" applyBorder="1" applyAlignment="1">
      <alignment horizontal="left" vertical="center"/>
    </xf>
    <xf numFmtId="0" fontId="9" fillId="7" borderId="73" xfId="0" applyFont="1" applyFill="1" applyBorder="1" applyAlignment="1">
      <alignment horizontal="center" vertical="center"/>
    </xf>
    <xf numFmtId="0" fontId="9" fillId="7" borderId="80" xfId="0" applyFont="1" applyFill="1" applyBorder="1" applyAlignment="1">
      <alignment horizontal="center" vertical="center"/>
    </xf>
    <xf numFmtId="0" fontId="9" fillId="7" borderId="74" xfId="0" applyFont="1" applyFill="1" applyBorder="1" applyAlignment="1">
      <alignment horizontal="center" vertical="center"/>
    </xf>
    <xf numFmtId="0" fontId="9" fillId="7" borderId="82" xfId="0" applyFont="1" applyFill="1" applyBorder="1" applyAlignment="1">
      <alignment horizontal="center" vertical="center"/>
    </xf>
    <xf numFmtId="0" fontId="9" fillId="7" borderId="75" xfId="0" applyFont="1" applyFill="1" applyBorder="1" applyAlignment="1">
      <alignment horizontal="center" vertical="center"/>
    </xf>
    <xf numFmtId="0" fontId="9" fillId="7" borderId="84" xfId="0" applyFont="1" applyFill="1" applyBorder="1" applyAlignment="1">
      <alignment horizontal="center" vertical="center"/>
    </xf>
    <xf numFmtId="0" fontId="30" fillId="7" borderId="0" xfId="0" applyFont="1" applyFill="1" applyAlignment="1">
      <alignment horizontal="center" vertical="center" wrapText="1"/>
    </xf>
    <xf numFmtId="0" fontId="45" fillId="7" borderId="0" xfId="0" applyFont="1" applyFill="1" applyAlignment="1">
      <alignment horizontal="center" vertical="center" wrapText="1"/>
    </xf>
    <xf numFmtId="0" fontId="11" fillId="0" borderId="203" xfId="0" applyFont="1" applyBorder="1" applyAlignment="1" applyProtection="1">
      <alignment horizontal="center" vertical="center"/>
      <protection locked="0"/>
    </xf>
    <xf numFmtId="0" fontId="11" fillId="0" borderId="204" xfId="0" applyFont="1" applyBorder="1" applyAlignment="1" applyProtection="1">
      <alignment horizontal="center" vertical="center"/>
      <protection locked="0"/>
    </xf>
    <xf numFmtId="14" fontId="11" fillId="0" borderId="208" xfId="0" applyNumberFormat="1" applyFont="1" applyBorder="1" applyAlignment="1" applyProtection="1">
      <alignment horizontal="center" vertical="center"/>
      <protection locked="0"/>
    </xf>
    <xf numFmtId="14" fontId="11" fillId="0" borderId="204" xfId="0" applyNumberFormat="1" applyFont="1" applyBorder="1" applyAlignment="1" applyProtection="1">
      <alignment horizontal="center" vertical="center"/>
      <protection locked="0"/>
    </xf>
    <xf numFmtId="14" fontId="11" fillId="0" borderId="205" xfId="0" applyNumberFormat="1" applyFont="1" applyBorder="1" applyAlignment="1" applyProtection="1">
      <alignment horizontal="center" vertical="center"/>
      <protection locked="0"/>
    </xf>
    <xf numFmtId="0" fontId="14" fillId="0" borderId="46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11" borderId="30" xfId="0" applyFont="1" applyFill="1" applyBorder="1" applyAlignment="1" applyProtection="1">
      <alignment horizontal="left" vertical="center"/>
      <protection locked="0"/>
    </xf>
    <xf numFmtId="0" fontId="14" fillId="11" borderId="31" xfId="0" applyFont="1" applyFill="1" applyBorder="1" applyAlignment="1" applyProtection="1">
      <alignment horizontal="left" vertical="center"/>
      <protection locked="0"/>
    </xf>
    <xf numFmtId="0" fontId="14" fillId="11" borderId="56" xfId="0" applyFont="1" applyFill="1" applyBorder="1" applyAlignment="1" applyProtection="1">
      <alignment horizontal="left" vertical="center"/>
      <protection locked="0"/>
    </xf>
    <xf numFmtId="0" fontId="9" fillId="0" borderId="81" xfId="0" applyFont="1" applyBorder="1" applyAlignment="1">
      <alignment horizontal="center" vertical="center"/>
    </xf>
    <xf numFmtId="0" fontId="14" fillId="6" borderId="222" xfId="0" applyFont="1" applyFill="1" applyBorder="1" applyAlignment="1">
      <alignment horizontal="center" vertical="center"/>
    </xf>
    <xf numFmtId="0" fontId="14" fillId="6" borderId="39" xfId="0" applyFont="1" applyFill="1" applyBorder="1" applyAlignment="1">
      <alignment horizontal="center" vertical="center"/>
    </xf>
    <xf numFmtId="0" fontId="14" fillId="6" borderId="235" xfId="0" applyFont="1" applyFill="1" applyBorder="1" applyAlignment="1">
      <alignment horizontal="center" vertical="center"/>
    </xf>
    <xf numFmtId="0" fontId="14" fillId="4" borderId="28" xfId="0" applyFont="1" applyFill="1" applyBorder="1" applyAlignment="1" applyProtection="1">
      <alignment horizontal="center" vertical="center"/>
      <protection locked="0"/>
    </xf>
    <xf numFmtId="0" fontId="14" fillId="4" borderId="45" xfId="0" applyFont="1" applyFill="1" applyBorder="1" applyAlignment="1" applyProtection="1">
      <alignment horizontal="center" vertical="center"/>
      <protection locked="0"/>
    </xf>
    <xf numFmtId="0" fontId="14" fillId="0" borderId="44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41" fontId="9" fillId="2" borderId="30" xfId="1" applyFont="1" applyFill="1" applyBorder="1" applyAlignment="1">
      <alignment horizontal="center" vertical="center"/>
    </xf>
    <xf numFmtId="41" fontId="9" fillId="2" borderId="31" xfId="1" applyFont="1" applyFill="1" applyBorder="1" applyAlignment="1">
      <alignment horizontal="center" vertical="center"/>
    </xf>
    <xf numFmtId="41" fontId="9" fillId="2" borderId="56" xfId="1" applyFont="1" applyFill="1" applyBorder="1" applyAlignment="1">
      <alignment horizontal="center" vertical="center"/>
    </xf>
    <xf numFmtId="9" fontId="9" fillId="4" borderId="30" xfId="2" applyFont="1" applyFill="1" applyBorder="1" applyAlignment="1" applyProtection="1">
      <alignment horizontal="center" vertical="center"/>
    </xf>
    <xf numFmtId="9" fontId="9" fillId="4" borderId="31" xfId="2" applyFont="1" applyFill="1" applyBorder="1" applyAlignment="1" applyProtection="1">
      <alignment horizontal="center" vertical="center"/>
    </xf>
    <xf numFmtId="176" fontId="9" fillId="2" borderId="30" xfId="2" applyNumberFormat="1" applyFont="1" applyFill="1" applyBorder="1" applyAlignment="1">
      <alignment horizontal="center" vertical="center"/>
    </xf>
    <xf numFmtId="176" fontId="9" fillId="2" borderId="31" xfId="2" applyNumberFormat="1" applyFont="1" applyFill="1" applyBorder="1" applyAlignment="1">
      <alignment horizontal="center" vertical="center"/>
    </xf>
    <xf numFmtId="178" fontId="9" fillId="0" borderId="81" xfId="0" applyNumberFormat="1" applyFont="1" applyBorder="1" applyAlignment="1">
      <alignment horizontal="center" vertical="center"/>
    </xf>
    <xf numFmtId="178" fontId="9" fillId="0" borderId="74" xfId="0" applyNumberFormat="1" applyFont="1" applyBorder="1" applyAlignment="1">
      <alignment horizontal="center" vertical="center"/>
    </xf>
    <xf numFmtId="178" fontId="9" fillId="0" borderId="82" xfId="0" applyNumberFormat="1" applyFont="1" applyBorder="1" applyAlignment="1">
      <alignment horizontal="center" vertical="center"/>
    </xf>
    <xf numFmtId="0" fontId="9" fillId="0" borderId="92" xfId="0" applyFont="1" applyBorder="1" applyAlignment="1">
      <alignment horizontal="center" vertical="center"/>
    </xf>
    <xf numFmtId="0" fontId="9" fillId="0" borderId="93" xfId="0" applyFont="1" applyBorder="1" applyAlignment="1">
      <alignment horizontal="center" vertical="center"/>
    </xf>
    <xf numFmtId="41" fontId="10" fillId="6" borderId="50" xfId="0" applyNumberFormat="1" applyFont="1" applyFill="1" applyBorder="1" applyAlignment="1">
      <alignment horizontal="center" vertical="center"/>
    </xf>
    <xf numFmtId="41" fontId="10" fillId="6" borderId="78" xfId="0" applyNumberFormat="1" applyFont="1" applyFill="1" applyBorder="1" applyAlignment="1">
      <alignment horizontal="center" vertical="center"/>
    </xf>
    <xf numFmtId="41" fontId="10" fillId="6" borderId="64" xfId="0" applyNumberFormat="1" applyFont="1" applyFill="1" applyBorder="1" applyAlignment="1">
      <alignment horizontal="center" vertical="center"/>
    </xf>
    <xf numFmtId="41" fontId="10" fillId="6" borderId="40" xfId="0" applyNumberFormat="1" applyFont="1" applyFill="1" applyBorder="1" applyAlignment="1">
      <alignment horizontal="center" vertical="center"/>
    </xf>
    <xf numFmtId="41" fontId="10" fillId="6" borderId="70" xfId="0" applyNumberFormat="1" applyFont="1" applyFill="1" applyBorder="1" applyAlignment="1">
      <alignment horizontal="center" vertical="center"/>
    </xf>
    <xf numFmtId="41" fontId="10" fillId="6" borderId="72" xfId="0" applyNumberFormat="1" applyFont="1" applyFill="1" applyBorder="1" applyAlignment="1">
      <alignment horizontal="center" vertical="center"/>
    </xf>
    <xf numFmtId="41" fontId="10" fillId="6" borderId="100" xfId="0" applyNumberFormat="1" applyFont="1" applyFill="1" applyBorder="1" applyAlignment="1">
      <alignment horizontal="center" vertical="center"/>
    </xf>
    <xf numFmtId="41" fontId="10" fillId="6" borderId="71" xfId="0" applyNumberFormat="1" applyFont="1" applyFill="1" applyBorder="1" applyAlignment="1">
      <alignment horizontal="center" vertical="center"/>
    </xf>
    <xf numFmtId="41" fontId="26" fillId="0" borderId="36" xfId="0" applyNumberFormat="1" applyFont="1" applyBorder="1" applyAlignment="1">
      <alignment horizontal="center" vertical="center"/>
    </xf>
    <xf numFmtId="41" fontId="26" fillId="0" borderId="101" xfId="0" applyNumberFormat="1" applyFont="1" applyBorder="1" applyAlignment="1">
      <alignment horizontal="center" vertical="center"/>
    </xf>
    <xf numFmtId="41" fontId="26" fillId="0" borderId="102" xfId="0" applyNumberFormat="1" applyFont="1" applyBorder="1" applyAlignment="1">
      <alignment horizontal="center" vertical="center"/>
    </xf>
    <xf numFmtId="0" fontId="9" fillId="6" borderId="342" xfId="0" applyFont="1" applyFill="1" applyBorder="1" applyAlignment="1">
      <alignment horizontal="center" vertical="center"/>
    </xf>
    <xf numFmtId="0" fontId="9" fillId="6" borderId="340" xfId="0" applyFont="1" applyFill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9" fillId="6" borderId="89" xfId="0" applyFont="1" applyFill="1" applyBorder="1" applyAlignment="1">
      <alignment horizontal="center" vertical="center"/>
    </xf>
    <xf numFmtId="0" fontId="9" fillId="6" borderId="120" xfId="0" applyFont="1" applyFill="1" applyBorder="1" applyAlignment="1">
      <alignment horizontal="center" vertical="center"/>
    </xf>
    <xf numFmtId="0" fontId="9" fillId="0" borderId="108" xfId="0" applyFont="1" applyBorder="1" applyAlignment="1">
      <alignment horizontal="left" vertical="center"/>
    </xf>
    <xf numFmtId="0" fontId="9" fillId="0" borderId="109" xfId="0" applyFont="1" applyBorder="1" applyAlignment="1">
      <alignment horizontal="left" vertical="center"/>
    </xf>
    <xf numFmtId="0" fontId="9" fillId="0" borderId="7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6" borderId="78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6" borderId="52" xfId="0" applyFont="1" applyFill="1" applyBorder="1" applyAlignment="1">
      <alignment horizontal="center" vertical="center" wrapText="1"/>
    </xf>
    <xf numFmtId="0" fontId="9" fillId="6" borderId="106" xfId="0" applyFont="1" applyFill="1" applyBorder="1" applyAlignment="1">
      <alignment horizontal="center" vertical="center"/>
    </xf>
    <xf numFmtId="0" fontId="9" fillId="6" borderId="94" xfId="0" applyFont="1" applyFill="1" applyBorder="1" applyAlignment="1">
      <alignment horizontal="center" vertical="center"/>
    </xf>
    <xf numFmtId="0" fontId="9" fillId="6" borderId="90" xfId="0" applyFont="1" applyFill="1" applyBorder="1" applyAlignment="1">
      <alignment horizontal="center" vertical="center"/>
    </xf>
    <xf numFmtId="0" fontId="27" fillId="0" borderId="340" xfId="0" applyFont="1" applyBorder="1" applyAlignment="1">
      <alignment horizontal="center" vertical="center"/>
    </xf>
    <xf numFmtId="0" fontId="9" fillId="6" borderId="110" xfId="0" applyFont="1" applyFill="1" applyBorder="1" applyAlignment="1">
      <alignment horizontal="center" vertical="center"/>
    </xf>
    <xf numFmtId="0" fontId="9" fillId="6" borderId="111" xfId="0" applyFont="1" applyFill="1" applyBorder="1" applyAlignment="1">
      <alignment horizontal="center" vertical="center"/>
    </xf>
    <xf numFmtId="0" fontId="9" fillId="6" borderId="113" xfId="0" applyFont="1" applyFill="1" applyBorder="1" applyAlignment="1">
      <alignment horizontal="center" vertical="center"/>
    </xf>
    <xf numFmtId="0" fontId="9" fillId="6" borderId="112" xfId="0" applyFont="1" applyFill="1" applyBorder="1" applyAlignment="1">
      <alignment horizontal="center" vertical="center"/>
    </xf>
    <xf numFmtId="0" fontId="9" fillId="0" borderId="114" xfId="0" applyFont="1" applyBorder="1" applyAlignment="1">
      <alignment horizontal="center" vertical="center"/>
    </xf>
    <xf numFmtId="0" fontId="9" fillId="6" borderId="79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86" xfId="0" applyFont="1" applyFill="1" applyBorder="1" applyAlignment="1">
      <alignment horizontal="center" vertical="center"/>
    </xf>
    <xf numFmtId="181" fontId="26" fillId="0" borderId="0" xfId="0" applyNumberFormat="1" applyFont="1" applyAlignment="1">
      <alignment horizontal="center" vertical="center"/>
    </xf>
    <xf numFmtId="181" fontId="26" fillId="0" borderId="86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86" xfId="0" applyFont="1" applyBorder="1" applyAlignment="1">
      <alignment horizontal="center" vertical="center"/>
    </xf>
    <xf numFmtId="0" fontId="26" fillId="0" borderId="73" xfId="0" applyFont="1" applyBorder="1" applyAlignment="1">
      <alignment horizontal="center" vertical="center" wrapText="1"/>
    </xf>
    <xf numFmtId="0" fontId="26" fillId="0" borderId="80" xfId="0" applyFont="1" applyBorder="1" applyAlignment="1">
      <alignment horizontal="center" vertical="center" wrapText="1"/>
    </xf>
    <xf numFmtId="0" fontId="14" fillId="0" borderId="155" xfId="0" applyFont="1" applyBorder="1" applyAlignment="1">
      <alignment horizontal="center" vertical="center" wrapText="1"/>
    </xf>
    <xf numFmtId="0" fontId="14" fillId="0" borderId="101" xfId="0" applyFont="1" applyBorder="1" applyAlignment="1">
      <alignment horizontal="center" vertical="center" wrapText="1"/>
    </xf>
    <xf numFmtId="0" fontId="14" fillId="0" borderId="102" xfId="0" applyFont="1" applyBorder="1" applyAlignment="1">
      <alignment horizontal="center" vertical="center" wrapText="1"/>
    </xf>
    <xf numFmtId="0" fontId="14" fillId="0" borderId="149" xfId="0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86" xfId="0" applyFont="1" applyBorder="1" applyAlignment="1">
      <alignment horizontal="center" vertical="center"/>
    </xf>
    <xf numFmtId="191" fontId="9" fillId="0" borderId="0" xfId="0" applyNumberFormat="1" applyFont="1" applyAlignment="1">
      <alignment horizontal="center" vertical="center"/>
    </xf>
    <xf numFmtId="0" fontId="9" fillId="6" borderId="350" xfId="0" applyFont="1" applyFill="1" applyBorder="1" applyAlignment="1">
      <alignment horizontal="center" vertical="center"/>
    </xf>
    <xf numFmtId="0" fontId="9" fillId="6" borderId="76" xfId="0" applyFont="1" applyFill="1" applyBorder="1" applyAlignment="1">
      <alignment horizontal="center" vertical="center"/>
    </xf>
    <xf numFmtId="0" fontId="14" fillId="0" borderId="148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9" fillId="4" borderId="30" xfId="0" applyFont="1" applyFill="1" applyBorder="1" applyAlignment="1" applyProtection="1">
      <alignment horizontal="center" vertical="center" wrapText="1"/>
      <protection locked="0"/>
    </xf>
    <xf numFmtId="0" fontId="9" fillId="4" borderId="31" xfId="0" applyFont="1" applyFill="1" applyBorder="1" applyAlignment="1" applyProtection="1">
      <alignment horizontal="center" vertical="center" wrapText="1"/>
      <protection locked="0"/>
    </xf>
    <xf numFmtId="0" fontId="9" fillId="4" borderId="56" xfId="0" applyFont="1" applyFill="1" applyBorder="1" applyAlignment="1" applyProtection="1">
      <alignment horizontal="center" vertical="center" wrapText="1"/>
      <protection locked="0"/>
    </xf>
    <xf numFmtId="183" fontId="9" fillId="0" borderId="74" xfId="0" applyNumberFormat="1" applyFont="1" applyBorder="1" applyAlignment="1">
      <alignment horizontal="center" vertical="center"/>
    </xf>
    <xf numFmtId="183" fontId="9" fillId="0" borderId="82" xfId="0" applyNumberFormat="1" applyFont="1" applyBorder="1" applyAlignment="1">
      <alignment horizontal="center" vertical="center"/>
    </xf>
    <xf numFmtId="0" fontId="14" fillId="4" borderId="30" xfId="0" applyFont="1" applyFill="1" applyBorder="1" applyAlignment="1" applyProtection="1">
      <alignment horizontal="center" vertical="center"/>
      <protection locked="0"/>
    </xf>
    <xf numFmtId="0" fontId="14" fillId="4" borderId="31" xfId="0" applyFont="1" applyFill="1" applyBorder="1" applyAlignment="1" applyProtection="1">
      <alignment horizontal="center" vertical="center"/>
      <protection locked="0"/>
    </xf>
    <xf numFmtId="0" fontId="14" fillId="4" borderId="56" xfId="0" applyFont="1" applyFill="1" applyBorder="1" applyAlignment="1" applyProtection="1">
      <alignment horizontal="center" vertical="center"/>
      <protection locked="0"/>
    </xf>
    <xf numFmtId="0" fontId="3" fillId="0" borderId="70" xfId="0" applyFont="1" applyBorder="1" applyAlignment="1">
      <alignment horizontal="right" vertical="center"/>
    </xf>
    <xf numFmtId="0" fontId="14" fillId="2" borderId="35" xfId="0" applyFont="1" applyFill="1" applyBorder="1" applyAlignment="1">
      <alignment horizontal="center" vertical="center"/>
    </xf>
    <xf numFmtId="0" fontId="14" fillId="4" borderId="51" xfId="0" applyFont="1" applyFill="1" applyBorder="1" applyAlignment="1" applyProtection="1">
      <alignment horizontal="center" vertical="center"/>
      <protection locked="0"/>
    </xf>
    <xf numFmtId="0" fontId="14" fillId="4" borderId="52" xfId="0" applyFont="1" applyFill="1" applyBorder="1" applyAlignment="1" applyProtection="1">
      <alignment horizontal="center" vertical="center"/>
      <protection locked="0"/>
    </xf>
    <xf numFmtId="0" fontId="14" fillId="4" borderId="54" xfId="0" applyFont="1" applyFill="1" applyBorder="1" applyAlignment="1" applyProtection="1">
      <alignment horizontal="center" vertical="center"/>
      <protection locked="0"/>
    </xf>
    <xf numFmtId="0" fontId="14" fillId="0" borderId="3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178" fontId="14" fillId="4" borderId="28" xfId="0" applyNumberFormat="1" applyFont="1" applyFill="1" applyBorder="1" applyAlignment="1" applyProtection="1">
      <alignment horizontal="center" vertical="center"/>
      <protection locked="0"/>
    </xf>
    <xf numFmtId="178" fontId="14" fillId="4" borderId="30" xfId="0" applyNumberFormat="1" applyFont="1" applyFill="1" applyBorder="1" applyAlignment="1" applyProtection="1">
      <alignment horizontal="center" vertical="center"/>
      <protection locked="0"/>
    </xf>
    <xf numFmtId="178" fontId="14" fillId="4" borderId="45" xfId="0" applyNumberFormat="1" applyFont="1" applyFill="1" applyBorder="1" applyAlignment="1" applyProtection="1">
      <alignment horizontal="center" vertical="center"/>
      <protection locked="0"/>
    </xf>
    <xf numFmtId="0" fontId="14" fillId="4" borderId="37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4" fillId="4" borderId="65" xfId="0" applyFont="1" applyFill="1" applyBorder="1" applyAlignment="1" applyProtection="1">
      <alignment horizontal="center" vertical="center"/>
      <protection locked="0"/>
    </xf>
    <xf numFmtId="0" fontId="14" fillId="4" borderId="69" xfId="0" applyFont="1" applyFill="1" applyBorder="1" applyAlignment="1" applyProtection="1">
      <alignment horizontal="center" vertical="center"/>
      <protection locked="0"/>
    </xf>
    <xf numFmtId="41" fontId="9" fillId="2" borderId="32" xfId="1" applyFont="1" applyFill="1" applyBorder="1" applyAlignment="1">
      <alignment horizontal="center" vertical="center"/>
    </xf>
    <xf numFmtId="0" fontId="14" fillId="20" borderId="36" xfId="0" applyFont="1" applyFill="1" applyBorder="1" applyAlignment="1" applyProtection="1">
      <alignment horizontal="center" vertical="center"/>
      <protection locked="0"/>
    </xf>
    <xf numFmtId="0" fontId="14" fillId="20" borderId="101" xfId="0" applyFont="1" applyFill="1" applyBorder="1" applyAlignment="1" applyProtection="1">
      <alignment horizontal="center" vertical="center"/>
      <protection locked="0"/>
    </xf>
    <xf numFmtId="0" fontId="14" fillId="20" borderId="103" xfId="0" applyFont="1" applyFill="1" applyBorder="1" applyAlignment="1" applyProtection="1">
      <alignment horizontal="center" vertical="center"/>
      <protection locked="0"/>
    </xf>
    <xf numFmtId="0" fontId="14" fillId="0" borderId="55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191" fontId="14" fillId="2" borderId="36" xfId="0" applyNumberFormat="1" applyFont="1" applyFill="1" applyBorder="1" applyAlignment="1">
      <alignment horizontal="center" vertical="center"/>
    </xf>
    <xf numFmtId="191" fontId="14" fillId="2" borderId="101" xfId="0" applyNumberFormat="1" applyFont="1" applyFill="1" applyBorder="1" applyAlignment="1">
      <alignment horizontal="center" vertical="center"/>
    </xf>
    <xf numFmtId="191" fontId="14" fillId="2" borderId="103" xfId="0" applyNumberFormat="1" applyFont="1" applyFill="1" applyBorder="1" applyAlignment="1">
      <alignment horizontal="center" vertical="center"/>
    </xf>
    <xf numFmtId="0" fontId="14" fillId="4" borderId="33" xfId="0" applyFont="1" applyFill="1" applyBorder="1" applyAlignment="1" applyProtection="1">
      <alignment horizontal="center" vertical="center"/>
      <protection locked="0"/>
    </xf>
    <xf numFmtId="0" fontId="14" fillId="4" borderId="47" xfId="0" applyFont="1" applyFill="1" applyBorder="1" applyAlignment="1" applyProtection="1">
      <alignment horizontal="center" vertical="center"/>
      <protection locked="0"/>
    </xf>
    <xf numFmtId="0" fontId="14" fillId="2" borderId="28" xfId="0" applyFont="1" applyFill="1" applyBorder="1" applyAlignment="1">
      <alignment horizontal="center" vertical="center" wrapText="1"/>
    </xf>
    <xf numFmtId="180" fontId="14" fillId="4" borderId="29" xfId="1" applyNumberFormat="1" applyFont="1" applyFill="1" applyBorder="1" applyAlignment="1" applyProtection="1">
      <alignment horizontal="center" vertical="center"/>
      <protection locked="0"/>
    </xf>
    <xf numFmtId="180" fontId="14" fillId="4" borderId="49" xfId="1" applyNumberFormat="1" applyFont="1" applyFill="1" applyBorder="1" applyAlignment="1" applyProtection="1">
      <alignment horizontal="center" vertical="center"/>
      <protection locked="0"/>
    </xf>
    <xf numFmtId="0" fontId="14" fillId="4" borderId="35" xfId="0" applyFont="1" applyFill="1" applyBorder="1" applyAlignment="1" applyProtection="1">
      <alignment horizontal="center" vertical="center"/>
      <protection locked="0"/>
    </xf>
    <xf numFmtId="0" fontId="14" fillId="4" borderId="36" xfId="0" applyFont="1" applyFill="1" applyBorder="1" applyAlignment="1" applyProtection="1">
      <alignment horizontal="center" vertical="center"/>
      <protection locked="0"/>
    </xf>
    <xf numFmtId="0" fontId="11" fillId="4" borderId="30" xfId="0" applyFont="1" applyFill="1" applyBorder="1" applyAlignment="1" applyProtection="1">
      <alignment horizontal="center" vertical="center"/>
      <protection locked="0"/>
    </xf>
    <xf numFmtId="0" fontId="11" fillId="4" borderId="31" xfId="0" applyFont="1" applyFill="1" applyBorder="1" applyAlignment="1" applyProtection="1">
      <alignment horizontal="center" vertical="center"/>
      <protection locked="0"/>
    </xf>
    <xf numFmtId="0" fontId="11" fillId="4" borderId="56" xfId="0" applyFont="1" applyFill="1" applyBorder="1" applyAlignment="1" applyProtection="1">
      <alignment horizontal="center" vertical="center"/>
      <protection locked="0"/>
    </xf>
    <xf numFmtId="0" fontId="14" fillId="0" borderId="154" xfId="0" applyFont="1" applyBorder="1" applyAlignment="1">
      <alignment horizontal="center" vertical="center"/>
    </xf>
    <xf numFmtId="0" fontId="14" fillId="0" borderId="116" xfId="0" applyFont="1" applyBorder="1" applyAlignment="1">
      <alignment horizontal="center" vertical="center"/>
    </xf>
    <xf numFmtId="0" fontId="14" fillId="4" borderId="30" xfId="0" applyFont="1" applyFill="1" applyBorder="1" applyAlignment="1" applyProtection="1">
      <alignment horizontal="center" vertical="center" wrapText="1"/>
      <protection locked="0"/>
    </xf>
    <xf numFmtId="0" fontId="14" fillId="4" borderId="31" xfId="0" applyFont="1" applyFill="1" applyBorder="1" applyAlignment="1" applyProtection="1">
      <alignment horizontal="center" vertical="center" wrapText="1"/>
      <protection locked="0"/>
    </xf>
    <xf numFmtId="0" fontId="14" fillId="4" borderId="32" xfId="0" applyFont="1" applyFill="1" applyBorder="1" applyAlignment="1" applyProtection="1">
      <alignment horizontal="center" vertical="center" wrapText="1"/>
      <protection locked="0"/>
    </xf>
    <xf numFmtId="0" fontId="14" fillId="4" borderId="56" xfId="0" applyFont="1" applyFill="1" applyBorder="1" applyAlignment="1" applyProtection="1">
      <alignment horizontal="center" vertical="center" wrapText="1"/>
      <protection locked="0"/>
    </xf>
    <xf numFmtId="0" fontId="14" fillId="4" borderId="34" xfId="0" applyFont="1" applyFill="1" applyBorder="1" applyAlignment="1" applyProtection="1">
      <alignment horizontal="center" vertical="center"/>
      <protection locked="0"/>
    </xf>
    <xf numFmtId="0" fontId="14" fillId="4" borderId="116" xfId="0" applyFont="1" applyFill="1" applyBorder="1" applyAlignment="1" applyProtection="1">
      <alignment horizontal="center" vertical="center"/>
      <protection locked="0"/>
    </xf>
    <xf numFmtId="0" fontId="14" fillId="4" borderId="43" xfId="0" applyFont="1" applyFill="1" applyBorder="1" applyAlignment="1" applyProtection="1">
      <alignment horizontal="center" vertical="center"/>
      <protection locked="0"/>
    </xf>
    <xf numFmtId="0" fontId="31" fillId="0" borderId="156" xfId="0" applyFont="1" applyBorder="1" applyAlignment="1">
      <alignment horizontal="center" vertical="center"/>
    </xf>
    <xf numFmtId="0" fontId="31" fillId="0" borderId="78" xfId="0" applyFont="1" applyBorder="1" applyAlignment="1">
      <alignment horizontal="center" vertical="center"/>
    </xf>
    <xf numFmtId="0" fontId="31" fillId="0" borderId="64" xfId="0" applyFont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 wrapText="1"/>
    </xf>
    <xf numFmtId="0" fontId="14" fillId="2" borderId="101" xfId="0" applyFont="1" applyFill="1" applyBorder="1" applyAlignment="1">
      <alignment horizontal="center" vertical="center" wrapText="1"/>
    </xf>
    <xf numFmtId="183" fontId="14" fillId="2" borderId="36" xfId="0" applyNumberFormat="1" applyFont="1" applyFill="1" applyBorder="1" applyAlignment="1">
      <alignment horizontal="center" vertical="center" wrapText="1"/>
    </xf>
    <xf numFmtId="183" fontId="14" fillId="2" borderId="101" xfId="0" applyNumberFormat="1" applyFont="1" applyFill="1" applyBorder="1" applyAlignment="1">
      <alignment horizontal="center" vertical="center" wrapText="1"/>
    </xf>
    <xf numFmtId="183" fontId="14" fillId="2" borderId="103" xfId="0" applyNumberFormat="1" applyFont="1" applyFill="1" applyBorder="1" applyAlignment="1">
      <alignment horizontal="center" vertical="center" wrapText="1"/>
    </xf>
    <xf numFmtId="0" fontId="88" fillId="7" borderId="0" xfId="0" applyFont="1" applyFill="1" applyAlignment="1">
      <alignment horizontal="center" vertical="center"/>
    </xf>
    <xf numFmtId="0" fontId="14" fillId="26" borderId="218" xfId="0" applyFont="1" applyFill="1" applyBorder="1" applyAlignment="1" applyProtection="1">
      <alignment horizontal="center" vertical="center"/>
      <protection locked="0"/>
    </xf>
    <xf numFmtId="0" fontId="14" fillId="26" borderId="160" xfId="0" applyFont="1" applyFill="1" applyBorder="1" applyAlignment="1" applyProtection="1">
      <alignment horizontal="center" vertical="center"/>
      <protection locked="0"/>
    </xf>
    <xf numFmtId="0" fontId="14" fillId="26" borderId="226" xfId="0" applyFont="1" applyFill="1" applyBorder="1" applyAlignment="1" applyProtection="1">
      <alignment horizontal="center" vertical="center"/>
      <protection locked="0"/>
    </xf>
    <xf numFmtId="176" fontId="14" fillId="4" borderId="35" xfId="2" applyNumberFormat="1" applyFont="1" applyFill="1" applyBorder="1" applyAlignment="1" applyProtection="1">
      <alignment horizontal="center" vertical="center"/>
      <protection locked="0"/>
    </xf>
    <xf numFmtId="41" fontId="14" fillId="2" borderId="35" xfId="1" applyFont="1" applyFill="1" applyBorder="1" applyAlignment="1">
      <alignment horizontal="center" vertical="center"/>
    </xf>
    <xf numFmtId="0" fontId="14" fillId="6" borderId="42" xfId="0" applyFont="1" applyFill="1" applyBorder="1" applyAlignment="1">
      <alignment horizontal="center" vertical="center"/>
    </xf>
    <xf numFmtId="0" fontId="14" fillId="6" borderId="35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0" borderId="68" xfId="0" applyFont="1" applyBorder="1" applyAlignment="1">
      <alignment horizontal="center" vertical="center"/>
    </xf>
    <xf numFmtId="0" fontId="14" fillId="0" borderId="72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14" fillId="0" borderId="104" xfId="0" applyFont="1" applyBorder="1" applyAlignment="1">
      <alignment horizontal="center" vertical="center"/>
    </xf>
    <xf numFmtId="0" fontId="14" fillId="0" borderId="156" xfId="0" applyFont="1" applyBorder="1" applyAlignment="1">
      <alignment horizontal="center" vertical="center"/>
    </xf>
    <xf numFmtId="0" fontId="14" fillId="0" borderId="78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94" fillId="4" borderId="66" xfId="0" applyFont="1" applyFill="1" applyBorder="1" applyAlignment="1">
      <alignment horizontal="center" vertical="center" wrapText="1"/>
    </xf>
    <xf numFmtId="0" fontId="12" fillId="4" borderId="41" xfId="0" applyFont="1" applyFill="1" applyBorder="1" applyAlignment="1">
      <alignment horizontal="center" vertical="center" wrapText="1"/>
    </xf>
    <xf numFmtId="0" fontId="12" fillId="4" borderId="206" xfId="0" applyFont="1" applyFill="1" applyBorder="1" applyAlignment="1">
      <alignment horizontal="center" vertical="center" wrapText="1"/>
    </xf>
    <xf numFmtId="0" fontId="12" fillId="4" borderId="68" xfId="0" applyFont="1" applyFill="1" applyBorder="1" applyAlignment="1">
      <alignment horizontal="center" vertical="center" wrapText="1"/>
    </xf>
    <xf numFmtId="0" fontId="12" fillId="4" borderId="70" xfId="0" applyFont="1" applyFill="1" applyBorder="1" applyAlignment="1">
      <alignment horizontal="center" vertical="center" wrapText="1"/>
    </xf>
    <xf numFmtId="0" fontId="12" fillId="4" borderId="71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/>
    </xf>
    <xf numFmtId="9" fontId="14" fillId="4" borderId="149" xfId="0" applyNumberFormat="1" applyFont="1" applyFill="1" applyBorder="1" applyAlignment="1" applyProtection="1">
      <alignment horizontal="center" vertical="center"/>
      <protection locked="0"/>
    </xf>
    <xf numFmtId="9" fontId="14" fillId="4" borderId="150" xfId="0" applyNumberFormat="1" applyFont="1" applyFill="1" applyBorder="1" applyAlignment="1" applyProtection="1">
      <alignment horizontal="center" vertical="center"/>
      <protection locked="0"/>
    </xf>
    <xf numFmtId="0" fontId="14" fillId="0" borderId="55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 wrapText="1"/>
    </xf>
    <xf numFmtId="0" fontId="14" fillId="0" borderId="32" xfId="0" applyFont="1" applyBorder="1" applyAlignment="1">
      <alignment horizontal="left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180" fontId="9" fillId="2" borderId="30" xfId="0" applyNumberFormat="1" applyFont="1" applyFill="1" applyBorder="1" applyAlignment="1">
      <alignment horizontal="center" vertical="center"/>
    </xf>
    <xf numFmtId="180" fontId="9" fillId="2" borderId="31" xfId="0" applyNumberFormat="1" applyFont="1" applyFill="1" applyBorder="1" applyAlignment="1">
      <alignment horizontal="center" vertical="center"/>
    </xf>
    <xf numFmtId="180" fontId="9" fillId="2" borderId="32" xfId="0" applyNumberFormat="1" applyFont="1" applyFill="1" applyBorder="1" applyAlignment="1">
      <alignment horizontal="center" vertical="center"/>
    </xf>
    <xf numFmtId="0" fontId="14" fillId="4" borderId="28" xfId="0" applyFont="1" applyFill="1" applyBorder="1" applyAlignment="1" applyProtection="1">
      <alignment horizontal="center" vertical="center" wrapText="1"/>
      <protection locked="0"/>
    </xf>
    <xf numFmtId="0" fontId="14" fillId="4" borderId="45" xfId="0" applyFont="1" applyFill="1" applyBorder="1" applyAlignment="1" applyProtection="1">
      <alignment horizontal="center" vertical="center" wrapText="1"/>
      <protection locked="0"/>
    </xf>
    <xf numFmtId="0" fontId="33" fillId="4" borderId="156" xfId="0" applyFont="1" applyFill="1" applyBorder="1" applyAlignment="1" applyProtection="1">
      <alignment horizontal="center" vertical="center" wrapText="1"/>
      <protection locked="0"/>
    </xf>
    <xf numFmtId="0" fontId="33" fillId="4" borderId="78" xfId="0" applyFont="1" applyFill="1" applyBorder="1" applyAlignment="1" applyProtection="1">
      <alignment horizontal="center" vertical="center" wrapText="1"/>
      <protection locked="0"/>
    </xf>
    <xf numFmtId="0" fontId="33" fillId="4" borderId="100" xfId="0" applyFont="1" applyFill="1" applyBorder="1" applyAlignment="1" applyProtection="1">
      <alignment horizontal="center" vertical="center" wrapText="1"/>
      <protection locked="0"/>
    </xf>
    <xf numFmtId="0" fontId="33" fillId="4" borderId="159" xfId="0" applyFont="1" applyFill="1" applyBorder="1" applyAlignment="1" applyProtection="1">
      <alignment horizontal="center" vertical="center" wrapText="1"/>
      <protection locked="0"/>
    </xf>
    <xf numFmtId="0" fontId="33" fillId="4" borderId="52" xfId="0" applyFont="1" applyFill="1" applyBorder="1" applyAlignment="1" applyProtection="1">
      <alignment horizontal="center" vertical="center" wrapText="1"/>
      <protection locked="0"/>
    </xf>
    <xf numFmtId="0" fontId="33" fillId="4" borderId="54" xfId="0" applyFont="1" applyFill="1" applyBorder="1" applyAlignment="1" applyProtection="1">
      <alignment horizontal="center" vertical="center" wrapText="1"/>
      <protection locked="0"/>
    </xf>
    <xf numFmtId="0" fontId="14" fillId="26" borderId="227" xfId="0" applyFont="1" applyFill="1" applyBorder="1" applyAlignment="1" applyProtection="1">
      <alignment horizontal="center" vertical="center"/>
      <protection locked="0"/>
    </xf>
    <xf numFmtId="0" fontId="14" fillId="26" borderId="219" xfId="0" applyFont="1" applyFill="1" applyBorder="1" applyAlignment="1" applyProtection="1">
      <alignment horizontal="center" vertical="center"/>
      <protection locked="0"/>
    </xf>
    <xf numFmtId="0" fontId="13" fillId="4" borderId="29" xfId="0" applyFont="1" applyFill="1" applyBorder="1" applyAlignment="1" applyProtection="1">
      <alignment horizontal="center" vertical="center"/>
      <protection locked="0"/>
    </xf>
    <xf numFmtId="9" fontId="14" fillId="4" borderId="29" xfId="0" applyNumberFormat="1" applyFont="1" applyFill="1" applyBorder="1" applyAlignment="1" applyProtection="1">
      <alignment horizontal="center" vertical="center"/>
      <protection locked="0"/>
    </xf>
    <xf numFmtId="9" fontId="14" fillId="4" borderId="49" xfId="0" applyNumberFormat="1" applyFont="1" applyFill="1" applyBorder="1" applyAlignment="1" applyProtection="1">
      <alignment horizontal="center" vertical="center"/>
      <protection locked="0"/>
    </xf>
    <xf numFmtId="0" fontId="28" fillId="4" borderId="33" xfId="0" applyFont="1" applyFill="1" applyBorder="1" applyAlignment="1" applyProtection="1">
      <alignment horizontal="left" vertical="center"/>
      <protection locked="0"/>
    </xf>
    <xf numFmtId="0" fontId="28" fillId="4" borderId="47" xfId="0" applyFont="1" applyFill="1" applyBorder="1" applyAlignment="1" applyProtection="1">
      <alignment horizontal="left" vertical="center"/>
      <protection locked="0"/>
    </xf>
    <xf numFmtId="0" fontId="27" fillId="4" borderId="28" xfId="0" applyFont="1" applyFill="1" applyBorder="1" applyAlignment="1" applyProtection="1">
      <alignment horizontal="left" vertical="center"/>
      <protection locked="0"/>
    </xf>
    <xf numFmtId="0" fontId="27" fillId="4" borderId="45" xfId="0" applyFont="1" applyFill="1" applyBorder="1" applyAlignment="1" applyProtection="1">
      <alignment horizontal="left" vertical="center"/>
      <protection locked="0"/>
    </xf>
    <xf numFmtId="180" fontId="9" fillId="2" borderId="56" xfId="0" applyNumberFormat="1" applyFont="1" applyFill="1" applyBorder="1" applyAlignment="1">
      <alignment horizontal="center" vertical="center"/>
    </xf>
    <xf numFmtId="0" fontId="13" fillId="4" borderId="149" xfId="0" applyFont="1" applyFill="1" applyBorder="1" applyAlignment="1" applyProtection="1">
      <alignment horizontal="center" vertical="center"/>
      <protection locked="0"/>
    </xf>
    <xf numFmtId="0" fontId="14" fillId="0" borderId="44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190" fontId="13" fillId="4" borderId="28" xfId="1" applyNumberFormat="1" applyFont="1" applyFill="1" applyBorder="1" applyAlignment="1" applyProtection="1">
      <alignment horizontal="center" vertical="center" wrapText="1"/>
      <protection locked="0"/>
    </xf>
    <xf numFmtId="190" fontId="13" fillId="4" borderId="45" xfId="1" applyNumberFormat="1" applyFont="1" applyFill="1" applyBorder="1" applyAlignment="1" applyProtection="1">
      <alignment horizontal="center" vertical="center" wrapText="1"/>
      <protection locked="0"/>
    </xf>
    <xf numFmtId="41" fontId="18" fillId="2" borderId="33" xfId="0" applyNumberFormat="1" applyFont="1" applyFill="1" applyBorder="1" applyAlignment="1">
      <alignment horizontal="center" vertical="center"/>
    </xf>
    <xf numFmtId="0" fontId="18" fillId="2" borderId="33" xfId="0" applyFont="1" applyFill="1" applyBorder="1" applyAlignment="1">
      <alignment horizontal="center" vertical="center"/>
    </xf>
    <xf numFmtId="0" fontId="18" fillId="2" borderId="34" xfId="0" applyFont="1" applyFill="1" applyBorder="1" applyAlignment="1">
      <alignment horizontal="center" vertical="center"/>
    </xf>
    <xf numFmtId="9" fontId="105" fillId="0" borderId="34" xfId="2" applyFont="1" applyFill="1" applyBorder="1" applyAlignment="1" applyProtection="1">
      <alignment horizontal="center" vertical="center" wrapText="1"/>
      <protection locked="0"/>
    </xf>
    <xf numFmtId="9" fontId="105" fillId="0" borderId="57" xfId="2" applyFont="1" applyFill="1" applyBorder="1" applyAlignment="1" applyProtection="1">
      <alignment horizontal="center" vertical="center" wrapText="1"/>
      <protection locked="0"/>
    </xf>
    <xf numFmtId="9" fontId="105" fillId="0" borderId="104" xfId="2" applyFont="1" applyFill="1" applyBorder="1" applyAlignment="1" applyProtection="1">
      <alignment horizontal="center" vertical="center" wrapText="1"/>
      <protection locked="0"/>
    </xf>
    <xf numFmtId="179" fontId="105" fillId="0" borderId="34" xfId="1" applyNumberFormat="1" applyFont="1" applyFill="1" applyBorder="1" applyAlignment="1">
      <alignment horizontal="center" vertical="center"/>
    </xf>
    <xf numFmtId="179" fontId="105" fillId="0" borderId="57" xfId="1" applyNumberFormat="1" applyFont="1" applyFill="1" applyBorder="1" applyAlignment="1">
      <alignment horizontal="center" vertical="center"/>
    </xf>
    <xf numFmtId="179" fontId="105" fillId="0" borderId="104" xfId="1" applyNumberFormat="1" applyFont="1" applyFill="1" applyBorder="1" applyAlignment="1">
      <alignment horizontal="center" vertical="center"/>
    </xf>
    <xf numFmtId="179" fontId="105" fillId="0" borderId="58" xfId="1" applyNumberFormat="1" applyFont="1" applyFill="1" applyBorder="1" applyAlignment="1">
      <alignment horizontal="center" vertical="center"/>
    </xf>
    <xf numFmtId="41" fontId="18" fillId="2" borderId="35" xfId="0" applyNumberFormat="1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176" fontId="14" fillId="4" borderId="28" xfId="2" applyNumberFormat="1" applyFont="1" applyFill="1" applyBorder="1" applyAlignment="1" applyProtection="1">
      <alignment horizontal="center" vertical="center"/>
      <protection locked="0"/>
    </xf>
    <xf numFmtId="41" fontId="14" fillId="0" borderId="33" xfId="0" applyNumberFormat="1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8" fillId="2" borderId="47" xfId="0" applyFont="1" applyFill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9" fontId="9" fillId="4" borderId="30" xfId="2" applyFont="1" applyFill="1" applyBorder="1" applyAlignment="1" applyProtection="1">
      <alignment horizontal="center" vertical="center"/>
      <protection locked="0"/>
    </xf>
    <xf numFmtId="9" fontId="9" fillId="4" borderId="31" xfId="2" applyFont="1" applyFill="1" applyBorder="1" applyAlignment="1" applyProtection="1">
      <alignment horizontal="center" vertical="center"/>
      <protection locked="0"/>
    </xf>
    <xf numFmtId="9" fontId="9" fillId="4" borderId="50" xfId="2" applyFont="1" applyFill="1" applyBorder="1" applyAlignment="1" applyProtection="1">
      <alignment horizontal="center" vertical="center"/>
      <protection locked="0"/>
    </xf>
    <xf numFmtId="9" fontId="9" fillId="4" borderId="78" xfId="2" applyFont="1" applyFill="1" applyBorder="1" applyAlignment="1" applyProtection="1">
      <alignment horizontal="center" vertical="center"/>
      <protection locked="0"/>
    </xf>
    <xf numFmtId="0" fontId="9" fillId="0" borderId="34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41" fontId="14" fillId="2" borderId="28" xfId="1" applyFont="1" applyFill="1" applyBorder="1" applyAlignment="1">
      <alignment horizontal="center" vertical="center"/>
    </xf>
    <xf numFmtId="41" fontId="14" fillId="2" borderId="45" xfId="1" applyFont="1" applyFill="1" applyBorder="1" applyAlignment="1">
      <alignment horizontal="center" vertical="center"/>
    </xf>
    <xf numFmtId="0" fontId="14" fillId="4" borderId="101" xfId="0" applyFont="1" applyFill="1" applyBorder="1" applyAlignment="1" applyProtection="1">
      <alignment horizontal="center" vertical="center"/>
      <protection locked="0"/>
    </xf>
    <xf numFmtId="0" fontId="14" fillId="4" borderId="102" xfId="0" applyFont="1" applyFill="1" applyBorder="1" applyAlignment="1" applyProtection="1">
      <alignment horizontal="center" vertical="center"/>
      <protection locked="0"/>
    </xf>
    <xf numFmtId="41" fontId="9" fillId="2" borderId="50" xfId="1" applyFont="1" applyFill="1" applyBorder="1" applyAlignment="1">
      <alignment horizontal="center" vertical="center"/>
    </xf>
    <xf numFmtId="41" fontId="9" fillId="2" borderId="78" xfId="1" applyFont="1" applyFill="1" applyBorder="1" applyAlignment="1">
      <alignment horizontal="center" vertical="center"/>
    </xf>
    <xf numFmtId="41" fontId="9" fillId="2" borderId="100" xfId="1" applyFont="1" applyFill="1" applyBorder="1" applyAlignment="1">
      <alignment horizontal="center" vertical="center"/>
    </xf>
    <xf numFmtId="41" fontId="14" fillId="2" borderId="43" xfId="1" applyFont="1" applyFill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101" xfId="0" applyFont="1" applyBorder="1" applyAlignment="1">
      <alignment horizontal="center" vertical="center"/>
    </xf>
    <xf numFmtId="0" fontId="14" fillId="0" borderId="102" xfId="0" applyFont="1" applyBorder="1" applyAlignment="1">
      <alignment horizontal="center" vertical="center"/>
    </xf>
    <xf numFmtId="0" fontId="14" fillId="0" borderId="70" xfId="0" applyFont="1" applyBorder="1" applyAlignment="1">
      <alignment horizontal="center" vertical="center"/>
    </xf>
    <xf numFmtId="180" fontId="14" fillId="4" borderId="50" xfId="0" applyNumberFormat="1" applyFont="1" applyFill="1" applyBorder="1" applyAlignment="1" applyProtection="1">
      <alignment horizontal="center" vertical="center"/>
      <protection locked="0"/>
    </xf>
    <xf numFmtId="180" fontId="14" fillId="4" borderId="78" xfId="0" applyNumberFormat="1" applyFont="1" applyFill="1" applyBorder="1" applyAlignment="1" applyProtection="1">
      <alignment horizontal="center" vertical="center"/>
      <protection locked="0"/>
    </xf>
    <xf numFmtId="180" fontId="14" fillId="4" borderId="100" xfId="0" applyNumberFormat="1" applyFont="1" applyFill="1" applyBorder="1" applyAlignment="1" applyProtection="1">
      <alignment horizontal="center" vertical="center"/>
      <protection locked="0"/>
    </xf>
    <xf numFmtId="180" fontId="14" fillId="4" borderId="40" xfId="0" applyNumberFormat="1" applyFont="1" applyFill="1" applyBorder="1" applyAlignment="1" applyProtection="1">
      <alignment horizontal="center" vertical="center"/>
      <protection locked="0"/>
    </xf>
    <xf numFmtId="180" fontId="14" fillId="4" borderId="70" xfId="0" applyNumberFormat="1" applyFont="1" applyFill="1" applyBorder="1" applyAlignment="1" applyProtection="1">
      <alignment horizontal="center" vertical="center"/>
      <protection locked="0"/>
    </xf>
    <xf numFmtId="180" fontId="14" fillId="4" borderId="71" xfId="0" applyNumberFormat="1" applyFont="1" applyFill="1" applyBorder="1" applyAlignment="1" applyProtection="1">
      <alignment horizontal="center" vertical="center"/>
      <protection locked="0"/>
    </xf>
    <xf numFmtId="0" fontId="11" fillId="0" borderId="346" xfId="0" applyFont="1" applyBorder="1" applyAlignment="1">
      <alignment horizontal="center" vertical="center"/>
    </xf>
    <xf numFmtId="0" fontId="11" fillId="0" borderId="344" xfId="0" applyFont="1" applyBorder="1" applyAlignment="1">
      <alignment horizontal="center" vertical="center"/>
    </xf>
    <xf numFmtId="0" fontId="11" fillId="0" borderId="345" xfId="0" applyFont="1" applyBorder="1" applyAlignment="1">
      <alignment horizontal="center" vertical="center"/>
    </xf>
    <xf numFmtId="10" fontId="9" fillId="0" borderId="81" xfId="0" applyNumberFormat="1" applyFont="1" applyBorder="1" applyAlignment="1">
      <alignment horizontal="center" vertical="center"/>
    </xf>
    <xf numFmtId="10" fontId="9" fillId="0" borderId="74" xfId="0" applyNumberFormat="1" applyFont="1" applyBorder="1" applyAlignment="1">
      <alignment horizontal="center" vertical="center"/>
    </xf>
    <xf numFmtId="176" fontId="9" fillId="0" borderId="81" xfId="0" applyNumberFormat="1" applyFont="1" applyBorder="1" applyAlignment="1">
      <alignment horizontal="center" vertical="center"/>
    </xf>
    <xf numFmtId="176" fontId="9" fillId="0" borderId="74" xfId="0" applyNumberFormat="1" applyFont="1" applyBorder="1" applyAlignment="1">
      <alignment horizontal="center" vertical="center"/>
    </xf>
    <xf numFmtId="182" fontId="9" fillId="0" borderId="75" xfId="0" applyNumberFormat="1" applyFont="1" applyBorder="1" applyAlignment="1">
      <alignment horizontal="center" vertical="center"/>
    </xf>
    <xf numFmtId="182" fontId="9" fillId="0" borderId="84" xfId="0" applyNumberFormat="1" applyFont="1" applyBorder="1" applyAlignment="1">
      <alignment horizontal="center" vertical="center"/>
    </xf>
    <xf numFmtId="41" fontId="7" fillId="0" borderId="0" xfId="1" applyFont="1" applyFill="1" applyBorder="1" applyAlignment="1">
      <alignment horizontal="center" vertical="center"/>
    </xf>
    <xf numFmtId="41" fontId="9" fillId="2" borderId="64" xfId="1" applyFont="1" applyFill="1" applyBorder="1" applyAlignment="1">
      <alignment horizontal="center" vertical="center"/>
    </xf>
    <xf numFmtId="9" fontId="7" fillId="0" borderId="0" xfId="2" applyFont="1" applyFill="1" applyBorder="1" applyAlignment="1" applyProtection="1">
      <alignment horizontal="center" vertical="center"/>
      <protection locked="0"/>
    </xf>
    <xf numFmtId="0" fontId="11" fillId="16" borderId="200" xfId="0" applyFont="1" applyFill="1" applyBorder="1" applyAlignment="1">
      <alignment horizontal="center" vertical="center"/>
    </xf>
    <xf numFmtId="0" fontId="11" fillId="16" borderId="201" xfId="0" applyFont="1" applyFill="1" applyBorder="1" applyAlignment="1">
      <alignment horizontal="center" vertical="center"/>
    </xf>
    <xf numFmtId="0" fontId="11" fillId="16" borderId="207" xfId="0" applyFont="1" applyFill="1" applyBorder="1" applyAlignment="1">
      <alignment horizontal="center" vertical="center"/>
    </xf>
    <xf numFmtId="0" fontId="11" fillId="16" borderId="202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/>
    </xf>
    <xf numFmtId="0" fontId="14" fillId="4" borderId="53" xfId="0" applyFont="1" applyFill="1" applyBorder="1" applyAlignment="1" applyProtection="1">
      <alignment horizontal="center" vertical="center"/>
      <protection locked="0"/>
    </xf>
    <xf numFmtId="41" fontId="9" fillId="6" borderId="97" xfId="0" applyNumberFormat="1" applyFont="1" applyFill="1" applyBorder="1" applyAlignment="1">
      <alignment horizontal="center" vertical="center"/>
    </xf>
    <xf numFmtId="41" fontId="9" fillId="6" borderId="84" xfId="0" applyNumberFormat="1" applyFont="1" applyFill="1" applyBorder="1" applyAlignment="1">
      <alignment horizontal="center" vertical="center"/>
    </xf>
    <xf numFmtId="0" fontId="26" fillId="6" borderId="38" xfId="0" applyFont="1" applyFill="1" applyBorder="1" applyAlignment="1">
      <alignment horizontal="left" vertical="center" wrapText="1"/>
    </xf>
    <xf numFmtId="0" fontId="26" fillId="6" borderId="0" xfId="0" applyFont="1" applyFill="1" applyAlignment="1">
      <alignment horizontal="left" vertical="center" wrapText="1"/>
    </xf>
    <xf numFmtId="0" fontId="26" fillId="6" borderId="65" xfId="0" applyFont="1" applyFill="1" applyBorder="1" applyAlignment="1">
      <alignment horizontal="left" vertical="center" wrapText="1"/>
    </xf>
    <xf numFmtId="0" fontId="26" fillId="6" borderId="68" xfId="0" applyFont="1" applyFill="1" applyBorder="1" applyAlignment="1">
      <alignment horizontal="left" vertical="center" wrapText="1"/>
    </xf>
    <xf numFmtId="0" fontId="26" fillId="6" borderId="70" xfId="0" applyFont="1" applyFill="1" applyBorder="1" applyAlignment="1">
      <alignment horizontal="left" vertical="center" wrapText="1"/>
    </xf>
    <xf numFmtId="0" fontId="26" fillId="6" borderId="72" xfId="0" applyFont="1" applyFill="1" applyBorder="1" applyAlignment="1">
      <alignment horizontal="left" vertical="center" wrapText="1"/>
    </xf>
    <xf numFmtId="0" fontId="11" fillId="6" borderId="95" xfId="0" applyFont="1" applyFill="1" applyBorder="1" applyAlignment="1">
      <alignment horizontal="center" vertical="center"/>
    </xf>
    <xf numFmtId="0" fontId="11" fillId="6" borderId="96" xfId="0" applyFont="1" applyFill="1" applyBorder="1" applyAlignment="1">
      <alignment horizontal="center" vertical="center"/>
    </xf>
    <xf numFmtId="0" fontId="11" fillId="6" borderId="97" xfId="0" applyFont="1" applyFill="1" applyBorder="1" applyAlignment="1">
      <alignment horizontal="center" vertical="center"/>
    </xf>
    <xf numFmtId="0" fontId="11" fillId="6" borderId="83" xfId="0" applyFont="1" applyFill="1" applyBorder="1" applyAlignment="1">
      <alignment horizontal="center" vertical="center"/>
    </xf>
    <xf numFmtId="0" fontId="11" fillId="6" borderId="75" xfId="0" applyFont="1" applyFill="1" applyBorder="1" applyAlignment="1">
      <alignment horizontal="center" vertical="center"/>
    </xf>
    <xf numFmtId="0" fontId="11" fillId="6" borderId="84" xfId="0" applyFont="1" applyFill="1" applyBorder="1" applyAlignment="1">
      <alignment horizontal="center" vertical="center"/>
    </xf>
    <xf numFmtId="0" fontId="107" fillId="0" borderId="78" xfId="0" applyFont="1" applyBorder="1" applyAlignment="1">
      <alignment horizontal="left" vertical="top"/>
    </xf>
    <xf numFmtId="0" fontId="11" fillId="0" borderId="36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0" fontId="11" fillId="0" borderId="102" xfId="0" applyFont="1" applyBorder="1" applyAlignment="1">
      <alignment horizontal="center" vertical="center"/>
    </xf>
    <xf numFmtId="0" fontId="88" fillId="0" borderId="37" xfId="0" applyFont="1" applyBorder="1" applyAlignment="1">
      <alignment horizontal="left" vertical="center" wrapText="1"/>
    </xf>
    <xf numFmtId="0" fontId="88" fillId="0" borderId="0" xfId="0" applyFont="1" applyAlignment="1">
      <alignment horizontal="left" vertical="center" wrapText="1"/>
    </xf>
    <xf numFmtId="0" fontId="107" fillId="7" borderId="0" xfId="0" applyFont="1" applyFill="1" applyAlignment="1">
      <alignment horizontal="left" vertical="center" wrapText="1"/>
    </xf>
    <xf numFmtId="0" fontId="88" fillId="7" borderId="0" xfId="0" applyFont="1" applyFill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14" fillId="0" borderId="105" xfId="0" applyFont="1" applyBorder="1" applyAlignment="1">
      <alignment horizontal="center" vertical="center" wrapText="1"/>
    </xf>
    <xf numFmtId="0" fontId="11" fillId="0" borderId="136" xfId="0" applyFont="1" applyBorder="1" applyAlignment="1">
      <alignment horizontal="center" vertical="center" shrinkToFit="1"/>
    </xf>
    <xf numFmtId="0" fontId="11" fillId="0" borderId="142" xfId="0" applyFont="1" applyBorder="1" applyAlignment="1">
      <alignment horizontal="center" vertical="center" shrinkToFit="1"/>
    </xf>
    <xf numFmtId="0" fontId="11" fillId="0" borderId="143" xfId="0" applyFont="1" applyBorder="1" applyAlignment="1">
      <alignment horizontal="center" vertical="center" shrinkToFit="1"/>
    </xf>
    <xf numFmtId="187" fontId="11" fillId="0" borderId="142" xfId="0" applyNumberFormat="1" applyFont="1" applyBorder="1" applyAlignment="1">
      <alignment horizontal="center" vertical="center"/>
    </xf>
    <xf numFmtId="0" fontId="11" fillId="0" borderId="115" xfId="0" applyFont="1" applyBorder="1" applyAlignment="1">
      <alignment horizontal="center" vertical="center"/>
    </xf>
    <xf numFmtId="0" fontId="11" fillId="0" borderId="134" xfId="0" applyFont="1" applyBorder="1" applyAlignment="1">
      <alignment horizontal="center" vertical="center"/>
    </xf>
    <xf numFmtId="0" fontId="11" fillId="0" borderId="115" xfId="0" applyFont="1" applyBorder="1" applyAlignment="1">
      <alignment horizontal="center" vertical="center" shrinkToFit="1"/>
    </xf>
    <xf numFmtId="187" fontId="11" fillId="0" borderId="142" xfId="0" applyNumberFormat="1" applyFont="1" applyBorder="1" applyAlignment="1">
      <alignment horizontal="right" vertical="center"/>
    </xf>
    <xf numFmtId="0" fontId="11" fillId="0" borderId="157" xfId="0" applyFont="1" applyBorder="1" applyAlignment="1">
      <alignment horizontal="center" vertical="center" shrinkToFit="1"/>
    </xf>
    <xf numFmtId="0" fontId="88" fillId="7" borderId="31" xfId="0" applyFont="1" applyFill="1" applyBorder="1" applyAlignment="1">
      <alignment horizontal="center" vertical="center"/>
    </xf>
    <xf numFmtId="41" fontId="8" fillId="2" borderId="141" xfId="0" applyNumberFormat="1" applyFont="1" applyFill="1" applyBorder="1" applyAlignment="1">
      <alignment horizontal="center" vertical="center"/>
    </xf>
    <xf numFmtId="41" fontId="8" fillId="2" borderId="144" xfId="0" applyNumberFormat="1" applyFont="1" applyFill="1" applyBorder="1" applyAlignment="1">
      <alignment horizontal="center" vertical="center"/>
    </xf>
    <xf numFmtId="0" fontId="3" fillId="0" borderId="145" xfId="0" applyFont="1" applyBorder="1" applyAlignment="1">
      <alignment horizontal="center" vertical="center"/>
    </xf>
    <xf numFmtId="0" fontId="3" fillId="0" borderId="146" xfId="0" applyFont="1" applyBorder="1" applyAlignment="1">
      <alignment horizontal="center" vertical="center"/>
    </xf>
    <xf numFmtId="0" fontId="11" fillId="0" borderId="139" xfId="0" applyFont="1" applyBorder="1" applyAlignment="1">
      <alignment horizontal="center" vertical="center"/>
    </xf>
    <xf numFmtId="0" fontId="11" fillId="0" borderId="140" xfId="0" applyFont="1" applyBorder="1" applyAlignment="1">
      <alignment horizontal="center" vertical="center"/>
    </xf>
    <xf numFmtId="0" fontId="11" fillId="0" borderId="157" xfId="0" applyFont="1" applyBorder="1" applyAlignment="1">
      <alignment horizontal="center" vertical="center"/>
    </xf>
    <xf numFmtId="0" fontId="11" fillId="0" borderId="147" xfId="0" applyFont="1" applyBorder="1" applyAlignment="1">
      <alignment horizontal="center" vertical="center"/>
    </xf>
    <xf numFmtId="187" fontId="11" fillId="0" borderId="139" xfId="0" applyNumberFormat="1" applyFont="1" applyBorder="1" applyAlignment="1">
      <alignment horizontal="right" vertical="center"/>
    </xf>
    <xf numFmtId="187" fontId="11" fillId="0" borderId="145" xfId="0" applyNumberFormat="1" applyFont="1" applyBorder="1" applyAlignment="1">
      <alignment horizontal="right" vertical="center"/>
    </xf>
    <xf numFmtId="187" fontId="11" fillId="0" borderId="31" xfId="0" applyNumberFormat="1" applyFont="1" applyBorder="1" applyAlignment="1">
      <alignment horizontal="right" vertical="center" indent="2"/>
    </xf>
    <xf numFmtId="0" fontId="37" fillId="8" borderId="29" xfId="0" applyFont="1" applyFill="1" applyBorder="1" applyAlignment="1">
      <alignment horizontal="center" vertical="center" textRotation="255"/>
    </xf>
    <xf numFmtId="0" fontId="37" fillId="8" borderId="116" xfId="0" applyFont="1" applyFill="1" applyBorder="1" applyAlignment="1">
      <alignment horizontal="center" vertical="center" textRotation="255"/>
    </xf>
    <xf numFmtId="0" fontId="37" fillId="8" borderId="51" xfId="0" applyFont="1" applyFill="1" applyBorder="1" applyAlignment="1">
      <alignment horizontal="center" vertical="center" textRotation="255"/>
    </xf>
    <xf numFmtId="0" fontId="37" fillId="8" borderId="225" xfId="0" applyFont="1" applyFill="1" applyBorder="1" applyAlignment="1">
      <alignment horizontal="center" vertical="center"/>
    </xf>
    <xf numFmtId="0" fontId="37" fillId="8" borderId="195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187" fontId="11" fillId="0" borderId="136" xfId="0" applyNumberFormat="1" applyFont="1" applyBorder="1" applyAlignment="1">
      <alignment horizontal="center" vertical="center"/>
    </xf>
    <xf numFmtId="187" fontId="11" fillId="0" borderId="137" xfId="0" applyNumberFormat="1" applyFont="1" applyBorder="1" applyAlignment="1">
      <alignment horizontal="center" vertical="center"/>
    </xf>
    <xf numFmtId="0" fontId="11" fillId="0" borderId="115" xfId="0" applyFont="1" applyBorder="1" applyAlignment="1">
      <alignment horizontal="center" vertical="center" wrapText="1" shrinkToFit="1"/>
    </xf>
    <xf numFmtId="0" fontId="0" fillId="0" borderId="115" xfId="0" applyBorder="1" applyAlignment="1">
      <alignment horizontal="center" vertical="center"/>
    </xf>
    <xf numFmtId="0" fontId="0" fillId="0" borderId="134" xfId="0" applyBorder="1" applyAlignment="1">
      <alignment horizontal="center" vertical="center"/>
    </xf>
    <xf numFmtId="180" fontId="11" fillId="0" borderId="115" xfId="0" applyNumberFormat="1" applyFont="1" applyBorder="1" applyAlignment="1">
      <alignment horizontal="center" vertical="center"/>
    </xf>
    <xf numFmtId="180" fontId="11" fillId="0" borderId="134" xfId="0" applyNumberFormat="1" applyFont="1" applyBorder="1" applyAlignment="1">
      <alignment horizontal="center" vertical="center"/>
    </xf>
    <xf numFmtId="0" fontId="34" fillId="4" borderId="30" xfId="0" applyFont="1" applyFill="1" applyBorder="1" applyAlignment="1" applyProtection="1">
      <alignment horizontal="center" vertical="center"/>
      <protection locked="0"/>
    </xf>
    <xf numFmtId="0" fontId="34" fillId="4" borderId="31" xfId="0" applyFont="1" applyFill="1" applyBorder="1" applyAlignment="1" applyProtection="1">
      <alignment horizontal="center" vertical="center"/>
      <protection locked="0"/>
    </xf>
    <xf numFmtId="0" fontId="34" fillId="4" borderId="32" xfId="0" applyFont="1" applyFill="1" applyBorder="1" applyAlignment="1" applyProtection="1">
      <alignment horizontal="center" vertical="center"/>
      <protection locked="0"/>
    </xf>
    <xf numFmtId="14" fontId="34" fillId="0" borderId="0" xfId="0" applyNumberFormat="1" applyFont="1" applyAlignment="1">
      <alignment horizontal="right" vertical="center"/>
    </xf>
    <xf numFmtId="0" fontId="41" fillId="6" borderId="30" xfId="0" applyFont="1" applyFill="1" applyBorder="1" applyAlignment="1">
      <alignment horizontal="center" vertical="center"/>
    </xf>
    <xf numFmtId="0" fontId="41" fillId="6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41" fontId="0" fillId="2" borderId="214" xfId="0" applyNumberFormat="1" applyFill="1" applyBorder="1" applyAlignment="1">
      <alignment horizontal="center" vertical="center"/>
    </xf>
    <xf numFmtId="41" fontId="0" fillId="2" borderId="133" xfId="0" applyNumberFormat="1" applyFill="1" applyBorder="1" applyAlignment="1">
      <alignment horizontal="center" vertical="center"/>
    </xf>
    <xf numFmtId="0" fontId="72" fillId="4" borderId="50" xfId="0" applyFont="1" applyFill="1" applyBorder="1" applyAlignment="1" applyProtection="1">
      <alignment horizontal="center" vertical="center"/>
      <protection locked="0"/>
    </xf>
    <xf numFmtId="0" fontId="72" fillId="4" borderId="78" xfId="0" applyFont="1" applyFill="1" applyBorder="1" applyAlignment="1" applyProtection="1">
      <alignment horizontal="center" vertical="center"/>
      <protection locked="0"/>
    </xf>
    <xf numFmtId="0" fontId="72" fillId="4" borderId="64" xfId="0" applyFont="1" applyFill="1" applyBorder="1" applyAlignment="1" applyProtection="1">
      <alignment horizontal="center" vertical="center"/>
      <protection locked="0"/>
    </xf>
    <xf numFmtId="0" fontId="11" fillId="0" borderId="115" xfId="0" applyFont="1" applyBorder="1" applyAlignment="1">
      <alignment horizontal="left" vertical="center" shrinkToFit="1"/>
    </xf>
    <xf numFmtId="0" fontId="11" fillId="0" borderId="134" xfId="0" applyFont="1" applyBorder="1" applyAlignment="1">
      <alignment horizontal="left" vertical="center" shrinkToFit="1"/>
    </xf>
    <xf numFmtId="0" fontId="11" fillId="7" borderId="136" xfId="0" applyFont="1" applyFill="1" applyBorder="1" applyAlignment="1">
      <alignment horizontal="center" vertical="center" shrinkToFit="1"/>
    </xf>
    <xf numFmtId="0" fontId="11" fillId="7" borderId="137" xfId="0" applyFont="1" applyFill="1" applyBorder="1" applyAlignment="1">
      <alignment horizontal="center" vertical="center" shrinkToFit="1"/>
    </xf>
    <xf numFmtId="41" fontId="8" fillId="2" borderId="133" xfId="0" applyNumberFormat="1" applyFont="1" applyFill="1" applyBorder="1" applyAlignment="1">
      <alignment horizontal="center" vertical="center"/>
    </xf>
    <xf numFmtId="41" fontId="8" fillId="2" borderId="115" xfId="0" applyNumberFormat="1" applyFont="1" applyFill="1" applyBorder="1" applyAlignment="1">
      <alignment horizontal="center" vertical="center"/>
    </xf>
    <xf numFmtId="0" fontId="4" fillId="2" borderId="133" xfId="0" applyFont="1" applyFill="1" applyBorder="1" applyAlignment="1">
      <alignment horizontal="center" vertical="center"/>
    </xf>
    <xf numFmtId="0" fontId="4" fillId="2" borderId="115" xfId="0" applyFont="1" applyFill="1" applyBorder="1" applyAlignment="1">
      <alignment horizontal="center" vertical="center"/>
    </xf>
    <xf numFmtId="187" fontId="11" fillId="0" borderId="115" xfId="0" applyNumberFormat="1" applyFont="1" applyBorder="1" applyAlignment="1">
      <alignment horizontal="center" vertical="center"/>
    </xf>
    <xf numFmtId="187" fontId="11" fillId="0" borderId="134" xfId="0" applyNumberFormat="1" applyFont="1" applyBorder="1" applyAlignment="1">
      <alignment horizontal="center" vertical="center"/>
    </xf>
    <xf numFmtId="41" fontId="11" fillId="7" borderId="115" xfId="0" applyNumberFormat="1" applyFont="1" applyFill="1" applyBorder="1" applyAlignment="1">
      <alignment horizontal="center" vertical="center" shrinkToFit="1"/>
    </xf>
    <xf numFmtId="41" fontId="11" fillId="7" borderId="134" xfId="0" applyNumberFormat="1" applyFont="1" applyFill="1" applyBorder="1" applyAlignment="1">
      <alignment horizontal="center" vertical="center" shrinkToFit="1"/>
    </xf>
    <xf numFmtId="41" fontId="11" fillId="0" borderId="115" xfId="0" applyNumberFormat="1" applyFont="1" applyBorder="1" applyAlignment="1">
      <alignment horizontal="center" vertical="center"/>
    </xf>
    <xf numFmtId="41" fontId="11" fillId="0" borderId="134" xfId="0" applyNumberFormat="1" applyFont="1" applyBorder="1" applyAlignment="1">
      <alignment horizontal="center" vertical="center"/>
    </xf>
    <xf numFmtId="41" fontId="8" fillId="2" borderId="135" xfId="0" applyNumberFormat="1" applyFont="1" applyFill="1" applyBorder="1" applyAlignment="1">
      <alignment horizontal="center" vertical="center"/>
    </xf>
    <xf numFmtId="41" fontId="8" fillId="2" borderId="136" xfId="0" applyNumberFormat="1" applyFont="1" applyFill="1" applyBorder="1" applyAlignment="1">
      <alignment horizontal="center" vertical="center"/>
    </xf>
    <xf numFmtId="0" fontId="72" fillId="4" borderId="28" xfId="0" applyFont="1" applyFill="1" applyBorder="1" applyAlignment="1" applyProtection="1">
      <alignment horizontal="center" vertical="center" wrapText="1"/>
      <protection locked="0"/>
    </xf>
    <xf numFmtId="0" fontId="37" fillId="8" borderId="212" xfId="0" applyFont="1" applyFill="1" applyBorder="1" applyAlignment="1">
      <alignment horizontal="center" vertical="center" wrapText="1"/>
    </xf>
    <xf numFmtId="0" fontId="37" fillId="8" borderId="213" xfId="0" applyFont="1" applyFill="1" applyBorder="1" applyAlignment="1">
      <alignment horizontal="center" vertical="center"/>
    </xf>
    <xf numFmtId="0" fontId="72" fillId="4" borderId="50" xfId="0" applyFont="1" applyFill="1" applyBorder="1" applyAlignment="1">
      <alignment horizontal="center" vertical="center" wrapText="1"/>
    </xf>
    <xf numFmtId="0" fontId="72" fillId="4" borderId="78" xfId="0" applyFont="1" applyFill="1" applyBorder="1" applyAlignment="1">
      <alignment horizontal="center" vertical="center" wrapText="1"/>
    </xf>
    <xf numFmtId="0" fontId="72" fillId="4" borderId="64" xfId="0" applyFont="1" applyFill="1" applyBorder="1" applyAlignment="1">
      <alignment horizontal="center" vertical="center" wrapText="1"/>
    </xf>
    <xf numFmtId="0" fontId="37" fillId="8" borderId="28" xfId="0" applyFont="1" applyFill="1" applyBorder="1" applyAlignment="1">
      <alignment horizontal="center" vertical="center"/>
    </xf>
    <xf numFmtId="0" fontId="70" fillId="19" borderId="218" xfId="0" applyFont="1" applyFill="1" applyBorder="1" applyAlignment="1">
      <alignment horizontal="left" vertical="top" wrapText="1"/>
    </xf>
    <xf numFmtId="0" fontId="70" fillId="19" borderId="160" xfId="0" applyFont="1" applyFill="1" applyBorder="1" applyAlignment="1">
      <alignment horizontal="left" vertical="top"/>
    </xf>
    <xf numFmtId="0" fontId="70" fillId="19" borderId="219" xfId="0" applyFont="1" applyFill="1" applyBorder="1" applyAlignment="1">
      <alignment horizontal="left" vertical="top"/>
    </xf>
    <xf numFmtId="0" fontId="34" fillId="0" borderId="70" xfId="0" applyFont="1" applyBorder="1" applyAlignment="1">
      <alignment horizontal="left" vertical="center"/>
    </xf>
    <xf numFmtId="0" fontId="66" fillId="7" borderId="78" xfId="0" applyFont="1" applyFill="1" applyBorder="1" applyAlignment="1">
      <alignment horizontal="center" vertical="center"/>
    </xf>
    <xf numFmtId="0" fontId="55" fillId="13" borderId="0" xfId="0" applyFont="1" applyFill="1" applyAlignment="1">
      <alignment horizontal="center" vertical="center"/>
    </xf>
    <xf numFmtId="14" fontId="57" fillId="7" borderId="0" xfId="0" applyNumberFormat="1" applyFont="1" applyFill="1" applyAlignment="1">
      <alignment horizontal="center" vertical="center"/>
    </xf>
    <xf numFmtId="0" fontId="64" fillId="7" borderId="28" xfId="5" applyFont="1" applyFill="1" applyBorder="1" applyAlignment="1">
      <alignment horizontal="center" vertical="center"/>
    </xf>
    <xf numFmtId="0" fontId="65" fillId="7" borderId="28" xfId="0" applyFont="1" applyFill="1" applyBorder="1" applyAlignment="1">
      <alignment horizontal="center" vertical="center"/>
    </xf>
    <xf numFmtId="0" fontId="66" fillId="7" borderId="28" xfId="0" applyFont="1" applyFill="1" applyBorder="1" applyAlignment="1" applyProtection="1">
      <alignment horizontal="center" vertical="center"/>
      <protection locked="0"/>
    </xf>
    <xf numFmtId="41" fontId="72" fillId="7" borderId="28" xfId="1" applyFont="1" applyFill="1" applyBorder="1" applyAlignment="1">
      <alignment horizontal="center" vertical="center" wrapText="1"/>
    </xf>
    <xf numFmtId="41" fontId="67" fillId="7" borderId="28" xfId="1" applyFont="1" applyFill="1" applyBorder="1" applyAlignment="1">
      <alignment horizontal="center" vertical="center"/>
    </xf>
    <xf numFmtId="41" fontId="70" fillId="7" borderId="28" xfId="1" applyFont="1" applyFill="1" applyBorder="1" applyAlignment="1">
      <alignment horizontal="center" vertical="center"/>
    </xf>
    <xf numFmtId="0" fontId="34" fillId="7" borderId="28" xfId="0" applyFont="1" applyFill="1" applyBorder="1" applyAlignment="1">
      <alignment horizontal="center" vertical="center"/>
    </xf>
    <xf numFmtId="0" fontId="39" fillId="7" borderId="28" xfId="0" applyFont="1" applyFill="1" applyBorder="1" applyAlignment="1">
      <alignment horizontal="left" vertical="center" wrapText="1"/>
    </xf>
    <xf numFmtId="0" fontId="72" fillId="7" borderId="28" xfId="0" applyFont="1" applyFill="1" applyBorder="1" applyAlignment="1">
      <alignment horizontal="center" vertical="center"/>
    </xf>
    <xf numFmtId="198" fontId="11" fillId="0" borderId="231" xfId="0" applyNumberFormat="1" applyFont="1" applyBorder="1" applyAlignment="1">
      <alignment horizontal="center" vertical="center"/>
    </xf>
    <xf numFmtId="198" fontId="3" fillId="0" borderId="231" xfId="1" applyNumberFormat="1" applyFont="1" applyBorder="1" applyAlignment="1">
      <alignment horizontal="center" vertical="center"/>
    </xf>
    <xf numFmtId="41" fontId="11" fillId="0" borderId="231" xfId="0" applyNumberFormat="1" applyFont="1" applyBorder="1" applyAlignment="1">
      <alignment horizontal="center" vertical="center"/>
    </xf>
    <xf numFmtId="0" fontId="11" fillId="0" borderId="231" xfId="0" applyFont="1" applyBorder="1" applyAlignment="1">
      <alignment horizontal="center" vertical="center"/>
    </xf>
    <xf numFmtId="41" fontId="3" fillId="0" borderId="231" xfId="1" applyFont="1" applyBorder="1" applyAlignment="1">
      <alignment horizontal="center" vertical="center"/>
    </xf>
    <xf numFmtId="41" fontId="3" fillId="0" borderId="231" xfId="1" applyFont="1" applyFill="1" applyBorder="1" applyAlignment="1">
      <alignment horizontal="center" vertical="center"/>
    </xf>
    <xf numFmtId="198" fontId="3" fillId="0" borderId="233" xfId="1" applyNumberFormat="1" applyFont="1" applyBorder="1" applyAlignment="1">
      <alignment horizontal="center" vertical="center"/>
    </xf>
    <xf numFmtId="198" fontId="3" fillId="0" borderId="232" xfId="1" applyNumberFormat="1" applyFont="1" applyBorder="1" applyAlignment="1">
      <alignment horizontal="center" vertical="center"/>
    </xf>
    <xf numFmtId="41" fontId="3" fillId="0" borderId="233" xfId="1" applyFont="1" applyBorder="1" applyAlignment="1">
      <alignment horizontal="center" vertical="center"/>
    </xf>
    <xf numFmtId="41" fontId="3" fillId="0" borderId="232" xfId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1" fontId="3" fillId="0" borderId="233" xfId="1" applyFont="1" applyFill="1" applyBorder="1" applyAlignment="1">
      <alignment horizontal="center" vertical="center"/>
    </xf>
    <xf numFmtId="41" fontId="3" fillId="0" borderId="232" xfId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116" xfId="0" applyFont="1" applyBorder="1" applyAlignment="1">
      <alignment horizontal="center" vertical="center" wrapText="1"/>
    </xf>
    <xf numFmtId="0" fontId="9" fillId="0" borderId="149" xfId="0" applyFont="1" applyBorder="1" applyAlignment="1">
      <alignment horizontal="center" vertical="center" wrapText="1"/>
    </xf>
    <xf numFmtId="0" fontId="3" fillId="0" borderId="199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9" fillId="16" borderId="28" xfId="0" applyFont="1" applyFill="1" applyBorder="1" applyAlignment="1">
      <alignment horizontal="center" vertical="center"/>
    </xf>
    <xf numFmtId="0" fontId="7" fillId="0" borderId="28" xfId="1" applyNumberFormat="1" applyFont="1" applyFill="1" applyBorder="1" applyAlignment="1">
      <alignment horizontal="center" vertical="center"/>
    </xf>
    <xf numFmtId="0" fontId="13" fillId="16" borderId="28" xfId="0" applyFont="1" applyFill="1" applyBorder="1" applyAlignment="1">
      <alignment horizontal="center" vertical="center"/>
    </xf>
    <xf numFmtId="0" fontId="27" fillId="16" borderId="28" xfId="0" applyFont="1" applyFill="1" applyBorder="1" applyAlignment="1">
      <alignment horizontal="center" vertical="center"/>
    </xf>
    <xf numFmtId="194" fontId="9" fillId="0" borderId="0" xfId="9" applyFont="1" applyAlignment="1">
      <alignment horizontal="left" vertical="center"/>
    </xf>
    <xf numFmtId="0" fontId="13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16" xfId="0" applyFont="1" applyBorder="1" applyAlignment="1">
      <alignment horizontal="center" vertical="center"/>
    </xf>
    <xf numFmtId="0" fontId="9" fillId="0" borderId="149" xfId="0" applyFont="1" applyBorder="1" applyAlignment="1">
      <alignment horizontal="center" vertical="center"/>
    </xf>
    <xf numFmtId="0" fontId="9" fillId="5" borderId="198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9" fillId="9" borderId="116" xfId="0" applyFont="1" applyFill="1" applyBorder="1" applyAlignment="1">
      <alignment horizontal="center" vertical="center"/>
    </xf>
    <xf numFmtId="0" fontId="4" fillId="15" borderId="161" xfId="0" applyFont="1" applyFill="1" applyBorder="1" applyAlignment="1">
      <alignment horizontal="center" vertical="center"/>
    </xf>
    <xf numFmtId="0" fontId="4" fillId="15" borderId="162" xfId="0" applyFont="1" applyFill="1" applyBorder="1" applyAlignment="1">
      <alignment horizontal="center" vertical="center"/>
    </xf>
    <xf numFmtId="0" fontId="4" fillId="0" borderId="163" xfId="0" applyFont="1" applyBorder="1" applyAlignment="1">
      <alignment horizontal="center" vertical="center" wrapText="1"/>
    </xf>
    <xf numFmtId="0" fontId="4" fillId="0" borderId="165" xfId="0" applyFont="1" applyBorder="1" applyAlignment="1">
      <alignment horizontal="center" vertical="center" wrapText="1"/>
    </xf>
    <xf numFmtId="0" fontId="4" fillId="0" borderId="166" xfId="0" applyFont="1" applyBorder="1" applyAlignment="1">
      <alignment horizontal="center" vertical="center" wrapText="1"/>
    </xf>
    <xf numFmtId="194" fontId="10" fillId="0" borderId="0" xfId="7" applyFont="1" applyAlignment="1">
      <alignment horizontal="left" vertical="center"/>
    </xf>
    <xf numFmtId="0" fontId="74" fillId="15" borderId="28" xfId="0" applyFont="1" applyFill="1" applyBorder="1" applyAlignment="1">
      <alignment horizontal="center" vertical="center"/>
    </xf>
    <xf numFmtId="49" fontId="13" fillId="0" borderId="50" xfId="0" applyNumberFormat="1" applyFont="1" applyBorder="1" applyAlignment="1">
      <alignment horizontal="center" vertical="center" wrapText="1"/>
    </xf>
    <xf numFmtId="49" fontId="13" fillId="0" borderId="37" xfId="0" applyNumberFormat="1" applyFont="1" applyBorder="1" applyAlignment="1">
      <alignment horizontal="center" vertical="center" wrapText="1"/>
    </xf>
    <xf numFmtId="49" fontId="13" fillId="0" borderId="116" xfId="0" applyNumberFormat="1" applyFont="1" applyBorder="1" applyAlignment="1">
      <alignment horizontal="center" vertical="center" wrapText="1"/>
    </xf>
    <xf numFmtId="49" fontId="13" fillId="0" borderId="149" xfId="0" applyNumberFormat="1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116" xfId="0" applyFont="1" applyBorder="1" applyAlignment="1">
      <alignment horizontal="center" vertical="center"/>
    </xf>
    <xf numFmtId="0" fontId="25" fillId="0" borderId="116" xfId="0" applyFont="1" applyBorder="1" applyAlignment="1">
      <alignment horizontal="center" vertical="center" wrapText="1"/>
    </xf>
    <xf numFmtId="0" fontId="25" fillId="0" borderId="149" xfId="0" applyFont="1" applyBorder="1" applyAlignment="1">
      <alignment horizontal="center" vertical="center" wrapText="1"/>
    </xf>
    <xf numFmtId="0" fontId="13" fillId="0" borderId="149" xfId="0" applyFont="1" applyBorder="1" applyAlignment="1">
      <alignment horizontal="center" vertical="center"/>
    </xf>
    <xf numFmtId="0" fontId="32" fillId="0" borderId="70" xfId="0" applyFont="1" applyBorder="1" applyAlignment="1">
      <alignment horizontal="right" vertical="center"/>
    </xf>
    <xf numFmtId="49" fontId="13" fillId="0" borderId="28" xfId="0" applyNumberFormat="1" applyFont="1" applyBorder="1" applyAlignment="1">
      <alignment horizontal="center" vertical="center" wrapText="1"/>
    </xf>
  </cellXfs>
  <cellStyles count="16">
    <cellStyle name="백분율" xfId="2" builtinId="5"/>
    <cellStyle name="백분율 25 2 2" xfId="8" xr:uid="{00000000-0005-0000-0000-000001000000}"/>
    <cellStyle name="백분율 4" xfId="11" xr:uid="{00000000-0005-0000-0000-000002000000}"/>
    <cellStyle name="쉼표 [0]" xfId="1" builtinId="6"/>
    <cellStyle name="쉼표 [0] 2" xfId="3" xr:uid="{00000000-0005-0000-0000-000004000000}"/>
    <cellStyle name="쉼표 [0] 2 2 2" xfId="13" xr:uid="{00000000-0005-0000-0000-000005000000}"/>
    <cellStyle name="쉼표 [0] 2 2 2 2" xfId="14" xr:uid="{00000000-0005-0000-0000-000006000000}"/>
    <cellStyle name="쉼표 [0] 2 2 3 2" xfId="15" xr:uid="{00000000-0005-0000-0000-000007000000}"/>
    <cellStyle name="표준" xfId="0" builtinId="0"/>
    <cellStyle name="표준 183 3 2 2" xfId="9" xr:uid="{00000000-0005-0000-0000-000009000000}"/>
    <cellStyle name="표준 185 2 2" xfId="7" xr:uid="{00000000-0005-0000-0000-00000A000000}"/>
    <cellStyle name="표준 2" xfId="4" xr:uid="{00000000-0005-0000-0000-00000B000000}"/>
    <cellStyle name="표준 4" xfId="12" xr:uid="{00000000-0005-0000-0000-00000C000000}"/>
    <cellStyle name="표준 8" xfId="6" xr:uid="{00000000-0005-0000-0000-00000D000000}"/>
    <cellStyle name="표준_Sheet1" xfId="10" xr:uid="{00000000-0005-0000-0000-00000E000000}"/>
    <cellStyle name="하이퍼링크" xfId="5" builtinId="8"/>
  </cellStyles>
  <dxfs count="52"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7" tint="0.79998168889431442"/>
        </patternFill>
      </fill>
    </dxf>
    <dxf>
      <font>
        <b/>
        <i val="0"/>
        <color auto="1"/>
      </font>
      <fill>
        <patternFill>
          <bgColor theme="7" tint="0.79998168889431442"/>
        </patternFill>
      </fill>
    </dxf>
    <dxf>
      <font>
        <b/>
        <i val="0"/>
        <color auto="1"/>
      </font>
      <fill>
        <patternFill>
          <bgColor theme="7" tint="0.79998168889431442"/>
        </patternFill>
      </fill>
    </dxf>
    <dxf>
      <font>
        <color theme="1"/>
      </font>
      <fill>
        <patternFill patternType="solid"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1"/>
      </font>
      <fill>
        <patternFill>
          <fgColor theme="1"/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ont>
        <color auto="1"/>
      </font>
      <fill>
        <patternFill>
          <fgColor theme="1"/>
          <bgColor theme="1"/>
        </patternFill>
      </fill>
    </dxf>
    <dxf>
      <font>
        <color theme="0"/>
      </font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theme="5" tint="0.79998168889431442"/>
      </font>
      <fill>
        <patternFill>
          <bgColor theme="5" tint="0.79998168889431442"/>
        </patternFill>
      </fill>
    </dxf>
    <dxf>
      <font>
        <color rgb="FFFF000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color rgb="FFFF000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fmlaLink="$AU$2" noThreeD="1"/>
</file>

<file path=xl/ctrlProps/ctrlProp2.xml><?xml version="1.0" encoding="utf-8"?>
<formControlPr xmlns="http://schemas.microsoft.com/office/spreadsheetml/2009/9/main" objectType="CheckBox" checked="Checked" fmlaLink="$CC$16" lockText="1" noThreeD="1"/>
</file>

<file path=xl/ctrlProps/ctrlProp3.xml><?xml version="1.0" encoding="utf-8"?>
<formControlPr xmlns="http://schemas.microsoft.com/office/spreadsheetml/2009/9/main" objectType="CheckBox" fmlaLink="$CK$16" lockText="1" noThreeD="1"/>
</file>

<file path=xl/ctrlProps/ctrlProp4.xml><?xml version="1.0" encoding="utf-8"?>
<formControlPr xmlns="http://schemas.microsoft.com/office/spreadsheetml/2009/9/main" objectType="CheckBox" fmlaLink="$CS$16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48454</xdr:colOff>
      <xdr:row>1</xdr:row>
      <xdr:rowOff>65432</xdr:rowOff>
    </xdr:from>
    <xdr:to>
      <xdr:col>4</xdr:col>
      <xdr:colOff>99806</xdr:colOff>
      <xdr:row>1</xdr:row>
      <xdr:rowOff>377543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854" y="274982"/>
          <a:ext cx="2756452" cy="3121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666750</xdr:colOff>
      <xdr:row>0</xdr:row>
      <xdr:rowOff>0</xdr:rowOff>
    </xdr:from>
    <xdr:to>
      <xdr:col>10</xdr:col>
      <xdr:colOff>676276</xdr:colOff>
      <xdr:row>44</xdr:row>
      <xdr:rowOff>104775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7524750" y="0"/>
          <a:ext cx="9526" cy="9324975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583406</xdr:colOff>
      <xdr:row>0</xdr:row>
      <xdr:rowOff>0</xdr:rowOff>
    </xdr:from>
    <xdr:to>
      <xdr:col>10</xdr:col>
      <xdr:colOff>590552</xdr:colOff>
      <xdr:row>54</xdr:row>
      <xdr:rowOff>333374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7622381" y="0"/>
          <a:ext cx="7146" cy="19488149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92075</xdr:rowOff>
    </xdr:from>
    <xdr:to>
      <xdr:col>9</xdr:col>
      <xdr:colOff>0</xdr:colOff>
      <xdr:row>4</xdr:row>
      <xdr:rowOff>38100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6A8F6E8D-CDBC-43B0-B137-ADC9DB43EDF6}"/>
            </a:ext>
          </a:extLst>
        </xdr:cNvPr>
        <xdr:cNvGrpSpPr/>
      </xdr:nvGrpSpPr>
      <xdr:grpSpPr>
        <a:xfrm>
          <a:off x="7024688" y="365919"/>
          <a:ext cx="0" cy="446087"/>
          <a:chOff x="136770" y="483578"/>
          <a:chExt cx="870241" cy="384909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C155C8AE-CBE9-45DA-850C-2F5EA4769F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5685" y="483578"/>
            <a:ext cx="831326" cy="231362"/>
          </a:xfrm>
          <a:prstGeom prst="rect">
            <a:avLst/>
          </a:prstGeom>
        </xdr:spPr>
      </xdr:pic>
      <xdr:pic>
        <xdr:nvPicPr>
          <xdr:cNvPr id="9" name="그림 8" descr="Image">
            <a:extLst>
              <a:ext uri="{FF2B5EF4-FFF2-40B4-BE49-F238E27FC236}">
                <a16:creationId xmlns:a16="http://schemas.microsoft.com/office/drawing/2014/main" id="{9A4748A1-F577-4E53-8987-83B94C611B5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0921" t="28461" b="6855"/>
          <a:stretch/>
        </xdr:blipFill>
        <xdr:spPr bwMode="auto">
          <a:xfrm>
            <a:off x="141655" y="709157"/>
            <a:ext cx="866000" cy="1055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8</xdr:col>
      <xdr:colOff>1908174</xdr:colOff>
      <xdr:row>2</xdr:row>
      <xdr:rowOff>63500</xdr:rowOff>
    </xdr:from>
    <xdr:to>
      <xdr:col>8</xdr:col>
      <xdr:colOff>2819399</xdr:colOff>
      <xdr:row>3</xdr:row>
      <xdr:rowOff>44450</xdr:rowOff>
    </xdr:to>
    <xdr:sp macro="" textlink="">
      <xdr:nvSpPr>
        <xdr:cNvPr id="10" name="Text Box 38">
          <a:extLst>
            <a:ext uri="{FF2B5EF4-FFF2-40B4-BE49-F238E27FC236}">
              <a16:creationId xmlns:a16="http://schemas.microsoft.com/office/drawing/2014/main" id="{3DC2C6A6-E486-43B5-82B0-C6E91566361E}"/>
            </a:ext>
          </a:extLst>
        </xdr:cNvPr>
        <xdr:cNvSpPr txBox="1">
          <a:spLocks noChangeArrowheads="1"/>
        </xdr:cNvSpPr>
      </xdr:nvSpPr>
      <xdr:spPr bwMode="auto">
        <a:xfrm>
          <a:off x="5718174" y="339725"/>
          <a:ext cx="911225" cy="228600"/>
        </a:xfrm>
        <a:prstGeom prst="rect">
          <a:avLst/>
        </a:prstGeom>
        <a:solidFill>
          <a:schemeClr val="bg1"/>
        </a:solidFill>
        <a:ln w="9525">
          <a:solidFill>
            <a:srgbClr val="FF0000"/>
          </a:solidFill>
          <a:miter lim="800000"/>
          <a:headEnd/>
          <a:tailEnd/>
        </a:ln>
        <a:effectLst/>
      </xdr:spPr>
      <xdr:txBody>
        <a:bodyPr wrap="square" lIns="74570" tIns="0" rIns="74570" bIns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ko-KR" altLang="en-US" sz="900" b="1" i="0" u="none" strike="noStrike" kern="1200" cap="none" spc="0" normalizeH="0" baseline="0">
              <a:ln>
                <a:solidFill>
                  <a:prstClr val="black">
                    <a:lumMod val="50000"/>
                    <a:lumOff val="50000"/>
                    <a:alpha val="0"/>
                  </a:prstClr>
                </a:solidFill>
              </a:ln>
              <a:solidFill>
                <a:srgbClr val="FF0000"/>
              </a:solidFill>
              <a:effectLst/>
              <a:uLnTx/>
              <a:uFillTx/>
              <a:latin typeface="기아 시그니처 OTF Bold" panose="00000700000000000000" pitchFamily="50" charset="-127"/>
              <a:ea typeface="기아 시그니처 OTF Bold" panose="00000700000000000000" pitchFamily="50" charset="-127"/>
              <a:cs typeface="+mn-cs"/>
            </a:rPr>
            <a:t>사내한</a:t>
          </a:r>
          <a:endParaRPr kumimoji="1" lang="en-US" altLang="ko-KR" sz="900" b="1" i="0" u="none" strike="noStrike" kern="1200" cap="none" spc="0" normalizeH="0" baseline="0">
            <a:ln>
              <a:solidFill>
                <a:prstClr val="black">
                  <a:lumMod val="50000"/>
                  <a:lumOff val="50000"/>
                  <a:alpha val="0"/>
                </a:prstClr>
              </a:solidFill>
            </a:ln>
            <a:solidFill>
              <a:srgbClr val="FF0000"/>
            </a:solidFill>
            <a:effectLst/>
            <a:uLnTx/>
            <a:uFillTx/>
            <a:latin typeface="기아 시그니처 OTF Bold" panose="00000700000000000000" pitchFamily="50" charset="-127"/>
            <a:ea typeface="기아 시그니처 OTF Bold" panose="00000700000000000000" pitchFamily="50" charset="-127"/>
            <a:cs typeface="+mn-cs"/>
          </a:endParaRPr>
        </a:p>
        <a:p>
          <a:pPr marL="0" marR="0" lvl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ko-KR" sz="900" b="1" i="0" u="none" strike="noStrike" kern="1200" cap="none" spc="0" normalizeH="0" baseline="0">
              <a:ln>
                <a:solidFill>
                  <a:prstClr val="black">
                    <a:lumMod val="50000"/>
                    <a:lumOff val="50000"/>
                    <a:alpha val="0"/>
                  </a:prstClr>
                </a:solidFill>
              </a:ln>
              <a:solidFill>
                <a:srgbClr val="FF0000"/>
              </a:solidFill>
              <a:effectLst/>
              <a:uLnTx/>
              <a:uFillTx/>
              <a:latin typeface="기아 시그니처 OTF Bold" panose="00000700000000000000" pitchFamily="50" charset="-127"/>
              <a:ea typeface="기아 시그니처 OTF Bold" panose="00000700000000000000" pitchFamily="50" charset="-127"/>
              <a:cs typeface="+mn-cs"/>
            </a:rPr>
            <a:t>RESTRICTED</a:t>
          </a:r>
        </a:p>
      </xdr:txBody>
    </xdr:sp>
    <xdr:clientData/>
  </xdr:twoCellAnchor>
  <xdr:twoCellAnchor>
    <xdr:from>
      <xdr:col>8</xdr:col>
      <xdr:colOff>323849</xdr:colOff>
      <xdr:row>9</xdr:row>
      <xdr:rowOff>163830</xdr:rowOff>
    </xdr:from>
    <xdr:to>
      <xdr:col>8</xdr:col>
      <xdr:colOff>3318509</xdr:colOff>
      <xdr:row>13</xdr:row>
      <xdr:rowOff>125730</xdr:rowOff>
    </xdr:to>
    <xdr:sp macro="" textlink="">
      <xdr:nvSpPr>
        <xdr:cNvPr id="11" name="사각형: 둥근 모서리 4">
          <a:extLst>
            <a:ext uri="{FF2B5EF4-FFF2-40B4-BE49-F238E27FC236}">
              <a16:creationId xmlns:a16="http://schemas.microsoft.com/office/drawing/2014/main" id="{32CA93B8-1E3B-47D9-84BF-06D4C5A1F911}"/>
            </a:ext>
          </a:extLst>
        </xdr:cNvPr>
        <xdr:cNvSpPr/>
      </xdr:nvSpPr>
      <xdr:spPr>
        <a:xfrm>
          <a:off x="4133849" y="2173605"/>
          <a:ext cx="2880360" cy="14859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l"/>
          <a:r>
            <a:rPr lang="en-US" altLang="ko-KR" sz="1000">
              <a:solidFill>
                <a:sysClr val="windowText" lastClr="000000"/>
              </a:solidFill>
              <a:latin typeface="기아 Medium" panose="020B0600000101010101" pitchFamily="50" charset="-127"/>
              <a:ea typeface="기아 Medium" panose="020B0600000101010101" pitchFamily="50" charset="-127"/>
            </a:rPr>
            <a:t>[ </a:t>
          </a:r>
          <a:r>
            <a:rPr lang="ko-KR" altLang="en-US" sz="1000">
              <a:solidFill>
                <a:sysClr val="windowText" lastClr="000000"/>
              </a:solidFill>
              <a:latin typeface="기아 Medium" panose="020B0600000101010101" pitchFamily="50" charset="-127"/>
              <a:ea typeface="기아 Medium" panose="020B0600000101010101" pitchFamily="50" charset="-127"/>
            </a:rPr>
            <a:t>전기차 공통 </a:t>
          </a:r>
          <a:r>
            <a:rPr lang="en-US" altLang="ko-KR" sz="1000">
              <a:solidFill>
                <a:sysClr val="windowText" lastClr="000000"/>
              </a:solidFill>
              <a:latin typeface="기아 Medium" panose="020B0600000101010101" pitchFamily="50" charset="-127"/>
              <a:ea typeface="기아 Medium" panose="020B0600000101010101" pitchFamily="50" charset="-127"/>
            </a:rPr>
            <a:t>]</a:t>
          </a:r>
        </a:p>
        <a:p>
          <a:pPr algn="l"/>
          <a:r>
            <a:rPr lang="en-US" altLang="ko-KR" sz="900">
              <a:solidFill>
                <a:sysClr val="windowText" lastClr="000000"/>
              </a:solidFill>
              <a:latin typeface="기아 Medium" panose="020B0600000101010101" pitchFamily="50" charset="-127"/>
              <a:ea typeface="기아 Medium" panose="020B0600000101010101" pitchFamily="50" charset="-127"/>
            </a:rPr>
            <a:t>- </a:t>
          </a:r>
          <a:r>
            <a:rPr lang="ko-KR" altLang="en-US" sz="900">
              <a:solidFill>
                <a:sysClr val="windowText" lastClr="000000"/>
              </a:solidFill>
              <a:latin typeface="기아 Medium" panose="020B0600000101010101" pitchFamily="50" charset="-127"/>
              <a:ea typeface="기아 Medium" panose="020B0600000101010101" pitchFamily="50" charset="-127"/>
            </a:rPr>
            <a:t>출고여부 점검 후 </a:t>
          </a:r>
          <a:r>
            <a:rPr lang="ko-KR" altLang="en-US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생산반영</a:t>
          </a:r>
          <a:endParaRPr lang="en-US" altLang="ko-KR" sz="900">
            <a:solidFill>
              <a:sysClr val="windowText" lastClr="000000"/>
            </a:solidFill>
            <a:effectLst/>
            <a:latin typeface="기아 Medium" panose="020B0600000101010101" pitchFamily="50" charset="-127"/>
            <a:ea typeface="기아 Medium" panose="020B0600000101010101" pitchFamily="50" charset="-127"/>
            <a:cs typeface="+mn-cs"/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- '25</a:t>
          </a:r>
          <a:r>
            <a:rPr lang="ko-KR" altLang="en-US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년 전기차 보조금 관련 </a:t>
          </a:r>
          <a:endParaRPr lang="en-US" altLang="ko-KR" sz="900">
            <a:solidFill>
              <a:sysClr val="windowText" lastClr="000000"/>
            </a:solidFill>
            <a:effectLst/>
            <a:latin typeface="기아 Medium" panose="020B0600000101010101" pitchFamily="50" charset="-127"/>
            <a:ea typeface="기아 Medium" panose="020B0600000101010101" pitchFamily="50" charset="-127"/>
            <a:cs typeface="+mn-cs"/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  </a:t>
          </a:r>
          <a:r>
            <a:rPr lang="ko-KR" altLang="en-US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→ 공모개시 이전</a:t>
          </a:r>
          <a:r>
            <a:rPr lang="en-US" altLang="ko-KR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(1</a:t>
          </a:r>
          <a:r>
            <a:rPr lang="ko-KR" altLang="en-US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월</a:t>
          </a:r>
          <a:r>
            <a:rPr lang="en-US" altLang="ko-KR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)</a:t>
          </a:r>
          <a:r>
            <a:rPr lang="ko-KR" altLang="en-US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 미생산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/ 2</a:t>
          </a:r>
          <a:r>
            <a:rPr lang="ko-KR" altLang="en-US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월</a:t>
          </a:r>
          <a:r>
            <a:rPr lang="en-US" altLang="ko-KR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~ </a:t>
          </a:r>
          <a:r>
            <a:rPr lang="ko-KR" altLang="en-US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생산예정</a:t>
          </a:r>
          <a:endParaRPr lang="en-US" altLang="ko-KR" sz="900">
            <a:solidFill>
              <a:sysClr val="windowText" lastClr="000000"/>
            </a:solidFill>
            <a:effectLst/>
            <a:latin typeface="기아 Medium" panose="020B0600000101010101" pitchFamily="50" charset="-127"/>
            <a:ea typeface="기아 Medium" panose="020B0600000101010101" pitchFamily="50" charset="-127"/>
            <a:cs typeface="+mn-cs"/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※ 1</a:t>
          </a:r>
          <a:r>
            <a:rPr lang="ko-KR" altLang="en-US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월 출고가능건</a:t>
          </a:r>
          <a:r>
            <a:rPr lang="ko-KR" altLang="en-US" sz="900" baseline="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 </a:t>
          </a:r>
          <a:r>
            <a:rPr lang="ko-KR" altLang="en-US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긴급생산 가능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(</a:t>
          </a:r>
          <a:r>
            <a:rPr lang="ko-KR" altLang="en-US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별도요청 바람</a:t>
          </a:r>
          <a:r>
            <a:rPr lang="en-US" altLang="ko-KR" sz="900">
              <a:solidFill>
                <a:sysClr val="windowText" lastClr="000000"/>
              </a:solidFill>
              <a:effectLst/>
              <a:latin typeface="기아 Medium" panose="020B0600000101010101" pitchFamily="50" charset="-127"/>
              <a:ea typeface="기아 Medium" panose="020B0600000101010101" pitchFamily="50" charset="-127"/>
              <a:cs typeface="+mn-cs"/>
            </a:rPr>
            <a:t>)</a:t>
          </a:r>
          <a:r>
            <a:rPr lang="ko-KR" altLang="ko-KR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영</a:t>
          </a:r>
          <a:endParaRPr lang="ko-KR" altLang="ko-KR" sz="900">
            <a:effectLst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28</xdr:row>
      <xdr:rowOff>156104</xdr:rowOff>
    </xdr:to>
    <xdr:sp macro="" textlink="">
      <xdr:nvSpPr>
        <xdr:cNvPr id="12" name="TextBox 342"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SpPr txBox="1"/>
      </xdr:nvSpPr>
      <xdr:spPr>
        <a:xfrm>
          <a:off x="15906750" y="7328535"/>
          <a:ext cx="20092" cy="2028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28</xdr:row>
      <xdr:rowOff>156104</xdr:rowOff>
    </xdr:to>
    <xdr:sp macro="" textlink="">
      <xdr:nvSpPr>
        <xdr:cNvPr id="13" name="TextBox 345"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SpPr txBox="1"/>
      </xdr:nvSpPr>
      <xdr:spPr>
        <a:xfrm>
          <a:off x="15906750" y="7328535"/>
          <a:ext cx="20092" cy="2028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24</xdr:row>
      <xdr:rowOff>1522</xdr:rowOff>
    </xdr:to>
    <xdr:sp macro="" textlink="">
      <xdr:nvSpPr>
        <xdr:cNvPr id="14" name="TextBox 346"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SpPr txBox="1"/>
      </xdr:nvSpPr>
      <xdr:spPr>
        <a:xfrm>
          <a:off x="15906750" y="7328535"/>
          <a:ext cx="20092" cy="388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5" name="TextBox 346">
          <a:extLst>
            <a:ext uri="{FF2B5EF4-FFF2-40B4-BE49-F238E27FC236}">
              <a16:creationId xmlns:a16="http://schemas.microsoft.com/office/drawing/2014/main" id="{DF5D550C-FC1D-49E5-B377-1FD407D63B68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twoCellAnchor>
    <xdr:from>
      <xdr:col>17</xdr:col>
      <xdr:colOff>268269</xdr:colOff>
      <xdr:row>15</xdr:row>
      <xdr:rowOff>0</xdr:rowOff>
    </xdr:from>
    <xdr:to>
      <xdr:col>17</xdr:col>
      <xdr:colOff>288035</xdr:colOff>
      <xdr:row>15</xdr:row>
      <xdr:rowOff>9778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20BD856-FD31-432D-AAFA-6862937AEC17}"/>
            </a:ext>
          </a:extLst>
        </xdr:cNvPr>
        <xdr:cNvSpPr txBox="1"/>
      </xdr:nvSpPr>
      <xdr:spPr>
        <a:xfrm>
          <a:off x="13584219" y="4295775"/>
          <a:ext cx="19766" cy="9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1300">
              <a:solidFill>
                <a:srgbClr val="0000FF"/>
              </a:solidFill>
              <a:latin typeface="현대산스 Text OTF" panose="020B0600000101010101" pitchFamily="34" charset="-127"/>
              <a:ea typeface="현대산스 Text OTF" panose="020B0600000101010101" pitchFamily="34" charset="-127"/>
            </a:rPr>
            <a:t> 22MY </a:t>
          </a:r>
          <a:r>
            <a:rPr lang="ko-KR" altLang="en-US" sz="1300" baseline="0">
              <a:solidFill>
                <a:srgbClr val="0000FF"/>
              </a:solidFill>
              <a:latin typeface="현대산스 Text OTF" panose="020B0600000101010101" pitchFamily="34" charset="-127"/>
              <a:ea typeface="현대산스 Text OTF" panose="020B0600000101010101" pitchFamily="34" charset="-127"/>
            </a:rPr>
            <a:t>발급가능 재고 보유</a:t>
          </a:r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386610</xdr:colOff>
      <xdr:row>18</xdr:row>
      <xdr:rowOff>141062</xdr:rowOff>
    </xdr:from>
    <xdr:to>
      <xdr:col>18</xdr:col>
      <xdr:colOff>0</xdr:colOff>
      <xdr:row>18</xdr:row>
      <xdr:rowOff>450234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F4C1172-87EC-417D-9179-0B6C3CA93B1F}"/>
            </a:ext>
          </a:extLst>
        </xdr:cNvPr>
        <xdr:cNvSpPr txBox="1"/>
      </xdr:nvSpPr>
      <xdr:spPr>
        <a:xfrm>
          <a:off x="13702560" y="5579837"/>
          <a:ext cx="1537440" cy="24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394534</xdr:colOff>
      <xdr:row>18</xdr:row>
      <xdr:rowOff>129233</xdr:rowOff>
    </xdr:from>
    <xdr:to>
      <xdr:col>17</xdr:col>
      <xdr:colOff>915009</xdr:colOff>
      <xdr:row>19</xdr:row>
      <xdr:rowOff>86252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0AE5F28-A3EB-4F81-8CDF-5EFEC9A6F008}"/>
            </a:ext>
          </a:extLst>
        </xdr:cNvPr>
        <xdr:cNvSpPr txBox="1"/>
      </xdr:nvSpPr>
      <xdr:spPr>
        <a:xfrm flipH="1">
          <a:off x="13710484" y="5568008"/>
          <a:ext cx="520475" cy="338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19</xdr:row>
      <xdr:rowOff>95230</xdr:rowOff>
    </xdr:from>
    <xdr:to>
      <xdr:col>17</xdr:col>
      <xdr:colOff>818553</xdr:colOff>
      <xdr:row>20</xdr:row>
      <xdr:rowOff>59531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694AC53-73C2-419D-B808-382D63BF6446}"/>
            </a:ext>
          </a:extLst>
        </xdr:cNvPr>
        <xdr:cNvSpPr txBox="1"/>
      </xdr:nvSpPr>
      <xdr:spPr>
        <a:xfrm>
          <a:off x="13690456" y="5915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68DB53C-D259-48DD-B9AB-13B9F4A2CB6A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18</xdr:row>
      <xdr:rowOff>517628</xdr:rowOff>
    </xdr:from>
    <xdr:to>
      <xdr:col>18</xdr:col>
      <xdr:colOff>0</xdr:colOff>
      <xdr:row>18</xdr:row>
      <xdr:rowOff>754492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6480037-C6AF-4502-81AD-29422A17E6CF}"/>
            </a:ext>
          </a:extLst>
        </xdr:cNvPr>
        <xdr:cNvSpPr txBox="1"/>
      </xdr:nvSpPr>
      <xdr:spPr>
        <a:xfrm>
          <a:off x="13315950" y="5823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386610</xdr:colOff>
      <xdr:row>18</xdr:row>
      <xdr:rowOff>141062</xdr:rowOff>
    </xdr:from>
    <xdr:to>
      <xdr:col>18</xdr:col>
      <xdr:colOff>0</xdr:colOff>
      <xdr:row>18</xdr:row>
      <xdr:rowOff>450234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AB2147A-9BDA-46C2-93E5-605153298A3D}"/>
            </a:ext>
          </a:extLst>
        </xdr:cNvPr>
        <xdr:cNvSpPr txBox="1"/>
      </xdr:nvSpPr>
      <xdr:spPr>
        <a:xfrm>
          <a:off x="13702560" y="5579837"/>
          <a:ext cx="1537440" cy="24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394534</xdr:colOff>
      <xdr:row>18</xdr:row>
      <xdr:rowOff>129233</xdr:rowOff>
    </xdr:from>
    <xdr:to>
      <xdr:col>17</xdr:col>
      <xdr:colOff>915009</xdr:colOff>
      <xdr:row>19</xdr:row>
      <xdr:rowOff>86252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9074B94-3193-4130-A517-0455D1722B71}"/>
            </a:ext>
          </a:extLst>
        </xdr:cNvPr>
        <xdr:cNvSpPr txBox="1"/>
      </xdr:nvSpPr>
      <xdr:spPr>
        <a:xfrm flipH="1">
          <a:off x="13710484" y="5568008"/>
          <a:ext cx="520475" cy="338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5E27891-4ECE-4F5D-BBBA-3397555008C5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18</xdr:row>
      <xdr:rowOff>517628</xdr:rowOff>
    </xdr:from>
    <xdr:to>
      <xdr:col>18</xdr:col>
      <xdr:colOff>0</xdr:colOff>
      <xdr:row>18</xdr:row>
      <xdr:rowOff>754492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7F578E7-948F-4685-875B-80C42CD1C922}"/>
            </a:ext>
          </a:extLst>
        </xdr:cNvPr>
        <xdr:cNvSpPr txBox="1"/>
      </xdr:nvSpPr>
      <xdr:spPr>
        <a:xfrm>
          <a:off x="13315950" y="5823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386610</xdr:colOff>
      <xdr:row>18</xdr:row>
      <xdr:rowOff>141062</xdr:rowOff>
    </xdr:from>
    <xdr:to>
      <xdr:col>18</xdr:col>
      <xdr:colOff>0</xdr:colOff>
      <xdr:row>18</xdr:row>
      <xdr:rowOff>450234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D9688D9-624C-4EED-9229-6F0690384382}"/>
            </a:ext>
          </a:extLst>
        </xdr:cNvPr>
        <xdr:cNvSpPr txBox="1"/>
      </xdr:nvSpPr>
      <xdr:spPr>
        <a:xfrm>
          <a:off x="13702560" y="5579837"/>
          <a:ext cx="1537440" cy="24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394534</xdr:colOff>
      <xdr:row>18</xdr:row>
      <xdr:rowOff>129233</xdr:rowOff>
    </xdr:from>
    <xdr:to>
      <xdr:col>17</xdr:col>
      <xdr:colOff>915009</xdr:colOff>
      <xdr:row>19</xdr:row>
      <xdr:rowOff>86252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34FB75D-CF04-4E83-B44C-668DF37C37C3}"/>
            </a:ext>
          </a:extLst>
        </xdr:cNvPr>
        <xdr:cNvSpPr txBox="1"/>
      </xdr:nvSpPr>
      <xdr:spPr>
        <a:xfrm flipH="1">
          <a:off x="13710484" y="5568008"/>
          <a:ext cx="520475" cy="338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19</xdr:row>
      <xdr:rowOff>95230</xdr:rowOff>
    </xdr:from>
    <xdr:to>
      <xdr:col>17</xdr:col>
      <xdr:colOff>818553</xdr:colOff>
      <xdr:row>20</xdr:row>
      <xdr:rowOff>59531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8BFFCE7-52A0-45BA-BF38-FA8203C37F61}"/>
            </a:ext>
          </a:extLst>
        </xdr:cNvPr>
        <xdr:cNvSpPr txBox="1"/>
      </xdr:nvSpPr>
      <xdr:spPr>
        <a:xfrm>
          <a:off x="13690456" y="5915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74160E-C0EC-43CC-AAF4-790325F93539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18</xdr:row>
      <xdr:rowOff>517628</xdr:rowOff>
    </xdr:from>
    <xdr:to>
      <xdr:col>18</xdr:col>
      <xdr:colOff>0</xdr:colOff>
      <xdr:row>18</xdr:row>
      <xdr:rowOff>754492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F2F81E1-1B20-4F1C-8C87-19450BA9A579}"/>
            </a:ext>
          </a:extLst>
        </xdr:cNvPr>
        <xdr:cNvSpPr txBox="1"/>
      </xdr:nvSpPr>
      <xdr:spPr>
        <a:xfrm>
          <a:off x="13315950" y="5823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386610</xdr:colOff>
      <xdr:row>18</xdr:row>
      <xdr:rowOff>141062</xdr:rowOff>
    </xdr:from>
    <xdr:to>
      <xdr:col>18</xdr:col>
      <xdr:colOff>0</xdr:colOff>
      <xdr:row>18</xdr:row>
      <xdr:rowOff>450234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5844C9F-4F0C-489A-97B1-EFBE91ACAEF5}"/>
            </a:ext>
          </a:extLst>
        </xdr:cNvPr>
        <xdr:cNvSpPr txBox="1"/>
      </xdr:nvSpPr>
      <xdr:spPr>
        <a:xfrm>
          <a:off x="13702560" y="5579837"/>
          <a:ext cx="1537440" cy="24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394534</xdr:colOff>
      <xdr:row>18</xdr:row>
      <xdr:rowOff>129233</xdr:rowOff>
    </xdr:from>
    <xdr:to>
      <xdr:col>17</xdr:col>
      <xdr:colOff>915009</xdr:colOff>
      <xdr:row>19</xdr:row>
      <xdr:rowOff>86252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43FC8E6-EF0E-40D2-AE40-95468B12BB8D}"/>
            </a:ext>
          </a:extLst>
        </xdr:cNvPr>
        <xdr:cNvSpPr txBox="1"/>
      </xdr:nvSpPr>
      <xdr:spPr>
        <a:xfrm flipH="1">
          <a:off x="13710484" y="5568008"/>
          <a:ext cx="520475" cy="338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9E831A4-C7CD-48E0-BBB0-A0CA3F72C0D4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18</xdr:row>
      <xdr:rowOff>517628</xdr:rowOff>
    </xdr:from>
    <xdr:to>
      <xdr:col>18</xdr:col>
      <xdr:colOff>0</xdr:colOff>
      <xdr:row>18</xdr:row>
      <xdr:rowOff>754492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B302363-FE97-4B34-A0DF-F2A886A770CE}"/>
            </a:ext>
          </a:extLst>
        </xdr:cNvPr>
        <xdr:cNvSpPr txBox="1"/>
      </xdr:nvSpPr>
      <xdr:spPr>
        <a:xfrm>
          <a:off x="13315950" y="5823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35</xdr:row>
      <xdr:rowOff>0</xdr:rowOff>
    </xdr:from>
    <xdr:to>
      <xdr:col>17</xdr:col>
      <xdr:colOff>818553</xdr:colOff>
      <xdr:row>35</xdr:row>
      <xdr:rowOff>59531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9A26FA0-A517-4082-BE9F-2D89F773F6B9}"/>
            </a:ext>
          </a:extLst>
        </xdr:cNvPr>
        <xdr:cNvSpPr txBox="1"/>
      </xdr:nvSpPr>
      <xdr:spPr>
        <a:xfrm>
          <a:off x="13690456" y="11915775"/>
          <a:ext cx="444047" cy="595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35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F29CB30-C6FA-422C-AAFD-5776B90B3525}"/>
            </a:ext>
          </a:extLst>
        </xdr:cNvPr>
        <xdr:cNvSpPr txBox="1"/>
      </xdr:nvSpPr>
      <xdr:spPr>
        <a:xfrm>
          <a:off x="13315950" y="11915775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35</xdr:row>
      <xdr:rowOff>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E170CC2-A1C9-48BB-B6B6-4F78A7CBD4DB}"/>
            </a:ext>
          </a:extLst>
        </xdr:cNvPr>
        <xdr:cNvSpPr txBox="1"/>
      </xdr:nvSpPr>
      <xdr:spPr>
        <a:xfrm>
          <a:off x="13315950" y="11915775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35</xdr:row>
      <xdr:rowOff>0</xdr:rowOff>
    </xdr:from>
    <xdr:to>
      <xdr:col>17</xdr:col>
      <xdr:colOff>818553</xdr:colOff>
      <xdr:row>35</xdr:row>
      <xdr:rowOff>59531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77AF749-DDC3-4CBE-9DD8-B7BA739BD867}"/>
            </a:ext>
          </a:extLst>
        </xdr:cNvPr>
        <xdr:cNvSpPr txBox="1"/>
      </xdr:nvSpPr>
      <xdr:spPr>
        <a:xfrm>
          <a:off x="13690456" y="11915775"/>
          <a:ext cx="444047" cy="595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100201</xdr:colOff>
      <xdr:row>35</xdr:row>
      <xdr:rowOff>0</xdr:rowOff>
    </xdr:from>
    <xdr:to>
      <xdr:col>19</xdr:col>
      <xdr:colOff>0</xdr:colOff>
      <xdr:row>35</xdr:row>
      <xdr:rowOff>18131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443D584-195C-4226-BE67-95DE158B0D7E}"/>
            </a:ext>
          </a:extLst>
        </xdr:cNvPr>
        <xdr:cNvSpPr txBox="1"/>
      </xdr:nvSpPr>
      <xdr:spPr>
        <a:xfrm flipH="1">
          <a:off x="13416151" y="11915775"/>
          <a:ext cx="2490599" cy="18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35</xdr:row>
      <xdr:rowOff>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859F6A3-9E61-4F44-8C1B-F961C8617A10}"/>
            </a:ext>
          </a:extLst>
        </xdr:cNvPr>
        <xdr:cNvSpPr txBox="1"/>
      </xdr:nvSpPr>
      <xdr:spPr>
        <a:xfrm>
          <a:off x="13315950" y="11915775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35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0E3D4C1-4B2A-4B20-8164-110AF7857813}"/>
            </a:ext>
          </a:extLst>
        </xdr:cNvPr>
        <xdr:cNvSpPr txBox="1"/>
      </xdr:nvSpPr>
      <xdr:spPr>
        <a:xfrm>
          <a:off x="13315950" y="11915775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386610</xdr:colOff>
      <xdr:row>26</xdr:row>
      <xdr:rowOff>141062</xdr:rowOff>
    </xdr:from>
    <xdr:to>
      <xdr:col>18</xdr:col>
      <xdr:colOff>0</xdr:colOff>
      <xdr:row>26</xdr:row>
      <xdr:rowOff>450234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D51D5AD-2722-487B-B51A-8FC1DDC6EC83}"/>
            </a:ext>
          </a:extLst>
        </xdr:cNvPr>
        <xdr:cNvSpPr txBox="1"/>
      </xdr:nvSpPr>
      <xdr:spPr>
        <a:xfrm>
          <a:off x="13702560" y="8627837"/>
          <a:ext cx="1537440" cy="24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394534</xdr:colOff>
      <xdr:row>26</xdr:row>
      <xdr:rowOff>129233</xdr:rowOff>
    </xdr:from>
    <xdr:to>
      <xdr:col>17</xdr:col>
      <xdr:colOff>915009</xdr:colOff>
      <xdr:row>27</xdr:row>
      <xdr:rowOff>86252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9CFEFD1-6ADD-40A6-B0C9-572B703A797C}"/>
            </a:ext>
          </a:extLst>
        </xdr:cNvPr>
        <xdr:cNvSpPr txBox="1"/>
      </xdr:nvSpPr>
      <xdr:spPr>
        <a:xfrm flipH="1">
          <a:off x="13710484" y="8616008"/>
          <a:ext cx="520475" cy="338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27</xdr:row>
      <xdr:rowOff>95230</xdr:rowOff>
    </xdr:from>
    <xdr:to>
      <xdr:col>17</xdr:col>
      <xdr:colOff>818553</xdr:colOff>
      <xdr:row>28</xdr:row>
      <xdr:rowOff>59531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64A4228-FADE-4AB4-98C0-C31132D63A96}"/>
            </a:ext>
          </a:extLst>
        </xdr:cNvPr>
        <xdr:cNvSpPr txBox="1"/>
      </xdr:nvSpPr>
      <xdr:spPr>
        <a:xfrm>
          <a:off x="13690456" y="8963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26</xdr:row>
      <xdr:rowOff>118005</xdr:rowOff>
    </xdr:from>
    <xdr:to>
      <xdr:col>19</xdr:col>
      <xdr:colOff>0</xdr:colOff>
      <xdr:row>27</xdr:row>
      <xdr:rowOff>67404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092CDFF-B3CC-47BA-A3E4-467F5841E2D6}"/>
            </a:ext>
          </a:extLst>
        </xdr:cNvPr>
        <xdr:cNvSpPr txBox="1"/>
      </xdr:nvSpPr>
      <xdr:spPr>
        <a:xfrm flipH="1">
          <a:off x="15906750" y="8604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26</xdr:row>
      <xdr:rowOff>517628</xdr:rowOff>
    </xdr:from>
    <xdr:to>
      <xdr:col>18</xdr:col>
      <xdr:colOff>0</xdr:colOff>
      <xdr:row>26</xdr:row>
      <xdr:rowOff>754492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EF24EBF-8442-468A-B00B-95EA93E568C4}"/>
            </a:ext>
          </a:extLst>
        </xdr:cNvPr>
        <xdr:cNvSpPr txBox="1"/>
      </xdr:nvSpPr>
      <xdr:spPr>
        <a:xfrm>
          <a:off x="13315950" y="8871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386610</xdr:colOff>
      <xdr:row>26</xdr:row>
      <xdr:rowOff>141062</xdr:rowOff>
    </xdr:from>
    <xdr:to>
      <xdr:col>18</xdr:col>
      <xdr:colOff>0</xdr:colOff>
      <xdr:row>26</xdr:row>
      <xdr:rowOff>450234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8442FDD-1651-404B-BD6A-56A57964A894}"/>
            </a:ext>
          </a:extLst>
        </xdr:cNvPr>
        <xdr:cNvSpPr txBox="1"/>
      </xdr:nvSpPr>
      <xdr:spPr>
        <a:xfrm>
          <a:off x="13702560" y="8627837"/>
          <a:ext cx="1537440" cy="24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394534</xdr:colOff>
      <xdr:row>26</xdr:row>
      <xdr:rowOff>129233</xdr:rowOff>
    </xdr:from>
    <xdr:to>
      <xdr:col>17</xdr:col>
      <xdr:colOff>915009</xdr:colOff>
      <xdr:row>27</xdr:row>
      <xdr:rowOff>86252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EF035D8-1EFF-49DA-BEB5-466FF91750B6}"/>
            </a:ext>
          </a:extLst>
        </xdr:cNvPr>
        <xdr:cNvSpPr txBox="1"/>
      </xdr:nvSpPr>
      <xdr:spPr>
        <a:xfrm flipH="1">
          <a:off x="13710484" y="8616008"/>
          <a:ext cx="520475" cy="338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26</xdr:row>
      <xdr:rowOff>118005</xdr:rowOff>
    </xdr:from>
    <xdr:to>
      <xdr:col>19</xdr:col>
      <xdr:colOff>0</xdr:colOff>
      <xdr:row>27</xdr:row>
      <xdr:rowOff>67404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CA6E14D-F826-453A-8004-E48DD50D2CA7}"/>
            </a:ext>
          </a:extLst>
        </xdr:cNvPr>
        <xdr:cNvSpPr txBox="1"/>
      </xdr:nvSpPr>
      <xdr:spPr>
        <a:xfrm flipH="1">
          <a:off x="15906750" y="8604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26</xdr:row>
      <xdr:rowOff>517628</xdr:rowOff>
    </xdr:from>
    <xdr:to>
      <xdr:col>18</xdr:col>
      <xdr:colOff>0</xdr:colOff>
      <xdr:row>26</xdr:row>
      <xdr:rowOff>754492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EA510A3-004C-4293-AAA7-4FE174DF8632}"/>
            </a:ext>
          </a:extLst>
        </xdr:cNvPr>
        <xdr:cNvSpPr txBox="1"/>
      </xdr:nvSpPr>
      <xdr:spPr>
        <a:xfrm>
          <a:off x="13315950" y="8871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26</xdr:row>
      <xdr:rowOff>118005</xdr:rowOff>
    </xdr:from>
    <xdr:to>
      <xdr:col>19</xdr:col>
      <xdr:colOff>0</xdr:colOff>
      <xdr:row>27</xdr:row>
      <xdr:rowOff>67404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A5F9FBA-2416-43BB-94D7-6831ADE16647}"/>
            </a:ext>
          </a:extLst>
        </xdr:cNvPr>
        <xdr:cNvSpPr txBox="1"/>
      </xdr:nvSpPr>
      <xdr:spPr>
        <a:xfrm flipH="1">
          <a:off x="15906750" y="8604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26</xdr:row>
      <xdr:rowOff>517628</xdr:rowOff>
    </xdr:from>
    <xdr:to>
      <xdr:col>18</xdr:col>
      <xdr:colOff>0</xdr:colOff>
      <xdr:row>26</xdr:row>
      <xdr:rowOff>754492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256C711-E7C4-4EA0-B5DA-ED83FAB2BB46}"/>
            </a:ext>
          </a:extLst>
        </xdr:cNvPr>
        <xdr:cNvSpPr txBox="1"/>
      </xdr:nvSpPr>
      <xdr:spPr>
        <a:xfrm>
          <a:off x="13315950" y="8871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26</xdr:row>
      <xdr:rowOff>118005</xdr:rowOff>
    </xdr:from>
    <xdr:to>
      <xdr:col>19</xdr:col>
      <xdr:colOff>0</xdr:colOff>
      <xdr:row>27</xdr:row>
      <xdr:rowOff>67404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6553A6E-8491-4917-BAA8-48B5742D32BE}"/>
            </a:ext>
          </a:extLst>
        </xdr:cNvPr>
        <xdr:cNvSpPr txBox="1"/>
      </xdr:nvSpPr>
      <xdr:spPr>
        <a:xfrm flipH="1">
          <a:off x="15906750" y="8604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26</xdr:row>
      <xdr:rowOff>517628</xdr:rowOff>
    </xdr:from>
    <xdr:to>
      <xdr:col>18</xdr:col>
      <xdr:colOff>0</xdr:colOff>
      <xdr:row>26</xdr:row>
      <xdr:rowOff>754492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0E46D64-84F6-4B16-8D81-66B1E2BB2CC1}"/>
            </a:ext>
          </a:extLst>
        </xdr:cNvPr>
        <xdr:cNvSpPr txBox="1"/>
      </xdr:nvSpPr>
      <xdr:spPr>
        <a:xfrm>
          <a:off x="13315950" y="8871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268269</xdr:colOff>
      <xdr:row>15</xdr:row>
      <xdr:rowOff>0</xdr:rowOff>
    </xdr:from>
    <xdr:to>
      <xdr:col>17</xdr:col>
      <xdr:colOff>288035</xdr:colOff>
      <xdr:row>15</xdr:row>
      <xdr:rowOff>9778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AB15135-C3F0-438E-BE3F-57E09D5E310A}"/>
            </a:ext>
          </a:extLst>
        </xdr:cNvPr>
        <xdr:cNvSpPr txBox="1"/>
      </xdr:nvSpPr>
      <xdr:spPr>
        <a:xfrm>
          <a:off x="13584219" y="4295775"/>
          <a:ext cx="19766" cy="9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1300">
              <a:solidFill>
                <a:srgbClr val="0000FF"/>
              </a:solidFill>
              <a:latin typeface="현대산스 Text OTF" panose="020B0600000101010101" pitchFamily="34" charset="-127"/>
              <a:ea typeface="현대산스 Text OTF" panose="020B0600000101010101" pitchFamily="34" charset="-127"/>
            </a:rPr>
            <a:t> 22MY </a:t>
          </a:r>
          <a:r>
            <a:rPr lang="ko-KR" altLang="en-US" sz="1300" baseline="0">
              <a:solidFill>
                <a:srgbClr val="0000FF"/>
              </a:solidFill>
              <a:latin typeface="현대산스 Text OTF" panose="020B0600000101010101" pitchFamily="34" charset="-127"/>
              <a:ea typeface="현대산스 Text OTF" panose="020B0600000101010101" pitchFamily="34" charset="-127"/>
            </a:rPr>
            <a:t>발급가능 재고 보유</a:t>
          </a:r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386610</xdr:colOff>
      <xdr:row>18</xdr:row>
      <xdr:rowOff>141062</xdr:rowOff>
    </xdr:from>
    <xdr:to>
      <xdr:col>18</xdr:col>
      <xdr:colOff>0</xdr:colOff>
      <xdr:row>18</xdr:row>
      <xdr:rowOff>450234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93D9807-FB2A-45B2-97D2-C805E1B002EF}"/>
            </a:ext>
          </a:extLst>
        </xdr:cNvPr>
        <xdr:cNvSpPr txBox="1"/>
      </xdr:nvSpPr>
      <xdr:spPr>
        <a:xfrm>
          <a:off x="13702560" y="5579837"/>
          <a:ext cx="1537440" cy="24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394534</xdr:colOff>
      <xdr:row>18</xdr:row>
      <xdr:rowOff>129233</xdr:rowOff>
    </xdr:from>
    <xdr:to>
      <xdr:col>17</xdr:col>
      <xdr:colOff>915009</xdr:colOff>
      <xdr:row>19</xdr:row>
      <xdr:rowOff>86252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4DD9921-7ACF-451A-A0F0-363504D437B2}"/>
            </a:ext>
          </a:extLst>
        </xdr:cNvPr>
        <xdr:cNvSpPr txBox="1"/>
      </xdr:nvSpPr>
      <xdr:spPr>
        <a:xfrm flipH="1">
          <a:off x="13710484" y="5568008"/>
          <a:ext cx="520475" cy="338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19</xdr:row>
      <xdr:rowOff>95230</xdr:rowOff>
    </xdr:from>
    <xdr:to>
      <xdr:col>17</xdr:col>
      <xdr:colOff>818553</xdr:colOff>
      <xdr:row>20</xdr:row>
      <xdr:rowOff>59531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9A65EB0-78AD-4ED0-8100-88411697A530}"/>
            </a:ext>
          </a:extLst>
        </xdr:cNvPr>
        <xdr:cNvSpPr txBox="1"/>
      </xdr:nvSpPr>
      <xdr:spPr>
        <a:xfrm>
          <a:off x="13690456" y="5915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DC49471-0E51-4A92-BDC7-20BFFA94D993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18</xdr:row>
      <xdr:rowOff>517628</xdr:rowOff>
    </xdr:from>
    <xdr:to>
      <xdr:col>18</xdr:col>
      <xdr:colOff>0</xdr:colOff>
      <xdr:row>18</xdr:row>
      <xdr:rowOff>754492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3A23B41-DA50-46CF-8616-3FD9C7A6CEA9}"/>
            </a:ext>
          </a:extLst>
        </xdr:cNvPr>
        <xdr:cNvSpPr txBox="1"/>
      </xdr:nvSpPr>
      <xdr:spPr>
        <a:xfrm>
          <a:off x="13315950" y="5823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386610</xdr:colOff>
      <xdr:row>18</xdr:row>
      <xdr:rowOff>141062</xdr:rowOff>
    </xdr:from>
    <xdr:to>
      <xdr:col>18</xdr:col>
      <xdr:colOff>0</xdr:colOff>
      <xdr:row>18</xdr:row>
      <xdr:rowOff>450234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69A3619-2E62-4817-BBFB-027A6A555532}"/>
            </a:ext>
          </a:extLst>
        </xdr:cNvPr>
        <xdr:cNvSpPr txBox="1"/>
      </xdr:nvSpPr>
      <xdr:spPr>
        <a:xfrm>
          <a:off x="13702560" y="5579837"/>
          <a:ext cx="1537440" cy="24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389A8B6-0908-4D4D-A7AB-F02959A447AF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18</xdr:row>
      <xdr:rowOff>517628</xdr:rowOff>
    </xdr:from>
    <xdr:to>
      <xdr:col>18</xdr:col>
      <xdr:colOff>0</xdr:colOff>
      <xdr:row>18</xdr:row>
      <xdr:rowOff>754492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9BE2E9D-00F7-4FAE-A101-3B2417D85025}"/>
            </a:ext>
          </a:extLst>
        </xdr:cNvPr>
        <xdr:cNvSpPr txBox="1"/>
      </xdr:nvSpPr>
      <xdr:spPr>
        <a:xfrm>
          <a:off x="13315950" y="5823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386610</xdr:colOff>
      <xdr:row>18</xdr:row>
      <xdr:rowOff>141062</xdr:rowOff>
    </xdr:from>
    <xdr:to>
      <xdr:col>18</xdr:col>
      <xdr:colOff>0</xdr:colOff>
      <xdr:row>18</xdr:row>
      <xdr:rowOff>450234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4B73DF5-853E-45B9-BB81-49C4E9B2054E}"/>
            </a:ext>
          </a:extLst>
        </xdr:cNvPr>
        <xdr:cNvSpPr txBox="1"/>
      </xdr:nvSpPr>
      <xdr:spPr>
        <a:xfrm>
          <a:off x="13702560" y="5579837"/>
          <a:ext cx="1537440" cy="24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EE97B94-03C4-4D48-9A5C-155CCE0D3DA4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18</xdr:row>
      <xdr:rowOff>517628</xdr:rowOff>
    </xdr:from>
    <xdr:to>
      <xdr:col>18</xdr:col>
      <xdr:colOff>0</xdr:colOff>
      <xdr:row>18</xdr:row>
      <xdr:rowOff>754492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01E74A8-6B4B-47DA-93F0-9528CE294038}"/>
            </a:ext>
          </a:extLst>
        </xdr:cNvPr>
        <xdr:cNvSpPr txBox="1"/>
      </xdr:nvSpPr>
      <xdr:spPr>
        <a:xfrm>
          <a:off x="13315950" y="5823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18</xdr:row>
      <xdr:rowOff>517628</xdr:rowOff>
    </xdr:from>
    <xdr:to>
      <xdr:col>18</xdr:col>
      <xdr:colOff>0</xdr:colOff>
      <xdr:row>18</xdr:row>
      <xdr:rowOff>754492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F70D35E-3092-45E1-A1E0-7013E1231F4A}"/>
            </a:ext>
          </a:extLst>
        </xdr:cNvPr>
        <xdr:cNvSpPr txBox="1"/>
      </xdr:nvSpPr>
      <xdr:spPr>
        <a:xfrm>
          <a:off x="13315950" y="5823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35</xdr:row>
      <xdr:rowOff>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5386088-D6ED-413C-8B6C-D1A21D33CBAF}"/>
            </a:ext>
          </a:extLst>
        </xdr:cNvPr>
        <xdr:cNvSpPr txBox="1"/>
      </xdr:nvSpPr>
      <xdr:spPr>
        <a:xfrm>
          <a:off x="13315950" y="11915775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35</xdr:row>
      <xdr:rowOff>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FE24FFB5-3161-402E-8A55-CC0E6D3B8946}"/>
            </a:ext>
          </a:extLst>
        </xdr:cNvPr>
        <xdr:cNvSpPr txBox="1"/>
      </xdr:nvSpPr>
      <xdr:spPr>
        <a:xfrm>
          <a:off x="13315950" y="11915775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35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3EF923C7-7C96-491D-AA27-6532A20E3396}"/>
            </a:ext>
          </a:extLst>
        </xdr:cNvPr>
        <xdr:cNvSpPr txBox="1"/>
      </xdr:nvSpPr>
      <xdr:spPr>
        <a:xfrm>
          <a:off x="13315950" y="11915775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24</xdr:row>
      <xdr:rowOff>734780</xdr:rowOff>
    </xdr:from>
    <xdr:to>
      <xdr:col>17</xdr:col>
      <xdr:colOff>641776</xdr:colOff>
      <xdr:row>25</xdr:row>
      <xdr:rowOff>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A5E50B1-D1BB-4C11-8B09-28A8BCD67A7D}"/>
            </a:ext>
          </a:extLst>
        </xdr:cNvPr>
        <xdr:cNvSpPr txBox="1"/>
      </xdr:nvSpPr>
      <xdr:spPr>
        <a:xfrm>
          <a:off x="13943349" y="8107130"/>
          <a:ext cx="14377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21</xdr:row>
      <xdr:rowOff>734780</xdr:rowOff>
    </xdr:from>
    <xdr:to>
      <xdr:col>17</xdr:col>
      <xdr:colOff>641776</xdr:colOff>
      <xdr:row>24</xdr:row>
      <xdr:rowOff>160421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5E7956B1-386D-49AD-B41F-1EE600DF1F6D}"/>
            </a:ext>
          </a:extLst>
        </xdr:cNvPr>
        <xdr:cNvSpPr txBox="1"/>
      </xdr:nvSpPr>
      <xdr:spPr>
        <a:xfrm>
          <a:off x="13943349" y="6964130"/>
          <a:ext cx="14377" cy="92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21</xdr:row>
      <xdr:rowOff>734780</xdr:rowOff>
    </xdr:from>
    <xdr:to>
      <xdr:col>17</xdr:col>
      <xdr:colOff>641776</xdr:colOff>
      <xdr:row>24</xdr:row>
      <xdr:rowOff>160421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135AE399-7802-401C-998E-94B0B275AB1A}"/>
            </a:ext>
          </a:extLst>
        </xdr:cNvPr>
        <xdr:cNvSpPr txBox="1"/>
      </xdr:nvSpPr>
      <xdr:spPr>
        <a:xfrm>
          <a:off x="13943349" y="6964130"/>
          <a:ext cx="14377" cy="92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21</xdr:row>
      <xdr:rowOff>734780</xdr:rowOff>
    </xdr:from>
    <xdr:to>
      <xdr:col>17</xdr:col>
      <xdr:colOff>641776</xdr:colOff>
      <xdr:row>22</xdr:row>
      <xdr:rowOff>160421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C4E17207-4A3A-4E11-9323-4286EF2ABE69}"/>
            </a:ext>
          </a:extLst>
        </xdr:cNvPr>
        <xdr:cNvSpPr txBox="1"/>
      </xdr:nvSpPr>
      <xdr:spPr>
        <a:xfrm>
          <a:off x="13943349" y="6964130"/>
          <a:ext cx="14377" cy="159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23</xdr:row>
      <xdr:rowOff>734780</xdr:rowOff>
    </xdr:from>
    <xdr:to>
      <xdr:col>17</xdr:col>
      <xdr:colOff>641776</xdr:colOff>
      <xdr:row>24</xdr:row>
      <xdr:rowOff>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90E033E-FC79-4610-AF5F-58BB408AC41E}"/>
            </a:ext>
          </a:extLst>
        </xdr:cNvPr>
        <xdr:cNvSpPr txBox="1"/>
      </xdr:nvSpPr>
      <xdr:spPr>
        <a:xfrm>
          <a:off x="13943349" y="7726130"/>
          <a:ext cx="14377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76" name="TextBox 346">
          <a:extLst>
            <a:ext uri="{FF2B5EF4-FFF2-40B4-BE49-F238E27FC236}">
              <a16:creationId xmlns:a16="http://schemas.microsoft.com/office/drawing/2014/main" id="{C8DFF6CF-39B7-4C70-AA1A-E43DB4F817DF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28</xdr:row>
      <xdr:rowOff>116575</xdr:rowOff>
    </xdr:to>
    <xdr:sp macro="" textlink="">
      <xdr:nvSpPr>
        <xdr:cNvPr id="77" name="TextBox 342">
          <a:extLst>
            <a:ext uri="{FF2B5EF4-FFF2-40B4-BE49-F238E27FC236}">
              <a16:creationId xmlns:a16="http://schemas.microsoft.com/office/drawing/2014/main" id="{7BF1BAAC-248F-4D09-A8B3-DEDA6701F090}"/>
            </a:ext>
          </a:extLst>
        </xdr:cNvPr>
        <xdr:cNvSpPr txBox="1"/>
      </xdr:nvSpPr>
      <xdr:spPr>
        <a:xfrm>
          <a:off x="15906750" y="7328535"/>
          <a:ext cx="16282" cy="1989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28</xdr:row>
      <xdr:rowOff>116575</xdr:rowOff>
    </xdr:to>
    <xdr:sp macro="" textlink="">
      <xdr:nvSpPr>
        <xdr:cNvPr id="78" name="TextBox 345">
          <a:extLst>
            <a:ext uri="{FF2B5EF4-FFF2-40B4-BE49-F238E27FC236}">
              <a16:creationId xmlns:a16="http://schemas.microsoft.com/office/drawing/2014/main" id="{A825BC04-7B51-45CB-BF27-B4C5B5D20BCF}"/>
            </a:ext>
          </a:extLst>
        </xdr:cNvPr>
        <xdr:cNvSpPr txBox="1"/>
      </xdr:nvSpPr>
      <xdr:spPr>
        <a:xfrm>
          <a:off x="15906750" y="7328535"/>
          <a:ext cx="16282" cy="1989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50100</xdr:rowOff>
    </xdr:to>
    <xdr:sp macro="" textlink="">
      <xdr:nvSpPr>
        <xdr:cNvPr id="79" name="TextBox 346">
          <a:extLst>
            <a:ext uri="{FF2B5EF4-FFF2-40B4-BE49-F238E27FC236}">
              <a16:creationId xmlns:a16="http://schemas.microsoft.com/office/drawing/2014/main" id="{0454F279-3A88-49AC-8BA2-BD4ACB06A32E}"/>
            </a:ext>
          </a:extLst>
        </xdr:cNvPr>
        <xdr:cNvSpPr txBox="1"/>
      </xdr:nvSpPr>
      <xdr:spPr>
        <a:xfrm>
          <a:off x="15906750" y="7328535"/>
          <a:ext cx="16282" cy="432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50100</xdr:rowOff>
    </xdr:to>
    <xdr:sp macro="" textlink="">
      <xdr:nvSpPr>
        <xdr:cNvPr id="80" name="TextBox 346">
          <a:extLst>
            <a:ext uri="{FF2B5EF4-FFF2-40B4-BE49-F238E27FC236}">
              <a16:creationId xmlns:a16="http://schemas.microsoft.com/office/drawing/2014/main" id="{8355C1D4-E5B2-4A71-8B9C-16AE8CCEABA6}"/>
            </a:ext>
          </a:extLst>
        </xdr:cNvPr>
        <xdr:cNvSpPr txBox="1"/>
      </xdr:nvSpPr>
      <xdr:spPr>
        <a:xfrm>
          <a:off x="15906750" y="7328535"/>
          <a:ext cx="16282" cy="432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38</xdr:row>
      <xdr:rowOff>0</xdr:rowOff>
    </xdr:from>
    <xdr:to>
      <xdr:col>17</xdr:col>
      <xdr:colOff>818553</xdr:colOff>
      <xdr:row>38</xdr:row>
      <xdr:rowOff>59531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BAB95C5-97B5-418B-A0CD-10A65311D84A}"/>
            </a:ext>
          </a:extLst>
        </xdr:cNvPr>
        <xdr:cNvSpPr txBox="1"/>
      </xdr:nvSpPr>
      <xdr:spPr>
        <a:xfrm>
          <a:off x="13690456" y="13058775"/>
          <a:ext cx="444047" cy="595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38</xdr:row>
      <xdr:rowOff>0</xdr:rowOff>
    </xdr:from>
    <xdr:to>
      <xdr:col>17</xdr:col>
      <xdr:colOff>818553</xdr:colOff>
      <xdr:row>38</xdr:row>
      <xdr:rowOff>59531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2A73776-F060-4375-A6CB-F1D440E2B1BC}"/>
            </a:ext>
          </a:extLst>
        </xdr:cNvPr>
        <xdr:cNvSpPr txBox="1"/>
      </xdr:nvSpPr>
      <xdr:spPr>
        <a:xfrm>
          <a:off x="13690456" y="13058775"/>
          <a:ext cx="444047" cy="595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28</xdr:row>
      <xdr:rowOff>156104</xdr:rowOff>
    </xdr:to>
    <xdr:sp macro="" textlink="">
      <xdr:nvSpPr>
        <xdr:cNvPr id="83" name="TextBox 342">
          <a:extLst>
            <a:ext uri="{FF2B5EF4-FFF2-40B4-BE49-F238E27FC236}">
              <a16:creationId xmlns:a16="http://schemas.microsoft.com/office/drawing/2014/main" id="{E34FA6C8-3E54-4192-B067-CF7F1A132550}"/>
            </a:ext>
          </a:extLst>
        </xdr:cNvPr>
        <xdr:cNvSpPr txBox="1"/>
      </xdr:nvSpPr>
      <xdr:spPr>
        <a:xfrm>
          <a:off x="15906750" y="7328535"/>
          <a:ext cx="20092" cy="2028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28</xdr:row>
      <xdr:rowOff>156104</xdr:rowOff>
    </xdr:to>
    <xdr:sp macro="" textlink="">
      <xdr:nvSpPr>
        <xdr:cNvPr id="84" name="TextBox 345">
          <a:extLst>
            <a:ext uri="{FF2B5EF4-FFF2-40B4-BE49-F238E27FC236}">
              <a16:creationId xmlns:a16="http://schemas.microsoft.com/office/drawing/2014/main" id="{50B1FBC4-DE59-4554-9075-3CF4B3070D31}"/>
            </a:ext>
          </a:extLst>
        </xdr:cNvPr>
        <xdr:cNvSpPr txBox="1"/>
      </xdr:nvSpPr>
      <xdr:spPr>
        <a:xfrm>
          <a:off x="15906750" y="7328535"/>
          <a:ext cx="20092" cy="2028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23</xdr:row>
      <xdr:rowOff>734780</xdr:rowOff>
    </xdr:from>
    <xdr:to>
      <xdr:col>17</xdr:col>
      <xdr:colOff>641776</xdr:colOff>
      <xdr:row>24</xdr:row>
      <xdr:rowOff>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49300DD-8814-4190-8561-1FC1E675CC49}"/>
            </a:ext>
          </a:extLst>
        </xdr:cNvPr>
        <xdr:cNvSpPr txBox="1"/>
      </xdr:nvSpPr>
      <xdr:spPr>
        <a:xfrm>
          <a:off x="13943349" y="7726130"/>
          <a:ext cx="14377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28</xdr:row>
      <xdr:rowOff>116575</xdr:rowOff>
    </xdr:to>
    <xdr:sp macro="" textlink="">
      <xdr:nvSpPr>
        <xdr:cNvPr id="86" name="TextBox 342">
          <a:extLst>
            <a:ext uri="{FF2B5EF4-FFF2-40B4-BE49-F238E27FC236}">
              <a16:creationId xmlns:a16="http://schemas.microsoft.com/office/drawing/2014/main" id="{2EA0664D-BB99-4EF3-A3AA-917ACAEA9FD9}"/>
            </a:ext>
          </a:extLst>
        </xdr:cNvPr>
        <xdr:cNvSpPr txBox="1"/>
      </xdr:nvSpPr>
      <xdr:spPr>
        <a:xfrm>
          <a:off x="15906750" y="7328535"/>
          <a:ext cx="16282" cy="1989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28</xdr:row>
      <xdr:rowOff>116575</xdr:rowOff>
    </xdr:to>
    <xdr:sp macro="" textlink="">
      <xdr:nvSpPr>
        <xdr:cNvPr id="87" name="TextBox 345">
          <a:extLst>
            <a:ext uri="{FF2B5EF4-FFF2-40B4-BE49-F238E27FC236}">
              <a16:creationId xmlns:a16="http://schemas.microsoft.com/office/drawing/2014/main" id="{283755B9-E8B4-4645-9066-3BF86B6049E0}"/>
            </a:ext>
          </a:extLst>
        </xdr:cNvPr>
        <xdr:cNvSpPr txBox="1"/>
      </xdr:nvSpPr>
      <xdr:spPr>
        <a:xfrm>
          <a:off x="15906750" y="7328535"/>
          <a:ext cx="16282" cy="1989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24</xdr:row>
      <xdr:rowOff>1522</xdr:rowOff>
    </xdr:to>
    <xdr:sp macro="" textlink="">
      <xdr:nvSpPr>
        <xdr:cNvPr id="88" name="TextBox 346">
          <a:extLst>
            <a:ext uri="{FF2B5EF4-FFF2-40B4-BE49-F238E27FC236}">
              <a16:creationId xmlns:a16="http://schemas.microsoft.com/office/drawing/2014/main" id="{28D526C9-4E0C-41C4-8438-49E6E7C7C12B}"/>
            </a:ext>
          </a:extLst>
        </xdr:cNvPr>
        <xdr:cNvSpPr txBox="1"/>
      </xdr:nvSpPr>
      <xdr:spPr>
        <a:xfrm>
          <a:off x="15906750" y="7328535"/>
          <a:ext cx="20092" cy="388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50100</xdr:rowOff>
    </xdr:to>
    <xdr:sp macro="" textlink="">
      <xdr:nvSpPr>
        <xdr:cNvPr id="89" name="TextBox 346">
          <a:extLst>
            <a:ext uri="{FF2B5EF4-FFF2-40B4-BE49-F238E27FC236}">
              <a16:creationId xmlns:a16="http://schemas.microsoft.com/office/drawing/2014/main" id="{DB2009E0-5AFF-4EB7-80DE-4D4717944553}"/>
            </a:ext>
          </a:extLst>
        </xdr:cNvPr>
        <xdr:cNvSpPr txBox="1"/>
      </xdr:nvSpPr>
      <xdr:spPr>
        <a:xfrm>
          <a:off x="15906750" y="7328535"/>
          <a:ext cx="16282" cy="432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50100</xdr:rowOff>
    </xdr:to>
    <xdr:sp macro="" textlink="">
      <xdr:nvSpPr>
        <xdr:cNvPr id="90" name="TextBox 346">
          <a:extLst>
            <a:ext uri="{FF2B5EF4-FFF2-40B4-BE49-F238E27FC236}">
              <a16:creationId xmlns:a16="http://schemas.microsoft.com/office/drawing/2014/main" id="{8BBD42FB-F8E4-4579-AB00-0A49FF1DF878}"/>
            </a:ext>
          </a:extLst>
        </xdr:cNvPr>
        <xdr:cNvSpPr txBox="1"/>
      </xdr:nvSpPr>
      <xdr:spPr>
        <a:xfrm>
          <a:off x="15906750" y="7328535"/>
          <a:ext cx="16282" cy="432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19</xdr:col>
      <xdr:colOff>6382987</xdr:colOff>
      <xdr:row>33</xdr:row>
      <xdr:rowOff>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4C17A2FD-C4D0-4E55-9796-DBAADC3AB6E2}"/>
            </a:ext>
          </a:extLst>
        </xdr:cNvPr>
        <xdr:cNvSpPr txBox="1"/>
      </xdr:nvSpPr>
      <xdr:spPr>
        <a:xfrm>
          <a:off x="15906750" y="11153775"/>
          <a:ext cx="5668612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endParaRPr lang="en-US" altLang="ko-KR" sz="105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28</xdr:row>
      <xdr:rowOff>156104</xdr:rowOff>
    </xdr:to>
    <xdr:sp macro="" textlink="">
      <xdr:nvSpPr>
        <xdr:cNvPr id="92" name="TextBox 342">
          <a:extLst>
            <a:ext uri="{FF2B5EF4-FFF2-40B4-BE49-F238E27FC236}">
              <a16:creationId xmlns:a16="http://schemas.microsoft.com/office/drawing/2014/main" id="{667102C2-49E1-4F1B-80D7-DC7CC3C108E1}"/>
            </a:ext>
          </a:extLst>
        </xdr:cNvPr>
        <xdr:cNvSpPr txBox="1"/>
      </xdr:nvSpPr>
      <xdr:spPr>
        <a:xfrm>
          <a:off x="15906750" y="7328535"/>
          <a:ext cx="16282" cy="2028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28</xdr:row>
      <xdr:rowOff>156104</xdr:rowOff>
    </xdr:to>
    <xdr:sp macro="" textlink="">
      <xdr:nvSpPr>
        <xdr:cNvPr id="93" name="TextBox 345">
          <a:extLst>
            <a:ext uri="{FF2B5EF4-FFF2-40B4-BE49-F238E27FC236}">
              <a16:creationId xmlns:a16="http://schemas.microsoft.com/office/drawing/2014/main" id="{25E89E33-7061-48C7-86EA-BE0B339B1162}"/>
            </a:ext>
          </a:extLst>
        </xdr:cNvPr>
        <xdr:cNvSpPr txBox="1"/>
      </xdr:nvSpPr>
      <xdr:spPr>
        <a:xfrm>
          <a:off x="15906750" y="7328535"/>
          <a:ext cx="16282" cy="2028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28</xdr:row>
      <xdr:rowOff>116575</xdr:rowOff>
    </xdr:to>
    <xdr:sp macro="" textlink="">
      <xdr:nvSpPr>
        <xdr:cNvPr id="94" name="TextBox 342">
          <a:extLst>
            <a:ext uri="{FF2B5EF4-FFF2-40B4-BE49-F238E27FC236}">
              <a16:creationId xmlns:a16="http://schemas.microsoft.com/office/drawing/2014/main" id="{2F8BA12E-3025-446D-9BD2-B9CEEDDBA233}"/>
            </a:ext>
          </a:extLst>
        </xdr:cNvPr>
        <xdr:cNvSpPr txBox="1"/>
      </xdr:nvSpPr>
      <xdr:spPr>
        <a:xfrm>
          <a:off x="15906750" y="7328535"/>
          <a:ext cx="20092" cy="1989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28</xdr:row>
      <xdr:rowOff>116575</xdr:rowOff>
    </xdr:to>
    <xdr:sp macro="" textlink="">
      <xdr:nvSpPr>
        <xdr:cNvPr id="95" name="TextBox 345">
          <a:extLst>
            <a:ext uri="{FF2B5EF4-FFF2-40B4-BE49-F238E27FC236}">
              <a16:creationId xmlns:a16="http://schemas.microsoft.com/office/drawing/2014/main" id="{3B2371C0-1C08-4725-A727-391530C7DBE5}"/>
            </a:ext>
          </a:extLst>
        </xdr:cNvPr>
        <xdr:cNvSpPr txBox="1"/>
      </xdr:nvSpPr>
      <xdr:spPr>
        <a:xfrm>
          <a:off x="15906750" y="7328535"/>
          <a:ext cx="20092" cy="1989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28</xdr:row>
      <xdr:rowOff>156104</xdr:rowOff>
    </xdr:to>
    <xdr:sp macro="" textlink="">
      <xdr:nvSpPr>
        <xdr:cNvPr id="96" name="TextBox 342">
          <a:extLst>
            <a:ext uri="{FF2B5EF4-FFF2-40B4-BE49-F238E27FC236}">
              <a16:creationId xmlns:a16="http://schemas.microsoft.com/office/drawing/2014/main" id="{B2934B60-5025-4556-94D9-D6A8E00315BC}"/>
            </a:ext>
          </a:extLst>
        </xdr:cNvPr>
        <xdr:cNvSpPr txBox="1"/>
      </xdr:nvSpPr>
      <xdr:spPr>
        <a:xfrm>
          <a:off x="15906750" y="7328535"/>
          <a:ext cx="16282" cy="2028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28</xdr:row>
      <xdr:rowOff>156104</xdr:rowOff>
    </xdr:to>
    <xdr:sp macro="" textlink="">
      <xdr:nvSpPr>
        <xdr:cNvPr id="97" name="TextBox 345">
          <a:extLst>
            <a:ext uri="{FF2B5EF4-FFF2-40B4-BE49-F238E27FC236}">
              <a16:creationId xmlns:a16="http://schemas.microsoft.com/office/drawing/2014/main" id="{980EB8C3-2A11-46B7-A9A3-080563F91275}"/>
            </a:ext>
          </a:extLst>
        </xdr:cNvPr>
        <xdr:cNvSpPr txBox="1"/>
      </xdr:nvSpPr>
      <xdr:spPr>
        <a:xfrm>
          <a:off x="15906750" y="7328535"/>
          <a:ext cx="16282" cy="2028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28</xdr:row>
      <xdr:rowOff>116575</xdr:rowOff>
    </xdr:to>
    <xdr:sp macro="" textlink="">
      <xdr:nvSpPr>
        <xdr:cNvPr id="98" name="TextBox 342">
          <a:extLst>
            <a:ext uri="{FF2B5EF4-FFF2-40B4-BE49-F238E27FC236}">
              <a16:creationId xmlns:a16="http://schemas.microsoft.com/office/drawing/2014/main" id="{E8F92D56-7D50-498B-A281-D85981E44AA0}"/>
            </a:ext>
          </a:extLst>
        </xdr:cNvPr>
        <xdr:cNvSpPr txBox="1"/>
      </xdr:nvSpPr>
      <xdr:spPr>
        <a:xfrm>
          <a:off x="15906750" y="7328535"/>
          <a:ext cx="20092" cy="1989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28</xdr:row>
      <xdr:rowOff>116575</xdr:rowOff>
    </xdr:to>
    <xdr:sp macro="" textlink="">
      <xdr:nvSpPr>
        <xdr:cNvPr id="99" name="TextBox 345">
          <a:extLst>
            <a:ext uri="{FF2B5EF4-FFF2-40B4-BE49-F238E27FC236}">
              <a16:creationId xmlns:a16="http://schemas.microsoft.com/office/drawing/2014/main" id="{162A2859-4D1C-4652-8FCE-795C4B928401}"/>
            </a:ext>
          </a:extLst>
        </xdr:cNvPr>
        <xdr:cNvSpPr txBox="1"/>
      </xdr:nvSpPr>
      <xdr:spPr>
        <a:xfrm>
          <a:off x="15906750" y="7328535"/>
          <a:ext cx="20092" cy="1989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00" name="TextBox 346">
          <a:extLst>
            <a:ext uri="{FF2B5EF4-FFF2-40B4-BE49-F238E27FC236}">
              <a16:creationId xmlns:a16="http://schemas.microsoft.com/office/drawing/2014/main" id="{E12FF664-CEB2-41B2-B40D-1B7A2F4FD896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01" name="TextBox 346">
          <a:extLst>
            <a:ext uri="{FF2B5EF4-FFF2-40B4-BE49-F238E27FC236}">
              <a16:creationId xmlns:a16="http://schemas.microsoft.com/office/drawing/2014/main" id="{722B24F7-B4A3-4EC7-82EC-1150B8D62C8E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twoCellAnchor>
    <xdr:from>
      <xdr:col>19</xdr:col>
      <xdr:colOff>0</xdr:colOff>
      <xdr:row>33</xdr:row>
      <xdr:rowOff>0</xdr:rowOff>
    </xdr:from>
    <xdr:to>
      <xdr:col>19</xdr:col>
      <xdr:colOff>6382987</xdr:colOff>
      <xdr:row>34</xdr:row>
      <xdr:rowOff>-519941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8C3C171-8856-48E4-AD05-0BFB6063D815}"/>
            </a:ext>
          </a:extLst>
        </xdr:cNvPr>
        <xdr:cNvSpPr txBox="1"/>
      </xdr:nvSpPr>
      <xdr:spPr>
        <a:xfrm>
          <a:off x="15906750" y="11153775"/>
          <a:ext cx="5668612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endParaRPr lang="en-US" altLang="ko-KR" sz="105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oneCellAnchor>
    <xdr:from>
      <xdr:col>19</xdr:col>
      <xdr:colOff>0</xdr:colOff>
      <xdr:row>33</xdr:row>
      <xdr:rowOff>0</xdr:rowOff>
    </xdr:from>
    <xdr:ext cx="20092" cy="2020277"/>
    <xdr:sp macro="" textlink="">
      <xdr:nvSpPr>
        <xdr:cNvPr id="103" name="TextBox 342">
          <a:extLst>
            <a:ext uri="{FF2B5EF4-FFF2-40B4-BE49-F238E27FC236}">
              <a16:creationId xmlns:a16="http://schemas.microsoft.com/office/drawing/2014/main" id="{96F7EE44-54FD-4C68-B7F8-628E597DD73F}"/>
            </a:ext>
          </a:extLst>
        </xdr:cNvPr>
        <xdr:cNvSpPr txBox="1"/>
      </xdr:nvSpPr>
      <xdr:spPr>
        <a:xfrm>
          <a:off x="15906750" y="11153775"/>
          <a:ext cx="20092" cy="2020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2020277"/>
    <xdr:sp macro="" textlink="">
      <xdr:nvSpPr>
        <xdr:cNvPr id="104" name="TextBox 345">
          <a:extLst>
            <a:ext uri="{FF2B5EF4-FFF2-40B4-BE49-F238E27FC236}">
              <a16:creationId xmlns:a16="http://schemas.microsoft.com/office/drawing/2014/main" id="{F49EE08F-3A10-456E-A90D-C7525D00392D}"/>
            </a:ext>
          </a:extLst>
        </xdr:cNvPr>
        <xdr:cNvSpPr txBox="1"/>
      </xdr:nvSpPr>
      <xdr:spPr>
        <a:xfrm>
          <a:off x="15906750" y="11153775"/>
          <a:ext cx="20092" cy="2020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twoCellAnchor>
    <xdr:from>
      <xdr:col>17</xdr:col>
      <xdr:colOff>627399</xdr:colOff>
      <xdr:row>34</xdr:row>
      <xdr:rowOff>230078</xdr:rowOff>
    </xdr:from>
    <xdr:to>
      <xdr:col>17</xdr:col>
      <xdr:colOff>641776</xdr:colOff>
      <xdr:row>35</xdr:row>
      <xdr:rowOff>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C2BD2DAF-A816-48B7-AB30-9AEA80F19C46}"/>
            </a:ext>
          </a:extLst>
        </xdr:cNvPr>
        <xdr:cNvSpPr txBox="1"/>
      </xdr:nvSpPr>
      <xdr:spPr>
        <a:xfrm>
          <a:off x="13943349" y="11764853"/>
          <a:ext cx="14377" cy="150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oneCellAnchor>
    <xdr:from>
      <xdr:col>19</xdr:col>
      <xdr:colOff>0</xdr:colOff>
      <xdr:row>33</xdr:row>
      <xdr:rowOff>0</xdr:rowOff>
    </xdr:from>
    <xdr:ext cx="16282" cy="2018372"/>
    <xdr:sp macro="" textlink="">
      <xdr:nvSpPr>
        <xdr:cNvPr id="106" name="TextBox 342">
          <a:extLst>
            <a:ext uri="{FF2B5EF4-FFF2-40B4-BE49-F238E27FC236}">
              <a16:creationId xmlns:a16="http://schemas.microsoft.com/office/drawing/2014/main" id="{D17C01F2-866C-48F2-885C-B135CFAEA60C}"/>
            </a:ext>
          </a:extLst>
        </xdr:cNvPr>
        <xdr:cNvSpPr txBox="1"/>
      </xdr:nvSpPr>
      <xdr:spPr>
        <a:xfrm>
          <a:off x="15906750" y="11153775"/>
          <a:ext cx="16282" cy="2018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16282" cy="2018372"/>
    <xdr:sp macro="" textlink="">
      <xdr:nvSpPr>
        <xdr:cNvPr id="107" name="TextBox 345">
          <a:extLst>
            <a:ext uri="{FF2B5EF4-FFF2-40B4-BE49-F238E27FC236}">
              <a16:creationId xmlns:a16="http://schemas.microsoft.com/office/drawing/2014/main" id="{25041C10-03AB-495D-83BE-C988E18FC38B}"/>
            </a:ext>
          </a:extLst>
        </xdr:cNvPr>
        <xdr:cNvSpPr txBox="1"/>
      </xdr:nvSpPr>
      <xdr:spPr>
        <a:xfrm>
          <a:off x="15906750" y="11153775"/>
          <a:ext cx="16282" cy="2018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2020277"/>
    <xdr:sp macro="" textlink="">
      <xdr:nvSpPr>
        <xdr:cNvPr id="108" name="TextBox 342">
          <a:extLst>
            <a:ext uri="{FF2B5EF4-FFF2-40B4-BE49-F238E27FC236}">
              <a16:creationId xmlns:a16="http://schemas.microsoft.com/office/drawing/2014/main" id="{FFDD5A1D-74A5-4EDF-9726-17DD1F73ABD9}"/>
            </a:ext>
          </a:extLst>
        </xdr:cNvPr>
        <xdr:cNvSpPr txBox="1"/>
      </xdr:nvSpPr>
      <xdr:spPr>
        <a:xfrm>
          <a:off x="15906750" y="11153775"/>
          <a:ext cx="20092" cy="2020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2020277"/>
    <xdr:sp macro="" textlink="">
      <xdr:nvSpPr>
        <xdr:cNvPr id="109" name="TextBox 345">
          <a:extLst>
            <a:ext uri="{FF2B5EF4-FFF2-40B4-BE49-F238E27FC236}">
              <a16:creationId xmlns:a16="http://schemas.microsoft.com/office/drawing/2014/main" id="{9D6CEF23-2DD5-4C12-AD82-53C2E4B5202A}"/>
            </a:ext>
          </a:extLst>
        </xdr:cNvPr>
        <xdr:cNvSpPr txBox="1"/>
      </xdr:nvSpPr>
      <xdr:spPr>
        <a:xfrm>
          <a:off x="15906750" y="11153775"/>
          <a:ext cx="20092" cy="2020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twoCellAnchor>
    <xdr:from>
      <xdr:col>17</xdr:col>
      <xdr:colOff>627399</xdr:colOff>
      <xdr:row>34</xdr:row>
      <xdr:rowOff>230078</xdr:rowOff>
    </xdr:from>
    <xdr:to>
      <xdr:col>17</xdr:col>
      <xdr:colOff>641776</xdr:colOff>
      <xdr:row>35</xdr:row>
      <xdr:rowOff>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74A3706-F8DD-4ED8-ADDD-28FBF6DE1DFA}"/>
            </a:ext>
          </a:extLst>
        </xdr:cNvPr>
        <xdr:cNvSpPr txBox="1"/>
      </xdr:nvSpPr>
      <xdr:spPr>
        <a:xfrm>
          <a:off x="13943349" y="11764853"/>
          <a:ext cx="14377" cy="150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oneCellAnchor>
    <xdr:from>
      <xdr:col>19</xdr:col>
      <xdr:colOff>0</xdr:colOff>
      <xdr:row>33</xdr:row>
      <xdr:rowOff>0</xdr:rowOff>
    </xdr:from>
    <xdr:ext cx="16282" cy="2018372"/>
    <xdr:sp macro="" textlink="">
      <xdr:nvSpPr>
        <xdr:cNvPr id="111" name="TextBox 342">
          <a:extLst>
            <a:ext uri="{FF2B5EF4-FFF2-40B4-BE49-F238E27FC236}">
              <a16:creationId xmlns:a16="http://schemas.microsoft.com/office/drawing/2014/main" id="{D0B21A1C-CB80-49CA-A336-5D691BE74703}"/>
            </a:ext>
          </a:extLst>
        </xdr:cNvPr>
        <xdr:cNvSpPr txBox="1"/>
      </xdr:nvSpPr>
      <xdr:spPr>
        <a:xfrm>
          <a:off x="15906750" y="11153775"/>
          <a:ext cx="16282" cy="2018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16282" cy="2018372"/>
    <xdr:sp macro="" textlink="">
      <xdr:nvSpPr>
        <xdr:cNvPr id="112" name="TextBox 345">
          <a:extLst>
            <a:ext uri="{FF2B5EF4-FFF2-40B4-BE49-F238E27FC236}">
              <a16:creationId xmlns:a16="http://schemas.microsoft.com/office/drawing/2014/main" id="{B3967104-CE91-4069-AC01-15AFDBDE08A4}"/>
            </a:ext>
          </a:extLst>
        </xdr:cNvPr>
        <xdr:cNvSpPr txBox="1"/>
      </xdr:nvSpPr>
      <xdr:spPr>
        <a:xfrm>
          <a:off x="15906750" y="11153775"/>
          <a:ext cx="16282" cy="2018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twoCellAnchor>
    <xdr:from>
      <xdr:col>17</xdr:col>
      <xdr:colOff>268269</xdr:colOff>
      <xdr:row>15</xdr:row>
      <xdr:rowOff>0</xdr:rowOff>
    </xdr:from>
    <xdr:to>
      <xdr:col>17</xdr:col>
      <xdr:colOff>288035</xdr:colOff>
      <xdr:row>15</xdr:row>
      <xdr:rowOff>9778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4D9C1C34-C54B-4114-A274-9FC6F0C52363}"/>
            </a:ext>
          </a:extLst>
        </xdr:cNvPr>
        <xdr:cNvSpPr txBox="1"/>
      </xdr:nvSpPr>
      <xdr:spPr>
        <a:xfrm>
          <a:off x="13584219" y="4295775"/>
          <a:ext cx="19766" cy="9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1300">
              <a:solidFill>
                <a:srgbClr val="0000FF"/>
              </a:solidFill>
              <a:latin typeface="현대산스 Text OTF" panose="020B0600000101010101" pitchFamily="34" charset="-127"/>
              <a:ea typeface="현대산스 Text OTF" panose="020B0600000101010101" pitchFamily="34" charset="-127"/>
            </a:rPr>
            <a:t> 22MY </a:t>
          </a:r>
          <a:r>
            <a:rPr lang="ko-KR" altLang="en-US" sz="1300" baseline="0">
              <a:solidFill>
                <a:srgbClr val="0000FF"/>
              </a:solidFill>
              <a:latin typeface="현대산스 Text OTF" panose="020B0600000101010101" pitchFamily="34" charset="-127"/>
              <a:ea typeface="현대산스 Text OTF" panose="020B0600000101010101" pitchFamily="34" charset="-127"/>
            </a:rPr>
            <a:t>발급가능 재고 보유</a:t>
          </a:r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268269</xdr:colOff>
      <xdr:row>15</xdr:row>
      <xdr:rowOff>0</xdr:rowOff>
    </xdr:from>
    <xdr:to>
      <xdr:col>17</xdr:col>
      <xdr:colOff>288035</xdr:colOff>
      <xdr:row>15</xdr:row>
      <xdr:rowOff>9778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D647C57-94E9-4549-BF12-BFBBA666BCBE}"/>
            </a:ext>
          </a:extLst>
        </xdr:cNvPr>
        <xdr:cNvSpPr txBox="1"/>
      </xdr:nvSpPr>
      <xdr:spPr>
        <a:xfrm>
          <a:off x="13584219" y="4295775"/>
          <a:ext cx="19766" cy="9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1300">
              <a:solidFill>
                <a:srgbClr val="0000FF"/>
              </a:solidFill>
              <a:latin typeface="현대산스 Text OTF" panose="020B0600000101010101" pitchFamily="34" charset="-127"/>
              <a:ea typeface="현대산스 Text OTF" panose="020B0600000101010101" pitchFamily="34" charset="-127"/>
            </a:rPr>
            <a:t> 22MY </a:t>
          </a:r>
          <a:r>
            <a:rPr lang="ko-KR" altLang="en-US" sz="1300" baseline="0">
              <a:solidFill>
                <a:srgbClr val="0000FF"/>
              </a:solidFill>
              <a:latin typeface="현대산스 Text OTF" panose="020B0600000101010101" pitchFamily="34" charset="-127"/>
              <a:ea typeface="현대산스 Text OTF" panose="020B0600000101010101" pitchFamily="34" charset="-127"/>
            </a:rPr>
            <a:t>발급가능 재고 보유</a:t>
          </a:r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38</xdr:row>
      <xdr:rowOff>95230</xdr:rowOff>
    </xdr:from>
    <xdr:to>
      <xdr:col>17</xdr:col>
      <xdr:colOff>818553</xdr:colOff>
      <xdr:row>39</xdr:row>
      <xdr:rowOff>59531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D9A46A77-C51A-484E-88D7-ADD1F4471074}"/>
            </a:ext>
          </a:extLst>
        </xdr:cNvPr>
        <xdr:cNvSpPr txBox="1"/>
      </xdr:nvSpPr>
      <xdr:spPr>
        <a:xfrm>
          <a:off x="13690456" y="13154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38</xdr:row>
      <xdr:rowOff>95230</xdr:rowOff>
    </xdr:from>
    <xdr:to>
      <xdr:col>17</xdr:col>
      <xdr:colOff>818553</xdr:colOff>
      <xdr:row>39</xdr:row>
      <xdr:rowOff>59531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CBCAB213-6504-4AAB-B9A1-C3A21D4F4E1C}"/>
            </a:ext>
          </a:extLst>
        </xdr:cNvPr>
        <xdr:cNvSpPr txBox="1"/>
      </xdr:nvSpPr>
      <xdr:spPr>
        <a:xfrm>
          <a:off x="13690456" y="13154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20C76E3-53A3-42D2-9D2A-D90B975159E6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81456C75-9AF0-4FCF-A984-BF06188CE6CF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F97873E-018A-4FBC-B38E-CEBA27E72F0A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4B06067-1C12-4735-8ADD-990CBF0119C0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26</xdr:row>
      <xdr:rowOff>118005</xdr:rowOff>
    </xdr:from>
    <xdr:to>
      <xdr:col>19</xdr:col>
      <xdr:colOff>0</xdr:colOff>
      <xdr:row>27</xdr:row>
      <xdr:rowOff>67404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A906EF9E-CB9B-4AD0-9916-112F6809EEFC}"/>
            </a:ext>
          </a:extLst>
        </xdr:cNvPr>
        <xdr:cNvSpPr txBox="1"/>
      </xdr:nvSpPr>
      <xdr:spPr>
        <a:xfrm flipH="1">
          <a:off x="15906750" y="8604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26</xdr:row>
      <xdr:rowOff>118005</xdr:rowOff>
    </xdr:from>
    <xdr:to>
      <xdr:col>19</xdr:col>
      <xdr:colOff>0</xdr:colOff>
      <xdr:row>27</xdr:row>
      <xdr:rowOff>67404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13559457-D023-4589-B0F9-831D3B458034}"/>
            </a:ext>
          </a:extLst>
        </xdr:cNvPr>
        <xdr:cNvSpPr txBox="1"/>
      </xdr:nvSpPr>
      <xdr:spPr>
        <a:xfrm flipH="1">
          <a:off x="15906750" y="8604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26</xdr:row>
      <xdr:rowOff>118005</xdr:rowOff>
    </xdr:from>
    <xdr:to>
      <xdr:col>19</xdr:col>
      <xdr:colOff>0</xdr:colOff>
      <xdr:row>27</xdr:row>
      <xdr:rowOff>67404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B733D91F-2090-4903-B351-27808C33E420}"/>
            </a:ext>
          </a:extLst>
        </xdr:cNvPr>
        <xdr:cNvSpPr txBox="1"/>
      </xdr:nvSpPr>
      <xdr:spPr>
        <a:xfrm flipH="1">
          <a:off x="15906750" y="8604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26</xdr:row>
      <xdr:rowOff>118005</xdr:rowOff>
    </xdr:from>
    <xdr:to>
      <xdr:col>19</xdr:col>
      <xdr:colOff>0</xdr:colOff>
      <xdr:row>27</xdr:row>
      <xdr:rowOff>67404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E2B859F-E3E9-4D52-9241-A63BDD296A4A}"/>
            </a:ext>
          </a:extLst>
        </xdr:cNvPr>
        <xdr:cNvSpPr txBox="1"/>
      </xdr:nvSpPr>
      <xdr:spPr>
        <a:xfrm flipH="1">
          <a:off x="15906750" y="8604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27B99DA-B8C5-4384-96FA-475AD32A8D2A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AA6D037-EFBE-43C9-8F0D-1A4C4C7169E1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19</xdr:col>
      <xdr:colOff>0</xdr:colOff>
      <xdr:row>18</xdr:row>
      <xdr:rowOff>118005</xdr:rowOff>
    </xdr:from>
    <xdr:to>
      <xdr:col>19</xdr:col>
      <xdr:colOff>0</xdr:colOff>
      <xdr:row>19</xdr:row>
      <xdr:rowOff>67404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D05DA2F-8F60-4CD5-90B8-5F27498ECE5F}"/>
            </a:ext>
          </a:extLst>
        </xdr:cNvPr>
        <xdr:cNvSpPr txBox="1"/>
      </xdr:nvSpPr>
      <xdr:spPr>
        <a:xfrm flipH="1">
          <a:off x="15906750" y="5556780"/>
          <a:ext cx="0" cy="330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24</xdr:row>
      <xdr:rowOff>1522</xdr:rowOff>
    </xdr:to>
    <xdr:sp macro="" textlink="">
      <xdr:nvSpPr>
        <xdr:cNvPr id="128" name="TextBox 346">
          <a:extLst>
            <a:ext uri="{FF2B5EF4-FFF2-40B4-BE49-F238E27FC236}">
              <a16:creationId xmlns:a16="http://schemas.microsoft.com/office/drawing/2014/main" id="{7B02EF18-930E-4DDF-80A2-7F43EBFD31C6}"/>
            </a:ext>
          </a:extLst>
        </xdr:cNvPr>
        <xdr:cNvSpPr txBox="1"/>
      </xdr:nvSpPr>
      <xdr:spPr>
        <a:xfrm>
          <a:off x="15906750" y="7328535"/>
          <a:ext cx="20092" cy="388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50100</xdr:rowOff>
    </xdr:to>
    <xdr:sp macro="" textlink="">
      <xdr:nvSpPr>
        <xdr:cNvPr id="129" name="TextBox 346">
          <a:extLst>
            <a:ext uri="{FF2B5EF4-FFF2-40B4-BE49-F238E27FC236}">
              <a16:creationId xmlns:a16="http://schemas.microsoft.com/office/drawing/2014/main" id="{8F7834B8-0481-4D20-9ACD-A515301070BB}"/>
            </a:ext>
          </a:extLst>
        </xdr:cNvPr>
        <xdr:cNvSpPr txBox="1"/>
      </xdr:nvSpPr>
      <xdr:spPr>
        <a:xfrm>
          <a:off x="15906750" y="7328535"/>
          <a:ext cx="16282" cy="432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50100</xdr:rowOff>
    </xdr:to>
    <xdr:sp macro="" textlink="">
      <xdr:nvSpPr>
        <xdr:cNvPr id="130" name="TextBox 346">
          <a:extLst>
            <a:ext uri="{FF2B5EF4-FFF2-40B4-BE49-F238E27FC236}">
              <a16:creationId xmlns:a16="http://schemas.microsoft.com/office/drawing/2014/main" id="{83A22B13-4856-4B1F-936E-EC966465FE4D}"/>
            </a:ext>
          </a:extLst>
        </xdr:cNvPr>
        <xdr:cNvSpPr txBox="1"/>
      </xdr:nvSpPr>
      <xdr:spPr>
        <a:xfrm>
          <a:off x="15906750" y="7328535"/>
          <a:ext cx="16282" cy="432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24</xdr:row>
      <xdr:rowOff>1522</xdr:rowOff>
    </xdr:to>
    <xdr:sp macro="" textlink="">
      <xdr:nvSpPr>
        <xdr:cNvPr id="131" name="TextBox 346">
          <a:extLst>
            <a:ext uri="{FF2B5EF4-FFF2-40B4-BE49-F238E27FC236}">
              <a16:creationId xmlns:a16="http://schemas.microsoft.com/office/drawing/2014/main" id="{4E7C7E4E-6A5F-49DB-A970-D6FE44A088B5}"/>
            </a:ext>
          </a:extLst>
        </xdr:cNvPr>
        <xdr:cNvSpPr txBox="1"/>
      </xdr:nvSpPr>
      <xdr:spPr>
        <a:xfrm>
          <a:off x="15906750" y="7328535"/>
          <a:ext cx="20092" cy="388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50100</xdr:rowOff>
    </xdr:to>
    <xdr:sp macro="" textlink="">
      <xdr:nvSpPr>
        <xdr:cNvPr id="132" name="TextBox 346">
          <a:extLst>
            <a:ext uri="{FF2B5EF4-FFF2-40B4-BE49-F238E27FC236}">
              <a16:creationId xmlns:a16="http://schemas.microsoft.com/office/drawing/2014/main" id="{AC4EC2DD-2D69-4276-80D1-2FA75B34EE8E}"/>
            </a:ext>
          </a:extLst>
        </xdr:cNvPr>
        <xdr:cNvSpPr txBox="1"/>
      </xdr:nvSpPr>
      <xdr:spPr>
        <a:xfrm>
          <a:off x="15906750" y="7328535"/>
          <a:ext cx="16282" cy="432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50100</xdr:rowOff>
    </xdr:to>
    <xdr:sp macro="" textlink="">
      <xdr:nvSpPr>
        <xdr:cNvPr id="133" name="TextBox 346">
          <a:extLst>
            <a:ext uri="{FF2B5EF4-FFF2-40B4-BE49-F238E27FC236}">
              <a16:creationId xmlns:a16="http://schemas.microsoft.com/office/drawing/2014/main" id="{158B018C-AB79-4AE8-9532-0FC518C312DC}"/>
            </a:ext>
          </a:extLst>
        </xdr:cNvPr>
        <xdr:cNvSpPr txBox="1"/>
      </xdr:nvSpPr>
      <xdr:spPr>
        <a:xfrm>
          <a:off x="15906750" y="7328535"/>
          <a:ext cx="16282" cy="432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34" name="TextBox 346">
          <a:extLst>
            <a:ext uri="{FF2B5EF4-FFF2-40B4-BE49-F238E27FC236}">
              <a16:creationId xmlns:a16="http://schemas.microsoft.com/office/drawing/2014/main" id="{7D19BF39-2812-4A7E-B959-8823C40AE2A2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35" name="TextBox 346">
          <a:extLst>
            <a:ext uri="{FF2B5EF4-FFF2-40B4-BE49-F238E27FC236}">
              <a16:creationId xmlns:a16="http://schemas.microsoft.com/office/drawing/2014/main" id="{4B350EB4-A623-44B0-8425-70C74F350D13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36" name="TextBox 346">
          <a:extLst>
            <a:ext uri="{FF2B5EF4-FFF2-40B4-BE49-F238E27FC236}">
              <a16:creationId xmlns:a16="http://schemas.microsoft.com/office/drawing/2014/main" id="{E39EEFF3-817D-4C39-8474-EE61EFC124EB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37" name="TextBox 346">
          <a:extLst>
            <a:ext uri="{FF2B5EF4-FFF2-40B4-BE49-F238E27FC236}">
              <a16:creationId xmlns:a16="http://schemas.microsoft.com/office/drawing/2014/main" id="{434612E4-C2EB-4040-8B5C-E7922A6BA2CF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twoCellAnchor>
    <xdr:from>
      <xdr:col>17</xdr:col>
      <xdr:colOff>394534</xdr:colOff>
      <xdr:row>25</xdr:row>
      <xdr:rowOff>129233</xdr:rowOff>
    </xdr:from>
    <xdr:to>
      <xdr:col>17</xdr:col>
      <xdr:colOff>915009</xdr:colOff>
      <xdr:row>26</xdr:row>
      <xdr:rowOff>86252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6C02DCBB-4565-479A-9760-89CFC1E0E8B3}"/>
            </a:ext>
          </a:extLst>
        </xdr:cNvPr>
        <xdr:cNvSpPr txBox="1"/>
      </xdr:nvSpPr>
      <xdr:spPr>
        <a:xfrm flipH="1">
          <a:off x="13710484" y="8235008"/>
          <a:ext cx="520475" cy="338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25</xdr:row>
      <xdr:rowOff>517628</xdr:rowOff>
    </xdr:from>
    <xdr:to>
      <xdr:col>18</xdr:col>
      <xdr:colOff>0</xdr:colOff>
      <xdr:row>25</xdr:row>
      <xdr:rowOff>754492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8AFEBBDF-4AE5-4C56-A808-AE6FE08702D2}"/>
            </a:ext>
          </a:extLst>
        </xdr:cNvPr>
        <xdr:cNvSpPr txBox="1"/>
      </xdr:nvSpPr>
      <xdr:spPr>
        <a:xfrm>
          <a:off x="13315950" y="8490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394534</xdr:colOff>
      <xdr:row>25</xdr:row>
      <xdr:rowOff>129233</xdr:rowOff>
    </xdr:from>
    <xdr:to>
      <xdr:col>17</xdr:col>
      <xdr:colOff>915009</xdr:colOff>
      <xdr:row>26</xdr:row>
      <xdr:rowOff>86252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381191A0-2E78-4E6F-BF3A-717098923E01}"/>
            </a:ext>
          </a:extLst>
        </xdr:cNvPr>
        <xdr:cNvSpPr txBox="1"/>
      </xdr:nvSpPr>
      <xdr:spPr>
        <a:xfrm flipH="1">
          <a:off x="13710484" y="8235008"/>
          <a:ext cx="520475" cy="338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25</xdr:row>
      <xdr:rowOff>517628</xdr:rowOff>
    </xdr:from>
    <xdr:to>
      <xdr:col>18</xdr:col>
      <xdr:colOff>0</xdr:colOff>
      <xdr:row>25</xdr:row>
      <xdr:rowOff>754492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A57A338F-7E20-4184-BC68-5E4CB1EFA598}"/>
            </a:ext>
          </a:extLst>
        </xdr:cNvPr>
        <xdr:cNvSpPr txBox="1"/>
      </xdr:nvSpPr>
      <xdr:spPr>
        <a:xfrm>
          <a:off x="13315950" y="8490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25</xdr:row>
      <xdr:rowOff>517628</xdr:rowOff>
    </xdr:from>
    <xdr:to>
      <xdr:col>18</xdr:col>
      <xdr:colOff>0</xdr:colOff>
      <xdr:row>25</xdr:row>
      <xdr:rowOff>754492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11EF767F-BCAA-445E-A442-14D8A996226A}"/>
            </a:ext>
          </a:extLst>
        </xdr:cNvPr>
        <xdr:cNvSpPr txBox="1"/>
      </xdr:nvSpPr>
      <xdr:spPr>
        <a:xfrm>
          <a:off x="13315950" y="8490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0</xdr:colOff>
      <xdr:row>25</xdr:row>
      <xdr:rowOff>517628</xdr:rowOff>
    </xdr:from>
    <xdr:to>
      <xdr:col>18</xdr:col>
      <xdr:colOff>0</xdr:colOff>
      <xdr:row>25</xdr:row>
      <xdr:rowOff>754492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7D09C7D-BAF1-4380-955C-E862426C03CE}"/>
            </a:ext>
          </a:extLst>
        </xdr:cNvPr>
        <xdr:cNvSpPr txBox="1"/>
      </xdr:nvSpPr>
      <xdr:spPr>
        <a:xfrm>
          <a:off x="13315950" y="8490053"/>
          <a:ext cx="1924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24</xdr:row>
      <xdr:rowOff>3427</xdr:rowOff>
    </xdr:to>
    <xdr:sp macro="" textlink="">
      <xdr:nvSpPr>
        <xdr:cNvPr id="144" name="TextBox 346">
          <a:extLst>
            <a:ext uri="{FF2B5EF4-FFF2-40B4-BE49-F238E27FC236}">
              <a16:creationId xmlns:a16="http://schemas.microsoft.com/office/drawing/2014/main" id="{83C94EE6-2BA3-4C5F-93E7-E823A4C59E52}"/>
            </a:ext>
          </a:extLst>
        </xdr:cNvPr>
        <xdr:cNvSpPr txBox="1"/>
      </xdr:nvSpPr>
      <xdr:spPr>
        <a:xfrm>
          <a:off x="15906750" y="7328535"/>
          <a:ext cx="20092" cy="3901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44385</xdr:rowOff>
    </xdr:to>
    <xdr:sp macro="" textlink="">
      <xdr:nvSpPr>
        <xdr:cNvPr id="145" name="TextBox 346">
          <a:extLst>
            <a:ext uri="{FF2B5EF4-FFF2-40B4-BE49-F238E27FC236}">
              <a16:creationId xmlns:a16="http://schemas.microsoft.com/office/drawing/2014/main" id="{91F22AF8-8C72-44EE-9F31-3E059ADA5A2C}"/>
            </a:ext>
          </a:extLst>
        </xdr:cNvPr>
        <xdr:cNvSpPr txBox="1"/>
      </xdr:nvSpPr>
      <xdr:spPr>
        <a:xfrm>
          <a:off x="15906750" y="7328535"/>
          <a:ext cx="16282" cy="42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44385</xdr:rowOff>
    </xdr:to>
    <xdr:sp macro="" textlink="">
      <xdr:nvSpPr>
        <xdr:cNvPr id="146" name="TextBox 346">
          <a:extLst>
            <a:ext uri="{FF2B5EF4-FFF2-40B4-BE49-F238E27FC236}">
              <a16:creationId xmlns:a16="http://schemas.microsoft.com/office/drawing/2014/main" id="{6687E9CE-02CD-4FAD-9C5A-BADDE41C74EB}"/>
            </a:ext>
          </a:extLst>
        </xdr:cNvPr>
        <xdr:cNvSpPr txBox="1"/>
      </xdr:nvSpPr>
      <xdr:spPr>
        <a:xfrm>
          <a:off x="15906750" y="7328535"/>
          <a:ext cx="16282" cy="42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24</xdr:row>
      <xdr:rowOff>3427</xdr:rowOff>
    </xdr:to>
    <xdr:sp macro="" textlink="">
      <xdr:nvSpPr>
        <xdr:cNvPr id="147" name="TextBox 346">
          <a:extLst>
            <a:ext uri="{FF2B5EF4-FFF2-40B4-BE49-F238E27FC236}">
              <a16:creationId xmlns:a16="http://schemas.microsoft.com/office/drawing/2014/main" id="{0428F6D6-9B41-4398-952B-D72BD52AB7AD}"/>
            </a:ext>
          </a:extLst>
        </xdr:cNvPr>
        <xdr:cNvSpPr txBox="1"/>
      </xdr:nvSpPr>
      <xdr:spPr>
        <a:xfrm>
          <a:off x="15906750" y="7328535"/>
          <a:ext cx="20092" cy="3901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44385</xdr:rowOff>
    </xdr:to>
    <xdr:sp macro="" textlink="">
      <xdr:nvSpPr>
        <xdr:cNvPr id="148" name="TextBox 346">
          <a:extLst>
            <a:ext uri="{FF2B5EF4-FFF2-40B4-BE49-F238E27FC236}">
              <a16:creationId xmlns:a16="http://schemas.microsoft.com/office/drawing/2014/main" id="{FB29558E-8F9A-4A73-AD1E-476F831A13B3}"/>
            </a:ext>
          </a:extLst>
        </xdr:cNvPr>
        <xdr:cNvSpPr txBox="1"/>
      </xdr:nvSpPr>
      <xdr:spPr>
        <a:xfrm>
          <a:off x="15906750" y="7328535"/>
          <a:ext cx="16282" cy="42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44385</xdr:rowOff>
    </xdr:to>
    <xdr:sp macro="" textlink="">
      <xdr:nvSpPr>
        <xdr:cNvPr id="149" name="TextBox 346">
          <a:extLst>
            <a:ext uri="{FF2B5EF4-FFF2-40B4-BE49-F238E27FC236}">
              <a16:creationId xmlns:a16="http://schemas.microsoft.com/office/drawing/2014/main" id="{E8BB43F1-6BF6-4D93-82D6-B3A55C32C078}"/>
            </a:ext>
          </a:extLst>
        </xdr:cNvPr>
        <xdr:cNvSpPr txBox="1"/>
      </xdr:nvSpPr>
      <xdr:spPr>
        <a:xfrm>
          <a:off x="15906750" y="7328535"/>
          <a:ext cx="16282" cy="42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24</xdr:row>
      <xdr:rowOff>3427</xdr:rowOff>
    </xdr:to>
    <xdr:sp macro="" textlink="">
      <xdr:nvSpPr>
        <xdr:cNvPr id="150" name="TextBox 346">
          <a:extLst>
            <a:ext uri="{FF2B5EF4-FFF2-40B4-BE49-F238E27FC236}">
              <a16:creationId xmlns:a16="http://schemas.microsoft.com/office/drawing/2014/main" id="{3B5551BB-3916-4F46-A817-F1440563FD11}"/>
            </a:ext>
          </a:extLst>
        </xdr:cNvPr>
        <xdr:cNvSpPr txBox="1"/>
      </xdr:nvSpPr>
      <xdr:spPr>
        <a:xfrm>
          <a:off x="15906750" y="7328535"/>
          <a:ext cx="20092" cy="3901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44385</xdr:rowOff>
    </xdr:to>
    <xdr:sp macro="" textlink="">
      <xdr:nvSpPr>
        <xdr:cNvPr id="151" name="TextBox 346">
          <a:extLst>
            <a:ext uri="{FF2B5EF4-FFF2-40B4-BE49-F238E27FC236}">
              <a16:creationId xmlns:a16="http://schemas.microsoft.com/office/drawing/2014/main" id="{2677AC43-8A2F-447D-96A0-367FBAB04C91}"/>
            </a:ext>
          </a:extLst>
        </xdr:cNvPr>
        <xdr:cNvSpPr txBox="1"/>
      </xdr:nvSpPr>
      <xdr:spPr>
        <a:xfrm>
          <a:off x="15906750" y="7328535"/>
          <a:ext cx="16282" cy="42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44385</xdr:rowOff>
    </xdr:to>
    <xdr:sp macro="" textlink="">
      <xdr:nvSpPr>
        <xdr:cNvPr id="152" name="TextBox 346">
          <a:extLst>
            <a:ext uri="{FF2B5EF4-FFF2-40B4-BE49-F238E27FC236}">
              <a16:creationId xmlns:a16="http://schemas.microsoft.com/office/drawing/2014/main" id="{FFCA2A83-3BF3-4EAD-BD1B-C7014F4F4457}"/>
            </a:ext>
          </a:extLst>
        </xdr:cNvPr>
        <xdr:cNvSpPr txBox="1"/>
      </xdr:nvSpPr>
      <xdr:spPr>
        <a:xfrm>
          <a:off x="15906750" y="7328535"/>
          <a:ext cx="16282" cy="42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20092</xdr:colOff>
      <xdr:row>24</xdr:row>
      <xdr:rowOff>3427</xdr:rowOff>
    </xdr:to>
    <xdr:sp macro="" textlink="">
      <xdr:nvSpPr>
        <xdr:cNvPr id="153" name="TextBox 346">
          <a:extLst>
            <a:ext uri="{FF2B5EF4-FFF2-40B4-BE49-F238E27FC236}">
              <a16:creationId xmlns:a16="http://schemas.microsoft.com/office/drawing/2014/main" id="{545F0837-9929-4A65-B77A-9B7B27EBAC4C}"/>
            </a:ext>
          </a:extLst>
        </xdr:cNvPr>
        <xdr:cNvSpPr txBox="1"/>
      </xdr:nvSpPr>
      <xdr:spPr>
        <a:xfrm>
          <a:off x="15906750" y="7328535"/>
          <a:ext cx="20092" cy="3901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44385</xdr:rowOff>
    </xdr:to>
    <xdr:sp macro="" textlink="">
      <xdr:nvSpPr>
        <xdr:cNvPr id="154" name="TextBox 346">
          <a:extLst>
            <a:ext uri="{FF2B5EF4-FFF2-40B4-BE49-F238E27FC236}">
              <a16:creationId xmlns:a16="http://schemas.microsoft.com/office/drawing/2014/main" id="{5813390D-147E-410D-AB00-6843B629FE68}"/>
            </a:ext>
          </a:extLst>
        </xdr:cNvPr>
        <xdr:cNvSpPr txBox="1"/>
      </xdr:nvSpPr>
      <xdr:spPr>
        <a:xfrm>
          <a:off x="15906750" y="7328535"/>
          <a:ext cx="16282" cy="42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0</xdr:colOff>
      <xdr:row>22</xdr:row>
      <xdr:rowOff>365760</xdr:rowOff>
    </xdr:from>
    <xdr:to>
      <xdr:col>19</xdr:col>
      <xdr:colOff>16282</xdr:colOff>
      <xdr:row>24</xdr:row>
      <xdr:rowOff>44385</xdr:rowOff>
    </xdr:to>
    <xdr:sp macro="" textlink="">
      <xdr:nvSpPr>
        <xdr:cNvPr id="155" name="TextBox 346">
          <a:extLst>
            <a:ext uri="{FF2B5EF4-FFF2-40B4-BE49-F238E27FC236}">
              <a16:creationId xmlns:a16="http://schemas.microsoft.com/office/drawing/2014/main" id="{A41D488D-F218-437E-8E26-3574E4FA9686}"/>
            </a:ext>
          </a:extLst>
        </xdr:cNvPr>
        <xdr:cNvSpPr txBox="1"/>
      </xdr:nvSpPr>
      <xdr:spPr>
        <a:xfrm>
          <a:off x="15906750" y="7328535"/>
          <a:ext cx="16282" cy="42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 editAs="oneCell">
    <xdr:from>
      <xdr:col>19</xdr:col>
      <xdr:colOff>243840</xdr:colOff>
      <xdr:row>11</xdr:row>
      <xdr:rowOff>490649</xdr:rowOff>
    </xdr:from>
    <xdr:to>
      <xdr:col>19</xdr:col>
      <xdr:colOff>2683087</xdr:colOff>
      <xdr:row>13</xdr:row>
      <xdr:rowOff>247397</xdr:rowOff>
    </xdr:to>
    <xdr:pic>
      <xdr:nvPicPr>
        <xdr:cNvPr id="156" name="그림 155">
          <a:extLst>
            <a:ext uri="{FF2B5EF4-FFF2-40B4-BE49-F238E27FC236}">
              <a16:creationId xmlns:a16="http://schemas.microsoft.com/office/drawing/2014/main" id="{D8E08F20-CEA9-7F27-D535-79A3156FD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50590" y="3148124"/>
          <a:ext cx="2515447" cy="618761"/>
        </a:xfrm>
        <a:prstGeom prst="rect">
          <a:avLst/>
        </a:prstGeom>
      </xdr:spPr>
    </xdr:pic>
    <xdr:clientData/>
  </xdr:two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57" name="TextBox 346">
          <a:extLst>
            <a:ext uri="{FF2B5EF4-FFF2-40B4-BE49-F238E27FC236}">
              <a16:creationId xmlns:a16="http://schemas.microsoft.com/office/drawing/2014/main" id="{9060CBF9-354E-4BF2-8FDC-311C1B881F9A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58" name="TextBox 346">
          <a:extLst>
            <a:ext uri="{FF2B5EF4-FFF2-40B4-BE49-F238E27FC236}">
              <a16:creationId xmlns:a16="http://schemas.microsoft.com/office/drawing/2014/main" id="{C8E92E7A-3309-42A8-85DC-1E1F7D082476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59" name="TextBox 346">
          <a:extLst>
            <a:ext uri="{FF2B5EF4-FFF2-40B4-BE49-F238E27FC236}">
              <a16:creationId xmlns:a16="http://schemas.microsoft.com/office/drawing/2014/main" id="{A80F7BED-A475-4208-B302-CDA89E5D2937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60" name="TextBox 346">
          <a:extLst>
            <a:ext uri="{FF2B5EF4-FFF2-40B4-BE49-F238E27FC236}">
              <a16:creationId xmlns:a16="http://schemas.microsoft.com/office/drawing/2014/main" id="{2511E19B-1F90-4084-B1FC-23727E3DD051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61" name="TextBox 346">
          <a:extLst>
            <a:ext uri="{FF2B5EF4-FFF2-40B4-BE49-F238E27FC236}">
              <a16:creationId xmlns:a16="http://schemas.microsoft.com/office/drawing/2014/main" id="{0877086B-BB8A-45C0-BFD1-68656F0C48A1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62" name="TextBox 346">
          <a:extLst>
            <a:ext uri="{FF2B5EF4-FFF2-40B4-BE49-F238E27FC236}">
              <a16:creationId xmlns:a16="http://schemas.microsoft.com/office/drawing/2014/main" id="{FAD5C678-5110-44FD-87D9-EC4B1C7CCBAC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33</xdr:row>
      <xdr:rowOff>0</xdr:rowOff>
    </xdr:from>
    <xdr:ext cx="20092" cy="404218"/>
    <xdr:sp macro="" textlink="">
      <xdr:nvSpPr>
        <xdr:cNvPr id="163" name="TextBox 346">
          <a:extLst>
            <a:ext uri="{FF2B5EF4-FFF2-40B4-BE49-F238E27FC236}">
              <a16:creationId xmlns:a16="http://schemas.microsoft.com/office/drawing/2014/main" id="{DE070BB2-66BB-4672-A7A2-5F206C02A83C}"/>
            </a:ext>
          </a:extLst>
        </xdr:cNvPr>
        <xdr:cNvSpPr txBox="1"/>
      </xdr:nvSpPr>
      <xdr:spPr>
        <a:xfrm>
          <a:off x="15906750" y="11153775"/>
          <a:ext cx="20092" cy="404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20092" cy="387073"/>
    <xdr:sp macro="" textlink="">
      <xdr:nvSpPr>
        <xdr:cNvPr id="164" name="TextBox 346">
          <a:extLst>
            <a:ext uri="{FF2B5EF4-FFF2-40B4-BE49-F238E27FC236}">
              <a16:creationId xmlns:a16="http://schemas.microsoft.com/office/drawing/2014/main" id="{806A6ADC-D829-4D23-84B1-95047560DDC6}"/>
            </a:ext>
          </a:extLst>
        </xdr:cNvPr>
        <xdr:cNvSpPr txBox="1"/>
      </xdr:nvSpPr>
      <xdr:spPr>
        <a:xfrm>
          <a:off x="15906750" y="6185535"/>
          <a:ext cx="20092" cy="387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3268"/>
    <xdr:sp macro="" textlink="">
      <xdr:nvSpPr>
        <xdr:cNvPr id="165" name="TextBox 346">
          <a:extLst>
            <a:ext uri="{FF2B5EF4-FFF2-40B4-BE49-F238E27FC236}">
              <a16:creationId xmlns:a16="http://schemas.microsoft.com/office/drawing/2014/main" id="{EC3530C3-FC16-4D2D-9E86-DFA75A4CCFF2}"/>
            </a:ext>
          </a:extLst>
        </xdr:cNvPr>
        <xdr:cNvSpPr txBox="1"/>
      </xdr:nvSpPr>
      <xdr:spPr>
        <a:xfrm>
          <a:off x="15906750" y="6185535"/>
          <a:ext cx="16282" cy="42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3268"/>
    <xdr:sp macro="" textlink="">
      <xdr:nvSpPr>
        <xdr:cNvPr id="166" name="TextBox 346">
          <a:extLst>
            <a:ext uri="{FF2B5EF4-FFF2-40B4-BE49-F238E27FC236}">
              <a16:creationId xmlns:a16="http://schemas.microsoft.com/office/drawing/2014/main" id="{C05A843E-8AFA-49B9-9860-EA261ECA5439}"/>
            </a:ext>
          </a:extLst>
        </xdr:cNvPr>
        <xdr:cNvSpPr txBox="1"/>
      </xdr:nvSpPr>
      <xdr:spPr>
        <a:xfrm>
          <a:off x="15906750" y="6185535"/>
          <a:ext cx="16282" cy="42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20092" cy="387073"/>
    <xdr:sp macro="" textlink="">
      <xdr:nvSpPr>
        <xdr:cNvPr id="167" name="TextBox 346">
          <a:extLst>
            <a:ext uri="{FF2B5EF4-FFF2-40B4-BE49-F238E27FC236}">
              <a16:creationId xmlns:a16="http://schemas.microsoft.com/office/drawing/2014/main" id="{26E2593A-95B3-47D9-82BA-93D039336997}"/>
            </a:ext>
          </a:extLst>
        </xdr:cNvPr>
        <xdr:cNvSpPr txBox="1"/>
      </xdr:nvSpPr>
      <xdr:spPr>
        <a:xfrm>
          <a:off x="15906750" y="6185535"/>
          <a:ext cx="20092" cy="387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3268"/>
    <xdr:sp macro="" textlink="">
      <xdr:nvSpPr>
        <xdr:cNvPr id="168" name="TextBox 346">
          <a:extLst>
            <a:ext uri="{FF2B5EF4-FFF2-40B4-BE49-F238E27FC236}">
              <a16:creationId xmlns:a16="http://schemas.microsoft.com/office/drawing/2014/main" id="{0F508AA5-54CF-4AF9-9F34-05E0A6543C33}"/>
            </a:ext>
          </a:extLst>
        </xdr:cNvPr>
        <xdr:cNvSpPr txBox="1"/>
      </xdr:nvSpPr>
      <xdr:spPr>
        <a:xfrm>
          <a:off x="15906750" y="6185535"/>
          <a:ext cx="16282" cy="42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3268"/>
    <xdr:sp macro="" textlink="">
      <xdr:nvSpPr>
        <xdr:cNvPr id="169" name="TextBox 346">
          <a:extLst>
            <a:ext uri="{FF2B5EF4-FFF2-40B4-BE49-F238E27FC236}">
              <a16:creationId xmlns:a16="http://schemas.microsoft.com/office/drawing/2014/main" id="{770A0B84-D539-48A9-809B-B9C49301E72B}"/>
            </a:ext>
          </a:extLst>
        </xdr:cNvPr>
        <xdr:cNvSpPr txBox="1"/>
      </xdr:nvSpPr>
      <xdr:spPr>
        <a:xfrm>
          <a:off x="15906750" y="6185535"/>
          <a:ext cx="16282" cy="42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20092" cy="387073"/>
    <xdr:sp macro="" textlink="">
      <xdr:nvSpPr>
        <xdr:cNvPr id="170" name="TextBox 346">
          <a:extLst>
            <a:ext uri="{FF2B5EF4-FFF2-40B4-BE49-F238E27FC236}">
              <a16:creationId xmlns:a16="http://schemas.microsoft.com/office/drawing/2014/main" id="{8A84D884-10D9-463B-B16C-0CBE688C79C9}"/>
            </a:ext>
          </a:extLst>
        </xdr:cNvPr>
        <xdr:cNvSpPr txBox="1"/>
      </xdr:nvSpPr>
      <xdr:spPr>
        <a:xfrm>
          <a:off x="15906750" y="6185535"/>
          <a:ext cx="20092" cy="387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3268"/>
    <xdr:sp macro="" textlink="">
      <xdr:nvSpPr>
        <xdr:cNvPr id="171" name="TextBox 346">
          <a:extLst>
            <a:ext uri="{FF2B5EF4-FFF2-40B4-BE49-F238E27FC236}">
              <a16:creationId xmlns:a16="http://schemas.microsoft.com/office/drawing/2014/main" id="{4CBD46DC-D478-4639-A3D1-EF9399BCD5ED}"/>
            </a:ext>
          </a:extLst>
        </xdr:cNvPr>
        <xdr:cNvSpPr txBox="1"/>
      </xdr:nvSpPr>
      <xdr:spPr>
        <a:xfrm>
          <a:off x="15906750" y="6185535"/>
          <a:ext cx="16282" cy="42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3268"/>
    <xdr:sp macro="" textlink="">
      <xdr:nvSpPr>
        <xdr:cNvPr id="172" name="TextBox 346">
          <a:extLst>
            <a:ext uri="{FF2B5EF4-FFF2-40B4-BE49-F238E27FC236}">
              <a16:creationId xmlns:a16="http://schemas.microsoft.com/office/drawing/2014/main" id="{A2AD7711-E9A8-4D45-A210-815B44C9810B}"/>
            </a:ext>
          </a:extLst>
        </xdr:cNvPr>
        <xdr:cNvSpPr txBox="1"/>
      </xdr:nvSpPr>
      <xdr:spPr>
        <a:xfrm>
          <a:off x="15906750" y="6185535"/>
          <a:ext cx="16282" cy="42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20092" cy="387073"/>
    <xdr:sp macro="" textlink="">
      <xdr:nvSpPr>
        <xdr:cNvPr id="173" name="TextBox 346">
          <a:extLst>
            <a:ext uri="{FF2B5EF4-FFF2-40B4-BE49-F238E27FC236}">
              <a16:creationId xmlns:a16="http://schemas.microsoft.com/office/drawing/2014/main" id="{8AEAE2B7-E79A-47AB-AD12-3CEF7D4E275B}"/>
            </a:ext>
          </a:extLst>
        </xdr:cNvPr>
        <xdr:cNvSpPr txBox="1"/>
      </xdr:nvSpPr>
      <xdr:spPr>
        <a:xfrm>
          <a:off x="15906750" y="6185535"/>
          <a:ext cx="20092" cy="387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3268"/>
    <xdr:sp macro="" textlink="">
      <xdr:nvSpPr>
        <xdr:cNvPr id="174" name="TextBox 346">
          <a:extLst>
            <a:ext uri="{FF2B5EF4-FFF2-40B4-BE49-F238E27FC236}">
              <a16:creationId xmlns:a16="http://schemas.microsoft.com/office/drawing/2014/main" id="{0559A86F-30B9-4DBC-883B-DA69AC766DD5}"/>
            </a:ext>
          </a:extLst>
        </xdr:cNvPr>
        <xdr:cNvSpPr txBox="1"/>
      </xdr:nvSpPr>
      <xdr:spPr>
        <a:xfrm>
          <a:off x="15906750" y="6185535"/>
          <a:ext cx="16282" cy="42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3268"/>
    <xdr:sp macro="" textlink="">
      <xdr:nvSpPr>
        <xdr:cNvPr id="175" name="TextBox 346">
          <a:extLst>
            <a:ext uri="{FF2B5EF4-FFF2-40B4-BE49-F238E27FC236}">
              <a16:creationId xmlns:a16="http://schemas.microsoft.com/office/drawing/2014/main" id="{6AC9ABBA-16A9-4D8F-818D-FE55E0410672}"/>
            </a:ext>
          </a:extLst>
        </xdr:cNvPr>
        <xdr:cNvSpPr txBox="1"/>
      </xdr:nvSpPr>
      <xdr:spPr>
        <a:xfrm>
          <a:off x="15906750" y="6185535"/>
          <a:ext cx="16282" cy="42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20092" cy="388978"/>
    <xdr:sp macro="" textlink="">
      <xdr:nvSpPr>
        <xdr:cNvPr id="176" name="TextBox 346">
          <a:extLst>
            <a:ext uri="{FF2B5EF4-FFF2-40B4-BE49-F238E27FC236}">
              <a16:creationId xmlns:a16="http://schemas.microsoft.com/office/drawing/2014/main" id="{714FA501-0EE0-4697-82CC-63E71EC43457}"/>
            </a:ext>
          </a:extLst>
        </xdr:cNvPr>
        <xdr:cNvSpPr txBox="1"/>
      </xdr:nvSpPr>
      <xdr:spPr>
        <a:xfrm>
          <a:off x="15906750" y="6185535"/>
          <a:ext cx="20092" cy="3889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5173"/>
    <xdr:sp macro="" textlink="">
      <xdr:nvSpPr>
        <xdr:cNvPr id="177" name="TextBox 346">
          <a:extLst>
            <a:ext uri="{FF2B5EF4-FFF2-40B4-BE49-F238E27FC236}">
              <a16:creationId xmlns:a16="http://schemas.microsoft.com/office/drawing/2014/main" id="{429E4CC6-21EA-4251-81ED-C10072FB83E4}"/>
            </a:ext>
          </a:extLst>
        </xdr:cNvPr>
        <xdr:cNvSpPr txBox="1"/>
      </xdr:nvSpPr>
      <xdr:spPr>
        <a:xfrm>
          <a:off x="15906750" y="6185535"/>
          <a:ext cx="16282" cy="425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5173"/>
    <xdr:sp macro="" textlink="">
      <xdr:nvSpPr>
        <xdr:cNvPr id="178" name="TextBox 346">
          <a:extLst>
            <a:ext uri="{FF2B5EF4-FFF2-40B4-BE49-F238E27FC236}">
              <a16:creationId xmlns:a16="http://schemas.microsoft.com/office/drawing/2014/main" id="{EC950CEB-342A-4BD5-A685-FEF2F9B1772B}"/>
            </a:ext>
          </a:extLst>
        </xdr:cNvPr>
        <xdr:cNvSpPr txBox="1"/>
      </xdr:nvSpPr>
      <xdr:spPr>
        <a:xfrm>
          <a:off x="15906750" y="6185535"/>
          <a:ext cx="16282" cy="425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20092" cy="388978"/>
    <xdr:sp macro="" textlink="">
      <xdr:nvSpPr>
        <xdr:cNvPr id="179" name="TextBox 346">
          <a:extLst>
            <a:ext uri="{FF2B5EF4-FFF2-40B4-BE49-F238E27FC236}">
              <a16:creationId xmlns:a16="http://schemas.microsoft.com/office/drawing/2014/main" id="{B81CF4CA-ABB5-4FC9-B5D8-7842869CBB0C}"/>
            </a:ext>
          </a:extLst>
        </xdr:cNvPr>
        <xdr:cNvSpPr txBox="1"/>
      </xdr:nvSpPr>
      <xdr:spPr>
        <a:xfrm>
          <a:off x="15906750" y="6185535"/>
          <a:ext cx="20092" cy="3889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5173"/>
    <xdr:sp macro="" textlink="">
      <xdr:nvSpPr>
        <xdr:cNvPr id="180" name="TextBox 346">
          <a:extLst>
            <a:ext uri="{FF2B5EF4-FFF2-40B4-BE49-F238E27FC236}">
              <a16:creationId xmlns:a16="http://schemas.microsoft.com/office/drawing/2014/main" id="{EC1E0248-7DEE-4146-8BBA-BB8D95B503E6}"/>
            </a:ext>
          </a:extLst>
        </xdr:cNvPr>
        <xdr:cNvSpPr txBox="1"/>
      </xdr:nvSpPr>
      <xdr:spPr>
        <a:xfrm>
          <a:off x="15906750" y="6185535"/>
          <a:ext cx="16282" cy="425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5173"/>
    <xdr:sp macro="" textlink="">
      <xdr:nvSpPr>
        <xdr:cNvPr id="181" name="TextBox 346">
          <a:extLst>
            <a:ext uri="{FF2B5EF4-FFF2-40B4-BE49-F238E27FC236}">
              <a16:creationId xmlns:a16="http://schemas.microsoft.com/office/drawing/2014/main" id="{3E0E52FD-35EF-4C19-8112-0625E716F4AE}"/>
            </a:ext>
          </a:extLst>
        </xdr:cNvPr>
        <xdr:cNvSpPr txBox="1"/>
      </xdr:nvSpPr>
      <xdr:spPr>
        <a:xfrm>
          <a:off x="15906750" y="6185535"/>
          <a:ext cx="16282" cy="425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20092" cy="388978"/>
    <xdr:sp macro="" textlink="">
      <xdr:nvSpPr>
        <xdr:cNvPr id="182" name="TextBox 346">
          <a:extLst>
            <a:ext uri="{FF2B5EF4-FFF2-40B4-BE49-F238E27FC236}">
              <a16:creationId xmlns:a16="http://schemas.microsoft.com/office/drawing/2014/main" id="{3C12FDED-65CD-4549-8B71-3A5C92002F86}"/>
            </a:ext>
          </a:extLst>
        </xdr:cNvPr>
        <xdr:cNvSpPr txBox="1"/>
      </xdr:nvSpPr>
      <xdr:spPr>
        <a:xfrm>
          <a:off x="15906750" y="6185535"/>
          <a:ext cx="20092" cy="3889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5173"/>
    <xdr:sp macro="" textlink="">
      <xdr:nvSpPr>
        <xdr:cNvPr id="183" name="TextBox 346">
          <a:extLst>
            <a:ext uri="{FF2B5EF4-FFF2-40B4-BE49-F238E27FC236}">
              <a16:creationId xmlns:a16="http://schemas.microsoft.com/office/drawing/2014/main" id="{FAA1BE73-0C8F-46E2-964A-A9FBF96AB694}"/>
            </a:ext>
          </a:extLst>
        </xdr:cNvPr>
        <xdr:cNvSpPr txBox="1"/>
      </xdr:nvSpPr>
      <xdr:spPr>
        <a:xfrm>
          <a:off x="15906750" y="6185535"/>
          <a:ext cx="16282" cy="425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5173"/>
    <xdr:sp macro="" textlink="">
      <xdr:nvSpPr>
        <xdr:cNvPr id="184" name="TextBox 346">
          <a:extLst>
            <a:ext uri="{FF2B5EF4-FFF2-40B4-BE49-F238E27FC236}">
              <a16:creationId xmlns:a16="http://schemas.microsoft.com/office/drawing/2014/main" id="{3B3D0CBE-58AD-471B-8B62-8E05584A2347}"/>
            </a:ext>
          </a:extLst>
        </xdr:cNvPr>
        <xdr:cNvSpPr txBox="1"/>
      </xdr:nvSpPr>
      <xdr:spPr>
        <a:xfrm>
          <a:off x="15906750" y="6185535"/>
          <a:ext cx="16282" cy="425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20092" cy="388978"/>
    <xdr:sp macro="" textlink="">
      <xdr:nvSpPr>
        <xdr:cNvPr id="185" name="TextBox 346">
          <a:extLst>
            <a:ext uri="{FF2B5EF4-FFF2-40B4-BE49-F238E27FC236}">
              <a16:creationId xmlns:a16="http://schemas.microsoft.com/office/drawing/2014/main" id="{CB8BBF46-DA9A-4B22-B20E-BF96C3EF9F6F}"/>
            </a:ext>
          </a:extLst>
        </xdr:cNvPr>
        <xdr:cNvSpPr txBox="1"/>
      </xdr:nvSpPr>
      <xdr:spPr>
        <a:xfrm>
          <a:off x="15906750" y="6185535"/>
          <a:ext cx="20092" cy="3889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5173"/>
    <xdr:sp macro="" textlink="">
      <xdr:nvSpPr>
        <xdr:cNvPr id="186" name="TextBox 346">
          <a:extLst>
            <a:ext uri="{FF2B5EF4-FFF2-40B4-BE49-F238E27FC236}">
              <a16:creationId xmlns:a16="http://schemas.microsoft.com/office/drawing/2014/main" id="{2A25A5C1-3061-4E98-938C-5D79C3C1FCBB}"/>
            </a:ext>
          </a:extLst>
        </xdr:cNvPr>
        <xdr:cNvSpPr txBox="1"/>
      </xdr:nvSpPr>
      <xdr:spPr>
        <a:xfrm>
          <a:off x="15906750" y="6185535"/>
          <a:ext cx="16282" cy="425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19</xdr:row>
      <xdr:rowOff>365760</xdr:rowOff>
    </xdr:from>
    <xdr:ext cx="16282" cy="425173"/>
    <xdr:sp macro="" textlink="">
      <xdr:nvSpPr>
        <xdr:cNvPr id="187" name="TextBox 346">
          <a:extLst>
            <a:ext uri="{FF2B5EF4-FFF2-40B4-BE49-F238E27FC236}">
              <a16:creationId xmlns:a16="http://schemas.microsoft.com/office/drawing/2014/main" id="{D79B2966-ACF0-40FD-9D31-5CB95443E7DC}"/>
            </a:ext>
          </a:extLst>
        </xdr:cNvPr>
        <xdr:cNvSpPr txBox="1"/>
      </xdr:nvSpPr>
      <xdr:spPr>
        <a:xfrm>
          <a:off x="15906750" y="6185535"/>
          <a:ext cx="16282" cy="425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16282" cy="390883"/>
    <xdr:sp macro="" textlink="">
      <xdr:nvSpPr>
        <xdr:cNvPr id="188" name="TextBox 346">
          <a:extLst>
            <a:ext uri="{FF2B5EF4-FFF2-40B4-BE49-F238E27FC236}">
              <a16:creationId xmlns:a16="http://schemas.microsoft.com/office/drawing/2014/main" id="{CA519D61-3254-4B6B-9C19-FCDC2164A78B}"/>
            </a:ext>
          </a:extLst>
        </xdr:cNvPr>
        <xdr:cNvSpPr txBox="1"/>
      </xdr:nvSpPr>
      <xdr:spPr>
        <a:xfrm>
          <a:off x="15906750" y="9233535"/>
          <a:ext cx="16282" cy="390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7078"/>
    <xdr:sp macro="" textlink="">
      <xdr:nvSpPr>
        <xdr:cNvPr id="189" name="TextBox 346">
          <a:extLst>
            <a:ext uri="{FF2B5EF4-FFF2-40B4-BE49-F238E27FC236}">
              <a16:creationId xmlns:a16="http://schemas.microsoft.com/office/drawing/2014/main" id="{C1A1A1A1-FB1F-486E-85CD-23416CE4054A}"/>
            </a:ext>
          </a:extLst>
        </xdr:cNvPr>
        <xdr:cNvSpPr txBox="1"/>
      </xdr:nvSpPr>
      <xdr:spPr>
        <a:xfrm>
          <a:off x="15906750" y="9233535"/>
          <a:ext cx="20092" cy="427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7078"/>
    <xdr:sp macro="" textlink="">
      <xdr:nvSpPr>
        <xdr:cNvPr id="190" name="TextBox 346">
          <a:extLst>
            <a:ext uri="{FF2B5EF4-FFF2-40B4-BE49-F238E27FC236}">
              <a16:creationId xmlns:a16="http://schemas.microsoft.com/office/drawing/2014/main" id="{4B9043BC-854B-4247-9756-C13025185D95}"/>
            </a:ext>
          </a:extLst>
        </xdr:cNvPr>
        <xdr:cNvSpPr txBox="1"/>
      </xdr:nvSpPr>
      <xdr:spPr>
        <a:xfrm>
          <a:off x="15906750" y="9233535"/>
          <a:ext cx="20092" cy="427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16282" cy="390883"/>
    <xdr:sp macro="" textlink="">
      <xdr:nvSpPr>
        <xdr:cNvPr id="191" name="TextBox 346">
          <a:extLst>
            <a:ext uri="{FF2B5EF4-FFF2-40B4-BE49-F238E27FC236}">
              <a16:creationId xmlns:a16="http://schemas.microsoft.com/office/drawing/2014/main" id="{2368D0BE-B316-493C-B13F-1917C4D74F6E}"/>
            </a:ext>
          </a:extLst>
        </xdr:cNvPr>
        <xdr:cNvSpPr txBox="1"/>
      </xdr:nvSpPr>
      <xdr:spPr>
        <a:xfrm>
          <a:off x="15906750" y="9233535"/>
          <a:ext cx="16282" cy="390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7078"/>
    <xdr:sp macro="" textlink="">
      <xdr:nvSpPr>
        <xdr:cNvPr id="192" name="TextBox 346">
          <a:extLst>
            <a:ext uri="{FF2B5EF4-FFF2-40B4-BE49-F238E27FC236}">
              <a16:creationId xmlns:a16="http://schemas.microsoft.com/office/drawing/2014/main" id="{9CAA4DA4-6BEB-4A5C-A6E6-EE7C7B535BFB}"/>
            </a:ext>
          </a:extLst>
        </xdr:cNvPr>
        <xdr:cNvSpPr txBox="1"/>
      </xdr:nvSpPr>
      <xdr:spPr>
        <a:xfrm>
          <a:off x="15906750" y="9233535"/>
          <a:ext cx="20092" cy="427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7078"/>
    <xdr:sp macro="" textlink="">
      <xdr:nvSpPr>
        <xdr:cNvPr id="193" name="TextBox 346">
          <a:extLst>
            <a:ext uri="{FF2B5EF4-FFF2-40B4-BE49-F238E27FC236}">
              <a16:creationId xmlns:a16="http://schemas.microsoft.com/office/drawing/2014/main" id="{BEAB32B5-B410-430F-92E7-3AEAC25561D9}"/>
            </a:ext>
          </a:extLst>
        </xdr:cNvPr>
        <xdr:cNvSpPr txBox="1"/>
      </xdr:nvSpPr>
      <xdr:spPr>
        <a:xfrm>
          <a:off x="15906750" y="9233535"/>
          <a:ext cx="20092" cy="427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16282" cy="390883"/>
    <xdr:sp macro="" textlink="">
      <xdr:nvSpPr>
        <xdr:cNvPr id="194" name="TextBox 346">
          <a:extLst>
            <a:ext uri="{FF2B5EF4-FFF2-40B4-BE49-F238E27FC236}">
              <a16:creationId xmlns:a16="http://schemas.microsoft.com/office/drawing/2014/main" id="{125DCA97-9793-47E3-B8D1-D626CA4FBF09}"/>
            </a:ext>
          </a:extLst>
        </xdr:cNvPr>
        <xdr:cNvSpPr txBox="1"/>
      </xdr:nvSpPr>
      <xdr:spPr>
        <a:xfrm>
          <a:off x="15906750" y="9233535"/>
          <a:ext cx="16282" cy="390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7078"/>
    <xdr:sp macro="" textlink="">
      <xdr:nvSpPr>
        <xdr:cNvPr id="195" name="TextBox 346">
          <a:extLst>
            <a:ext uri="{FF2B5EF4-FFF2-40B4-BE49-F238E27FC236}">
              <a16:creationId xmlns:a16="http://schemas.microsoft.com/office/drawing/2014/main" id="{BE97FEE7-5D26-46B2-BF63-CD6D295DA9A6}"/>
            </a:ext>
          </a:extLst>
        </xdr:cNvPr>
        <xdr:cNvSpPr txBox="1"/>
      </xdr:nvSpPr>
      <xdr:spPr>
        <a:xfrm>
          <a:off x="15906750" y="9233535"/>
          <a:ext cx="20092" cy="427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7078"/>
    <xdr:sp macro="" textlink="">
      <xdr:nvSpPr>
        <xdr:cNvPr id="196" name="TextBox 346">
          <a:extLst>
            <a:ext uri="{FF2B5EF4-FFF2-40B4-BE49-F238E27FC236}">
              <a16:creationId xmlns:a16="http://schemas.microsoft.com/office/drawing/2014/main" id="{0C5DB14B-BE7F-4717-A9E3-C1AF11EA3816}"/>
            </a:ext>
          </a:extLst>
        </xdr:cNvPr>
        <xdr:cNvSpPr txBox="1"/>
      </xdr:nvSpPr>
      <xdr:spPr>
        <a:xfrm>
          <a:off x="15906750" y="9233535"/>
          <a:ext cx="20092" cy="427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16282" cy="390883"/>
    <xdr:sp macro="" textlink="">
      <xdr:nvSpPr>
        <xdr:cNvPr id="197" name="TextBox 346">
          <a:extLst>
            <a:ext uri="{FF2B5EF4-FFF2-40B4-BE49-F238E27FC236}">
              <a16:creationId xmlns:a16="http://schemas.microsoft.com/office/drawing/2014/main" id="{30318454-C737-417D-A26F-CBEB964403F4}"/>
            </a:ext>
          </a:extLst>
        </xdr:cNvPr>
        <xdr:cNvSpPr txBox="1"/>
      </xdr:nvSpPr>
      <xdr:spPr>
        <a:xfrm>
          <a:off x="15906750" y="9233535"/>
          <a:ext cx="16282" cy="390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7078"/>
    <xdr:sp macro="" textlink="">
      <xdr:nvSpPr>
        <xdr:cNvPr id="198" name="TextBox 346">
          <a:extLst>
            <a:ext uri="{FF2B5EF4-FFF2-40B4-BE49-F238E27FC236}">
              <a16:creationId xmlns:a16="http://schemas.microsoft.com/office/drawing/2014/main" id="{91C37E46-7663-4AEF-AF87-1CFB30737AFC}"/>
            </a:ext>
          </a:extLst>
        </xdr:cNvPr>
        <xdr:cNvSpPr txBox="1"/>
      </xdr:nvSpPr>
      <xdr:spPr>
        <a:xfrm>
          <a:off x="15906750" y="9233535"/>
          <a:ext cx="20092" cy="427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7078"/>
    <xdr:sp macro="" textlink="">
      <xdr:nvSpPr>
        <xdr:cNvPr id="199" name="TextBox 346">
          <a:extLst>
            <a:ext uri="{FF2B5EF4-FFF2-40B4-BE49-F238E27FC236}">
              <a16:creationId xmlns:a16="http://schemas.microsoft.com/office/drawing/2014/main" id="{307ACCBB-6328-465A-816C-79B1730B09DD}"/>
            </a:ext>
          </a:extLst>
        </xdr:cNvPr>
        <xdr:cNvSpPr txBox="1"/>
      </xdr:nvSpPr>
      <xdr:spPr>
        <a:xfrm>
          <a:off x="15906750" y="9233535"/>
          <a:ext cx="20092" cy="427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16282" cy="385168"/>
    <xdr:sp macro="" textlink="">
      <xdr:nvSpPr>
        <xdr:cNvPr id="200" name="TextBox 346">
          <a:extLst>
            <a:ext uri="{FF2B5EF4-FFF2-40B4-BE49-F238E27FC236}">
              <a16:creationId xmlns:a16="http://schemas.microsoft.com/office/drawing/2014/main" id="{17BBFBD5-0F9D-494E-9C36-2BEE0EB906C1}"/>
            </a:ext>
          </a:extLst>
        </xdr:cNvPr>
        <xdr:cNvSpPr txBox="1"/>
      </xdr:nvSpPr>
      <xdr:spPr>
        <a:xfrm>
          <a:off x="15906750" y="9233535"/>
          <a:ext cx="16282" cy="385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8983"/>
    <xdr:sp macro="" textlink="">
      <xdr:nvSpPr>
        <xdr:cNvPr id="201" name="TextBox 346">
          <a:extLst>
            <a:ext uri="{FF2B5EF4-FFF2-40B4-BE49-F238E27FC236}">
              <a16:creationId xmlns:a16="http://schemas.microsoft.com/office/drawing/2014/main" id="{A5119EBC-5EA1-490C-92C3-EBC5E136C23F}"/>
            </a:ext>
          </a:extLst>
        </xdr:cNvPr>
        <xdr:cNvSpPr txBox="1"/>
      </xdr:nvSpPr>
      <xdr:spPr>
        <a:xfrm>
          <a:off x="15906750" y="9233535"/>
          <a:ext cx="20092" cy="428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8983"/>
    <xdr:sp macro="" textlink="">
      <xdr:nvSpPr>
        <xdr:cNvPr id="202" name="TextBox 346">
          <a:extLst>
            <a:ext uri="{FF2B5EF4-FFF2-40B4-BE49-F238E27FC236}">
              <a16:creationId xmlns:a16="http://schemas.microsoft.com/office/drawing/2014/main" id="{0B7403A4-B08D-4665-B5AF-C979B73FEEA0}"/>
            </a:ext>
          </a:extLst>
        </xdr:cNvPr>
        <xdr:cNvSpPr txBox="1"/>
      </xdr:nvSpPr>
      <xdr:spPr>
        <a:xfrm>
          <a:off x="15906750" y="9233535"/>
          <a:ext cx="20092" cy="428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16282" cy="385168"/>
    <xdr:sp macro="" textlink="">
      <xdr:nvSpPr>
        <xdr:cNvPr id="203" name="TextBox 346">
          <a:extLst>
            <a:ext uri="{FF2B5EF4-FFF2-40B4-BE49-F238E27FC236}">
              <a16:creationId xmlns:a16="http://schemas.microsoft.com/office/drawing/2014/main" id="{95AFA344-22A0-47FF-94A8-18F6DC4A8504}"/>
            </a:ext>
          </a:extLst>
        </xdr:cNvPr>
        <xdr:cNvSpPr txBox="1"/>
      </xdr:nvSpPr>
      <xdr:spPr>
        <a:xfrm>
          <a:off x="15906750" y="9233535"/>
          <a:ext cx="16282" cy="385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8983"/>
    <xdr:sp macro="" textlink="">
      <xdr:nvSpPr>
        <xdr:cNvPr id="204" name="TextBox 346">
          <a:extLst>
            <a:ext uri="{FF2B5EF4-FFF2-40B4-BE49-F238E27FC236}">
              <a16:creationId xmlns:a16="http://schemas.microsoft.com/office/drawing/2014/main" id="{9AD877DB-1413-44F8-9D0F-362C128888C5}"/>
            </a:ext>
          </a:extLst>
        </xdr:cNvPr>
        <xdr:cNvSpPr txBox="1"/>
      </xdr:nvSpPr>
      <xdr:spPr>
        <a:xfrm>
          <a:off x="15906750" y="9233535"/>
          <a:ext cx="20092" cy="428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8983"/>
    <xdr:sp macro="" textlink="">
      <xdr:nvSpPr>
        <xdr:cNvPr id="205" name="TextBox 346">
          <a:extLst>
            <a:ext uri="{FF2B5EF4-FFF2-40B4-BE49-F238E27FC236}">
              <a16:creationId xmlns:a16="http://schemas.microsoft.com/office/drawing/2014/main" id="{C0C25595-E601-4C01-A6A3-148152901DE1}"/>
            </a:ext>
          </a:extLst>
        </xdr:cNvPr>
        <xdr:cNvSpPr txBox="1"/>
      </xdr:nvSpPr>
      <xdr:spPr>
        <a:xfrm>
          <a:off x="15906750" y="9233535"/>
          <a:ext cx="20092" cy="428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16282" cy="385168"/>
    <xdr:sp macro="" textlink="">
      <xdr:nvSpPr>
        <xdr:cNvPr id="206" name="TextBox 346">
          <a:extLst>
            <a:ext uri="{FF2B5EF4-FFF2-40B4-BE49-F238E27FC236}">
              <a16:creationId xmlns:a16="http://schemas.microsoft.com/office/drawing/2014/main" id="{5A35B20A-400C-4D66-9C36-36FF62DAB4A9}"/>
            </a:ext>
          </a:extLst>
        </xdr:cNvPr>
        <xdr:cNvSpPr txBox="1"/>
      </xdr:nvSpPr>
      <xdr:spPr>
        <a:xfrm>
          <a:off x="15906750" y="9233535"/>
          <a:ext cx="16282" cy="385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8983"/>
    <xdr:sp macro="" textlink="">
      <xdr:nvSpPr>
        <xdr:cNvPr id="207" name="TextBox 346">
          <a:extLst>
            <a:ext uri="{FF2B5EF4-FFF2-40B4-BE49-F238E27FC236}">
              <a16:creationId xmlns:a16="http://schemas.microsoft.com/office/drawing/2014/main" id="{9659D8ED-04E3-48CE-83A5-CFB4186290A6}"/>
            </a:ext>
          </a:extLst>
        </xdr:cNvPr>
        <xdr:cNvSpPr txBox="1"/>
      </xdr:nvSpPr>
      <xdr:spPr>
        <a:xfrm>
          <a:off x="15906750" y="9233535"/>
          <a:ext cx="20092" cy="428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8983"/>
    <xdr:sp macro="" textlink="">
      <xdr:nvSpPr>
        <xdr:cNvPr id="208" name="TextBox 346">
          <a:extLst>
            <a:ext uri="{FF2B5EF4-FFF2-40B4-BE49-F238E27FC236}">
              <a16:creationId xmlns:a16="http://schemas.microsoft.com/office/drawing/2014/main" id="{139381B9-5B28-4185-9255-21A2A440EB18}"/>
            </a:ext>
          </a:extLst>
        </xdr:cNvPr>
        <xdr:cNvSpPr txBox="1"/>
      </xdr:nvSpPr>
      <xdr:spPr>
        <a:xfrm>
          <a:off x="15906750" y="9233535"/>
          <a:ext cx="20092" cy="428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16282" cy="385168"/>
    <xdr:sp macro="" textlink="">
      <xdr:nvSpPr>
        <xdr:cNvPr id="209" name="TextBox 346">
          <a:extLst>
            <a:ext uri="{FF2B5EF4-FFF2-40B4-BE49-F238E27FC236}">
              <a16:creationId xmlns:a16="http://schemas.microsoft.com/office/drawing/2014/main" id="{3545BEE3-305D-4281-89FC-B422368DED69}"/>
            </a:ext>
          </a:extLst>
        </xdr:cNvPr>
        <xdr:cNvSpPr txBox="1"/>
      </xdr:nvSpPr>
      <xdr:spPr>
        <a:xfrm>
          <a:off x="15906750" y="9233535"/>
          <a:ext cx="16282" cy="385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8983"/>
    <xdr:sp macro="" textlink="">
      <xdr:nvSpPr>
        <xdr:cNvPr id="210" name="TextBox 346">
          <a:extLst>
            <a:ext uri="{FF2B5EF4-FFF2-40B4-BE49-F238E27FC236}">
              <a16:creationId xmlns:a16="http://schemas.microsoft.com/office/drawing/2014/main" id="{1ACA48C1-099F-4D1C-9EC5-C1C6069B8F9F}"/>
            </a:ext>
          </a:extLst>
        </xdr:cNvPr>
        <xdr:cNvSpPr txBox="1"/>
      </xdr:nvSpPr>
      <xdr:spPr>
        <a:xfrm>
          <a:off x="15906750" y="9233535"/>
          <a:ext cx="20092" cy="428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oneCellAnchor>
    <xdr:from>
      <xdr:col>19</xdr:col>
      <xdr:colOff>0</xdr:colOff>
      <xdr:row>27</xdr:row>
      <xdr:rowOff>365760</xdr:rowOff>
    </xdr:from>
    <xdr:ext cx="20092" cy="428983"/>
    <xdr:sp macro="" textlink="">
      <xdr:nvSpPr>
        <xdr:cNvPr id="211" name="TextBox 346">
          <a:extLst>
            <a:ext uri="{FF2B5EF4-FFF2-40B4-BE49-F238E27FC236}">
              <a16:creationId xmlns:a16="http://schemas.microsoft.com/office/drawing/2014/main" id="{37D73814-ED4B-4750-93AC-68353748EFD1}"/>
            </a:ext>
          </a:extLst>
        </xdr:cNvPr>
        <xdr:cNvSpPr txBox="1"/>
      </xdr:nvSpPr>
      <xdr:spPr>
        <a:xfrm>
          <a:off x="15906750" y="9233535"/>
          <a:ext cx="20092" cy="428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oneCellAnchor>
  <xdr:twoCellAnchor>
    <xdr:from>
      <xdr:col>17</xdr:col>
      <xdr:colOff>374506</xdr:colOff>
      <xdr:row>28</xdr:row>
      <xdr:rowOff>95230</xdr:rowOff>
    </xdr:from>
    <xdr:to>
      <xdr:col>17</xdr:col>
      <xdr:colOff>818553</xdr:colOff>
      <xdr:row>29</xdr:row>
      <xdr:rowOff>59531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A84C084-B15B-4E15-86E8-97A1FE028509}"/>
            </a:ext>
          </a:extLst>
        </xdr:cNvPr>
        <xdr:cNvSpPr txBox="1"/>
      </xdr:nvSpPr>
      <xdr:spPr>
        <a:xfrm>
          <a:off x="13690456" y="9344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18</xdr:row>
      <xdr:rowOff>95230</xdr:rowOff>
    </xdr:from>
    <xdr:to>
      <xdr:col>17</xdr:col>
      <xdr:colOff>818553</xdr:colOff>
      <xdr:row>19</xdr:row>
      <xdr:rowOff>59531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7D5A5B3-F082-4189-852F-5E34555BEFBD}"/>
            </a:ext>
          </a:extLst>
        </xdr:cNvPr>
        <xdr:cNvSpPr txBox="1"/>
      </xdr:nvSpPr>
      <xdr:spPr>
        <a:xfrm>
          <a:off x="13690456" y="5534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18</xdr:row>
      <xdr:rowOff>95230</xdr:rowOff>
    </xdr:from>
    <xdr:to>
      <xdr:col>17</xdr:col>
      <xdr:colOff>818553</xdr:colOff>
      <xdr:row>19</xdr:row>
      <xdr:rowOff>59531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EDCB02EB-1E4D-4769-8839-038361FA99E1}"/>
            </a:ext>
          </a:extLst>
        </xdr:cNvPr>
        <xdr:cNvSpPr txBox="1"/>
      </xdr:nvSpPr>
      <xdr:spPr>
        <a:xfrm>
          <a:off x="13690456" y="5534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18</xdr:row>
      <xdr:rowOff>95230</xdr:rowOff>
    </xdr:from>
    <xdr:to>
      <xdr:col>17</xdr:col>
      <xdr:colOff>818553</xdr:colOff>
      <xdr:row>19</xdr:row>
      <xdr:rowOff>59531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8324A13F-5763-4F45-ADE2-851DE621B928}"/>
            </a:ext>
          </a:extLst>
        </xdr:cNvPr>
        <xdr:cNvSpPr txBox="1"/>
      </xdr:nvSpPr>
      <xdr:spPr>
        <a:xfrm>
          <a:off x="13690456" y="5534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26</xdr:row>
      <xdr:rowOff>734780</xdr:rowOff>
    </xdr:from>
    <xdr:to>
      <xdr:col>17</xdr:col>
      <xdr:colOff>641776</xdr:colOff>
      <xdr:row>29</xdr:row>
      <xdr:rowOff>160421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315646D1-B5C3-429F-9500-2CA5345EA073}"/>
            </a:ext>
          </a:extLst>
        </xdr:cNvPr>
        <xdr:cNvSpPr txBox="1"/>
      </xdr:nvSpPr>
      <xdr:spPr>
        <a:xfrm>
          <a:off x="13943349" y="8869130"/>
          <a:ext cx="14377" cy="92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26</xdr:row>
      <xdr:rowOff>734780</xdr:rowOff>
    </xdr:from>
    <xdr:to>
      <xdr:col>17</xdr:col>
      <xdr:colOff>641776</xdr:colOff>
      <xdr:row>29</xdr:row>
      <xdr:rowOff>160421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A0192895-5906-4351-A8EA-9176B01A50CC}"/>
            </a:ext>
          </a:extLst>
        </xdr:cNvPr>
        <xdr:cNvSpPr txBox="1"/>
      </xdr:nvSpPr>
      <xdr:spPr>
        <a:xfrm>
          <a:off x="13943349" y="8869130"/>
          <a:ext cx="14377" cy="92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29</xdr:row>
      <xdr:rowOff>95230</xdr:rowOff>
    </xdr:from>
    <xdr:to>
      <xdr:col>17</xdr:col>
      <xdr:colOff>818553</xdr:colOff>
      <xdr:row>30</xdr:row>
      <xdr:rowOff>59531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9FC5FDA4-A3F8-4906-BA86-28070C43C858}"/>
            </a:ext>
          </a:extLst>
        </xdr:cNvPr>
        <xdr:cNvSpPr txBox="1"/>
      </xdr:nvSpPr>
      <xdr:spPr>
        <a:xfrm>
          <a:off x="13690456" y="9725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30</xdr:row>
      <xdr:rowOff>95230</xdr:rowOff>
    </xdr:from>
    <xdr:to>
      <xdr:col>17</xdr:col>
      <xdr:colOff>818553</xdr:colOff>
      <xdr:row>31</xdr:row>
      <xdr:rowOff>59531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6DC03C34-A2DC-4443-9B69-33EAEB8B2AAF}"/>
            </a:ext>
          </a:extLst>
        </xdr:cNvPr>
        <xdr:cNvSpPr txBox="1"/>
      </xdr:nvSpPr>
      <xdr:spPr>
        <a:xfrm>
          <a:off x="13690456" y="10106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28</xdr:row>
      <xdr:rowOff>734780</xdr:rowOff>
    </xdr:from>
    <xdr:to>
      <xdr:col>17</xdr:col>
      <xdr:colOff>641776</xdr:colOff>
      <xdr:row>31</xdr:row>
      <xdr:rowOff>160421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43E6C990-86C0-41B1-ADF6-8D90D2DF46D7}"/>
            </a:ext>
          </a:extLst>
        </xdr:cNvPr>
        <xdr:cNvSpPr txBox="1"/>
      </xdr:nvSpPr>
      <xdr:spPr>
        <a:xfrm>
          <a:off x="13943349" y="9631130"/>
          <a:ext cx="14377" cy="92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28</xdr:row>
      <xdr:rowOff>734780</xdr:rowOff>
    </xdr:from>
    <xdr:to>
      <xdr:col>17</xdr:col>
      <xdr:colOff>641776</xdr:colOff>
      <xdr:row>31</xdr:row>
      <xdr:rowOff>160421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EB6FC5B6-FEEF-416C-BE7D-C4202F325025}"/>
            </a:ext>
          </a:extLst>
        </xdr:cNvPr>
        <xdr:cNvSpPr txBox="1"/>
      </xdr:nvSpPr>
      <xdr:spPr>
        <a:xfrm>
          <a:off x="13943349" y="9631130"/>
          <a:ext cx="14377" cy="92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30</xdr:row>
      <xdr:rowOff>95230</xdr:rowOff>
    </xdr:from>
    <xdr:to>
      <xdr:col>17</xdr:col>
      <xdr:colOff>818553</xdr:colOff>
      <xdr:row>31</xdr:row>
      <xdr:rowOff>59531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2562D9B7-8861-491F-97AE-1642872C8BE9}"/>
            </a:ext>
          </a:extLst>
        </xdr:cNvPr>
        <xdr:cNvSpPr txBox="1"/>
      </xdr:nvSpPr>
      <xdr:spPr>
        <a:xfrm>
          <a:off x="13690456" y="10106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31</xdr:row>
      <xdr:rowOff>95230</xdr:rowOff>
    </xdr:from>
    <xdr:to>
      <xdr:col>17</xdr:col>
      <xdr:colOff>818553</xdr:colOff>
      <xdr:row>32</xdr:row>
      <xdr:rowOff>59531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E57C8F43-29F3-4F7F-8173-6C956AC8ED1F}"/>
            </a:ext>
          </a:extLst>
        </xdr:cNvPr>
        <xdr:cNvSpPr txBox="1"/>
      </xdr:nvSpPr>
      <xdr:spPr>
        <a:xfrm>
          <a:off x="13690456" y="10487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29</xdr:row>
      <xdr:rowOff>734780</xdr:rowOff>
    </xdr:from>
    <xdr:to>
      <xdr:col>17</xdr:col>
      <xdr:colOff>641776</xdr:colOff>
      <xdr:row>32</xdr:row>
      <xdr:rowOff>160421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2C102962-132B-45D1-BB3B-6662B0053F5E}"/>
            </a:ext>
          </a:extLst>
        </xdr:cNvPr>
        <xdr:cNvSpPr txBox="1"/>
      </xdr:nvSpPr>
      <xdr:spPr>
        <a:xfrm>
          <a:off x="13943349" y="10012130"/>
          <a:ext cx="14377" cy="92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29</xdr:row>
      <xdr:rowOff>734780</xdr:rowOff>
    </xdr:from>
    <xdr:to>
      <xdr:col>17</xdr:col>
      <xdr:colOff>641776</xdr:colOff>
      <xdr:row>32</xdr:row>
      <xdr:rowOff>160421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27438078-D5EE-4BEC-A06F-87B2E373510E}"/>
            </a:ext>
          </a:extLst>
        </xdr:cNvPr>
        <xdr:cNvSpPr txBox="1"/>
      </xdr:nvSpPr>
      <xdr:spPr>
        <a:xfrm>
          <a:off x="13943349" y="10012130"/>
          <a:ext cx="14377" cy="92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31</xdr:row>
      <xdr:rowOff>95230</xdr:rowOff>
    </xdr:from>
    <xdr:to>
      <xdr:col>17</xdr:col>
      <xdr:colOff>818553</xdr:colOff>
      <xdr:row>32</xdr:row>
      <xdr:rowOff>59531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1159B080-D466-40B6-82DE-A43DD48232E1}"/>
            </a:ext>
          </a:extLst>
        </xdr:cNvPr>
        <xdr:cNvSpPr txBox="1"/>
      </xdr:nvSpPr>
      <xdr:spPr>
        <a:xfrm>
          <a:off x="13690456" y="10487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374506</xdr:colOff>
      <xdr:row>32</xdr:row>
      <xdr:rowOff>95230</xdr:rowOff>
    </xdr:from>
    <xdr:to>
      <xdr:col>17</xdr:col>
      <xdr:colOff>818553</xdr:colOff>
      <xdr:row>33</xdr:row>
      <xdr:rowOff>59531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F0ED774E-5789-45CD-B794-FEA29B178AF2}"/>
            </a:ext>
          </a:extLst>
        </xdr:cNvPr>
        <xdr:cNvSpPr txBox="1"/>
      </xdr:nvSpPr>
      <xdr:spPr>
        <a:xfrm>
          <a:off x="13690456" y="10868005"/>
          <a:ext cx="444047" cy="34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30</xdr:row>
      <xdr:rowOff>734780</xdr:rowOff>
    </xdr:from>
    <xdr:to>
      <xdr:col>17</xdr:col>
      <xdr:colOff>641776</xdr:colOff>
      <xdr:row>33</xdr:row>
      <xdr:rowOff>160421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455CB340-C316-464F-B809-0E5BC727CCD2}"/>
            </a:ext>
          </a:extLst>
        </xdr:cNvPr>
        <xdr:cNvSpPr txBox="1"/>
      </xdr:nvSpPr>
      <xdr:spPr>
        <a:xfrm>
          <a:off x="13943349" y="10393130"/>
          <a:ext cx="14377" cy="92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  <xdr:twoCellAnchor>
    <xdr:from>
      <xdr:col>17</xdr:col>
      <xdr:colOff>627399</xdr:colOff>
      <xdr:row>30</xdr:row>
      <xdr:rowOff>734780</xdr:rowOff>
    </xdr:from>
    <xdr:to>
      <xdr:col>17</xdr:col>
      <xdr:colOff>641776</xdr:colOff>
      <xdr:row>33</xdr:row>
      <xdr:rowOff>160421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D72E9C99-B562-4242-ABCC-415C054DAB24}"/>
            </a:ext>
          </a:extLst>
        </xdr:cNvPr>
        <xdr:cNvSpPr txBox="1"/>
      </xdr:nvSpPr>
      <xdr:spPr>
        <a:xfrm>
          <a:off x="13943349" y="10393130"/>
          <a:ext cx="14377" cy="92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altLang="ko-KR" sz="1300" baseline="0">
            <a:solidFill>
              <a:srgbClr val="0000FF"/>
            </a:solidFill>
            <a:latin typeface="현대산스 Text OTF" panose="020B0600000101010101" pitchFamily="34" charset="-127"/>
            <a:ea typeface="현대산스 Text OTF" panose="020B0600000101010101" pitchFamily="34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9525</xdr:colOff>
      <xdr:row>1</xdr:row>
      <xdr:rowOff>114300</xdr:rowOff>
    </xdr:from>
    <xdr:to>
      <xdr:col>63</xdr:col>
      <xdr:colOff>2702</xdr:colOff>
      <xdr:row>2</xdr:row>
      <xdr:rowOff>17525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943725" y="276225"/>
          <a:ext cx="1460027" cy="13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18</xdr:col>
      <xdr:colOff>117660</xdr:colOff>
      <xdr:row>0</xdr:row>
      <xdr:rowOff>129764</xdr:rowOff>
    </xdr:from>
    <xdr:to>
      <xdr:col>48</xdr:col>
      <xdr:colOff>44822</xdr:colOff>
      <xdr:row>2</xdr:row>
      <xdr:rowOff>212912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538131" y="129764"/>
          <a:ext cx="3961279" cy="464148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latin typeface="+mn-ea"/>
              <a:ea typeface="+mn-ea"/>
            </a:rPr>
            <a:t>롯데캐피탈 장기렌터카 견적서</a:t>
          </a:r>
        </a:p>
      </xdr:txBody>
    </xdr:sp>
    <xdr:clientData/>
  </xdr:twoCellAnchor>
  <xdr:twoCellAnchor editAs="oneCell">
    <xdr:from>
      <xdr:col>1</xdr:col>
      <xdr:colOff>43305</xdr:colOff>
      <xdr:row>1</xdr:row>
      <xdr:rowOff>41999</xdr:rowOff>
    </xdr:from>
    <xdr:to>
      <xdr:col>9</xdr:col>
      <xdr:colOff>23930</xdr:colOff>
      <xdr:row>2</xdr:row>
      <xdr:rowOff>122674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55" y="203924"/>
          <a:ext cx="1047425" cy="3092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71</xdr:col>
          <xdr:colOff>152400</xdr:colOff>
          <xdr:row>9</xdr:row>
          <xdr:rowOff>400050</xdr:rowOff>
        </xdr:from>
        <xdr:to>
          <xdr:col>73</xdr:col>
          <xdr:colOff>66675</xdr:colOff>
          <xdr:row>11</xdr:row>
          <xdr:rowOff>38100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77</xdr:col>
          <xdr:colOff>180975</xdr:colOff>
          <xdr:row>15</xdr:row>
          <xdr:rowOff>228600</xdr:rowOff>
        </xdr:from>
        <xdr:to>
          <xdr:col>80</xdr:col>
          <xdr:colOff>247650</xdr:colOff>
          <xdr:row>17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(선택)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180975</xdr:colOff>
          <xdr:row>15</xdr:row>
          <xdr:rowOff>228600</xdr:rowOff>
        </xdr:from>
        <xdr:to>
          <xdr:col>88</xdr:col>
          <xdr:colOff>247650</xdr:colOff>
          <xdr:row>17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(선택)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93</xdr:col>
          <xdr:colOff>171450</xdr:colOff>
          <xdr:row>15</xdr:row>
          <xdr:rowOff>228600</xdr:rowOff>
        </xdr:from>
        <xdr:to>
          <xdr:col>153</xdr:col>
          <xdr:colOff>38100</xdr:colOff>
          <xdr:row>17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(선택)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40156</xdr:colOff>
      <xdr:row>8</xdr:row>
      <xdr:rowOff>11208</xdr:rowOff>
    </xdr:from>
    <xdr:to>
      <xdr:col>2</xdr:col>
      <xdr:colOff>594752</xdr:colOff>
      <xdr:row>9</xdr:row>
      <xdr:rowOff>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81" y="1620933"/>
          <a:ext cx="1602346" cy="245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5" tint="0.79998168889431442"/>
  </sheetPr>
  <dimension ref="A1:Q33"/>
  <sheetViews>
    <sheetView showGridLines="0" zoomScaleNormal="100" zoomScaleSheetLayoutView="100" workbookViewId="0">
      <selection activeCell="BV7" sqref="BV7:CC7"/>
    </sheetView>
  </sheetViews>
  <sheetFormatPr defaultColWidth="0" defaultRowHeight="16.5" zeroHeight="1"/>
  <cols>
    <col min="1" max="1" width="2" customWidth="1"/>
    <col min="2" max="2" width="15.5" customWidth="1"/>
    <col min="3" max="3" width="10.5" bestFit="1" customWidth="1"/>
    <col min="4" max="4" width="9.5" customWidth="1"/>
    <col min="5" max="5" width="11.625" bestFit="1" customWidth="1"/>
    <col min="6" max="6" width="16.25" customWidth="1"/>
    <col min="7" max="7" width="10.25" bestFit="1" customWidth="1"/>
    <col min="8" max="8" width="27.5" bestFit="1" customWidth="1"/>
    <col min="9" max="9" width="34.25" customWidth="1"/>
    <col min="10" max="10" width="2" customWidth="1"/>
    <col min="11" max="17" width="9" hidden="1"/>
  </cols>
  <sheetData>
    <row r="1" spans="1:10"/>
    <row r="2" spans="1:10" ht="31.5">
      <c r="F2" s="183" t="s">
        <v>1622</v>
      </c>
    </row>
    <row r="3" spans="1:10" ht="31.5">
      <c r="F3" s="183" t="s">
        <v>1623</v>
      </c>
    </row>
    <row r="4" spans="1:10">
      <c r="A4" s="87"/>
      <c r="B4" s="87"/>
      <c r="C4" s="87"/>
      <c r="D4" s="87"/>
      <c r="E4" s="87"/>
      <c r="F4" s="87"/>
      <c r="G4" s="87"/>
      <c r="H4" s="87"/>
      <c r="I4" s="87"/>
      <c r="J4" s="87"/>
    </row>
    <row r="5" spans="1:10" ht="24">
      <c r="A5" s="87"/>
      <c r="B5" s="898">
        <v>45658</v>
      </c>
      <c r="C5" s="898"/>
      <c r="D5" s="898"/>
      <c r="E5" s="898"/>
      <c r="F5" s="898"/>
      <c r="G5" s="898"/>
      <c r="H5" s="898"/>
      <c r="I5" s="898"/>
      <c r="J5" s="87"/>
    </row>
    <row r="6" spans="1:10">
      <c r="A6" s="176"/>
      <c r="B6" s="89"/>
      <c r="C6" s="176"/>
      <c r="D6" s="176"/>
      <c r="E6" s="176"/>
      <c r="F6" s="176"/>
      <c r="G6" s="176"/>
      <c r="H6" s="176"/>
      <c r="I6" s="176"/>
      <c r="J6" s="176"/>
    </row>
    <row r="7" spans="1:10" s="178" customFormat="1">
      <c r="A7" s="176"/>
      <c r="B7" s="903" t="s">
        <v>1732</v>
      </c>
      <c r="C7" s="904"/>
      <c r="D7" s="904"/>
      <c r="E7" s="904"/>
      <c r="F7" s="904"/>
      <c r="G7" s="904"/>
      <c r="H7" s="904"/>
      <c r="I7" s="904"/>
      <c r="J7" s="176"/>
    </row>
    <row r="8" spans="1:10" ht="16.5" customHeight="1">
      <c r="A8" s="176"/>
      <c r="B8" s="905" t="s">
        <v>2280</v>
      </c>
      <c r="C8" s="906"/>
      <c r="D8" s="906"/>
      <c r="E8" s="906"/>
      <c r="F8" s="906"/>
      <c r="G8" s="906"/>
      <c r="H8" s="906"/>
      <c r="I8" s="906"/>
      <c r="J8" s="176"/>
    </row>
    <row r="9" spans="1:10" ht="16.5" customHeight="1">
      <c r="A9" s="176"/>
      <c r="B9" s="907"/>
      <c r="C9" s="908"/>
      <c r="D9" s="908"/>
      <c r="E9" s="908"/>
      <c r="F9" s="908"/>
      <c r="G9" s="908"/>
      <c r="H9" s="908"/>
      <c r="I9" s="908"/>
      <c r="J9" s="176"/>
    </row>
    <row r="10" spans="1:10" ht="16.5" customHeight="1">
      <c r="A10" s="176"/>
      <c r="B10" s="907"/>
      <c r="C10" s="908"/>
      <c r="D10" s="908"/>
      <c r="E10" s="908"/>
      <c r="F10" s="908"/>
      <c r="G10" s="908"/>
      <c r="H10" s="908"/>
      <c r="I10" s="908"/>
      <c r="J10" s="176"/>
    </row>
    <row r="11" spans="1:10" ht="16.5" customHeight="1">
      <c r="A11" s="176"/>
      <c r="B11" s="907"/>
      <c r="C11" s="908"/>
      <c r="D11" s="908"/>
      <c r="E11" s="908"/>
      <c r="F11" s="908"/>
      <c r="G11" s="908"/>
      <c r="H11" s="908"/>
      <c r="I11" s="908"/>
      <c r="J11" s="176"/>
    </row>
    <row r="12" spans="1:10" ht="16.5" customHeight="1">
      <c r="A12" s="176"/>
      <c r="B12" s="907"/>
      <c r="C12" s="908"/>
      <c r="D12" s="908"/>
      <c r="E12" s="908"/>
      <c r="F12" s="908"/>
      <c r="G12" s="908"/>
      <c r="H12" s="908"/>
      <c r="I12" s="908"/>
      <c r="J12" s="176"/>
    </row>
    <row r="13" spans="1:10" ht="16.5" customHeight="1">
      <c r="A13" s="176"/>
      <c r="B13" s="907"/>
      <c r="C13" s="908"/>
      <c r="D13" s="908"/>
      <c r="E13" s="908"/>
      <c r="F13" s="908"/>
      <c r="G13" s="908"/>
      <c r="H13" s="908"/>
      <c r="I13" s="908"/>
      <c r="J13" s="176"/>
    </row>
    <row r="14" spans="1:10" ht="16.5" customHeight="1">
      <c r="A14" s="176"/>
      <c r="B14" s="907"/>
      <c r="C14" s="908"/>
      <c r="D14" s="908"/>
      <c r="E14" s="908"/>
      <c r="F14" s="908"/>
      <c r="G14" s="908"/>
      <c r="H14" s="908"/>
      <c r="I14" s="908"/>
      <c r="J14" s="176"/>
    </row>
    <row r="15" spans="1:10" ht="16.5" customHeight="1">
      <c r="A15" s="176"/>
      <c r="B15" s="907"/>
      <c r="C15" s="908"/>
      <c r="D15" s="908"/>
      <c r="E15" s="908"/>
      <c r="F15" s="908"/>
      <c r="G15" s="908"/>
      <c r="H15" s="908"/>
      <c r="I15" s="908"/>
      <c r="J15" s="176"/>
    </row>
    <row r="16" spans="1:10" ht="16.5" customHeight="1">
      <c r="A16" s="176"/>
      <c r="B16" s="909"/>
      <c r="C16" s="910"/>
      <c r="D16" s="910"/>
      <c r="E16" s="910"/>
      <c r="F16" s="910"/>
      <c r="G16" s="910"/>
      <c r="H16" s="910"/>
      <c r="I16" s="910"/>
      <c r="J16" s="176"/>
    </row>
    <row r="17" spans="1:10">
      <c r="A17" s="176"/>
      <c r="B17" s="30"/>
      <c r="C17" s="32"/>
      <c r="D17" s="31"/>
      <c r="E17" s="31"/>
      <c r="F17" s="30"/>
      <c r="G17" s="84"/>
      <c r="H17" s="176"/>
      <c r="I17" s="176"/>
      <c r="J17" s="176"/>
    </row>
    <row r="18" spans="1:10">
      <c r="A18" s="176"/>
      <c r="B18" s="893" t="s">
        <v>1464</v>
      </c>
      <c r="C18" s="893"/>
      <c r="D18" s="893"/>
      <c r="E18" s="893"/>
      <c r="F18" s="893"/>
      <c r="G18" s="893"/>
      <c r="H18" s="893"/>
      <c r="I18" s="893"/>
      <c r="J18" s="176"/>
    </row>
    <row r="19" spans="1:10">
      <c r="A19" s="177"/>
      <c r="B19" s="194" t="s">
        <v>1586</v>
      </c>
      <c r="C19" s="890" t="s">
        <v>1587</v>
      </c>
      <c r="D19" s="891"/>
      <c r="E19" s="892"/>
      <c r="F19" s="179" t="s">
        <v>1586</v>
      </c>
      <c r="G19" s="890" t="s">
        <v>1594</v>
      </c>
      <c r="H19" s="892"/>
      <c r="I19" s="193" t="s">
        <v>1588</v>
      </c>
      <c r="J19" s="177"/>
    </row>
    <row r="20" spans="1:10">
      <c r="A20" s="177"/>
      <c r="B20" s="194" t="s">
        <v>1592</v>
      </c>
      <c r="C20" s="889" t="s">
        <v>1375</v>
      </c>
      <c r="D20" s="888"/>
      <c r="E20" s="897"/>
      <c r="F20" s="179" t="s">
        <v>1368</v>
      </c>
      <c r="G20" s="895" t="s">
        <v>1627</v>
      </c>
      <c r="H20" s="896"/>
      <c r="I20" s="200" t="s">
        <v>2135</v>
      </c>
      <c r="J20" s="177"/>
    </row>
    <row r="21" spans="1:10">
      <c r="A21" s="177"/>
      <c r="B21" s="194" t="s">
        <v>1589</v>
      </c>
      <c r="C21" s="889" t="s">
        <v>1591</v>
      </c>
      <c r="D21" s="888"/>
      <c r="E21" s="897"/>
      <c r="F21" s="179" t="s">
        <v>1618</v>
      </c>
      <c r="G21" s="901" t="s">
        <v>1733</v>
      </c>
      <c r="H21" s="902"/>
      <c r="I21" s="201"/>
      <c r="J21" s="177"/>
    </row>
    <row r="22" spans="1:10">
      <c r="A22" s="177"/>
      <c r="B22" s="194" t="s">
        <v>88</v>
      </c>
      <c r="C22" s="889" t="s">
        <v>1723</v>
      </c>
      <c r="D22" s="888"/>
      <c r="E22" s="897"/>
      <c r="F22" s="179" t="s">
        <v>1725</v>
      </c>
      <c r="G22" s="895" t="s">
        <v>1726</v>
      </c>
      <c r="H22" s="896"/>
      <c r="I22" s="200"/>
      <c r="J22" s="177"/>
    </row>
    <row r="23" spans="1:10">
      <c r="A23" s="177"/>
      <c r="B23" s="194" t="s">
        <v>1590</v>
      </c>
      <c r="C23" s="889" t="s">
        <v>1724</v>
      </c>
      <c r="D23" s="888"/>
      <c r="E23" s="897"/>
      <c r="F23" s="179" t="s">
        <v>1539</v>
      </c>
      <c r="G23" s="895" t="s">
        <v>2088</v>
      </c>
      <c r="H23" s="896"/>
      <c r="I23" s="201"/>
      <c r="J23" s="177"/>
    </row>
    <row r="24" spans="1:10">
      <c r="A24" s="177"/>
      <c r="B24" s="194" t="s">
        <v>95</v>
      </c>
      <c r="C24" s="889" t="s">
        <v>1593</v>
      </c>
      <c r="D24" s="888"/>
      <c r="E24" s="897"/>
      <c r="F24" s="179" t="s">
        <v>1595</v>
      </c>
      <c r="G24" s="895" t="s">
        <v>1596</v>
      </c>
      <c r="H24" s="896"/>
      <c r="I24" s="200" t="s">
        <v>1597</v>
      </c>
      <c r="J24" s="177"/>
    </row>
    <row r="25" spans="1:10">
      <c r="A25" s="177"/>
      <c r="B25" s="33"/>
      <c r="C25" s="180"/>
      <c r="D25" s="180"/>
      <c r="E25" s="180"/>
      <c r="F25" s="33"/>
      <c r="G25" s="33"/>
      <c r="H25" s="33"/>
      <c r="I25" s="180"/>
      <c r="J25" s="177"/>
    </row>
    <row r="26" spans="1:10">
      <c r="A26" s="177"/>
      <c r="B26" s="181"/>
      <c r="C26" s="181"/>
      <c r="D26" s="894"/>
      <c r="E26" s="894"/>
      <c r="F26" s="894"/>
      <c r="G26" s="894"/>
      <c r="H26" s="894"/>
      <c r="I26" s="182"/>
      <c r="J26" s="177"/>
    </row>
    <row r="27" spans="1:10">
      <c r="A27" s="176"/>
      <c r="B27" s="893" t="s">
        <v>1601</v>
      </c>
      <c r="C27" s="893"/>
      <c r="D27" s="893"/>
      <c r="E27" s="893"/>
      <c r="F27" s="893"/>
      <c r="G27" s="893"/>
      <c r="H27" s="893"/>
      <c r="I27" s="893"/>
      <c r="J27" s="176"/>
    </row>
    <row r="28" spans="1:10">
      <c r="A28" s="177"/>
      <c r="B28" s="194" t="s">
        <v>1586</v>
      </c>
      <c r="C28" s="890" t="s">
        <v>1587</v>
      </c>
      <c r="D28" s="891"/>
      <c r="E28" s="891"/>
      <c r="F28" s="891"/>
      <c r="G28" s="891"/>
      <c r="H28" s="891"/>
      <c r="I28" s="891"/>
      <c r="J28" s="177"/>
    </row>
    <row r="29" spans="1:10" ht="50.1" customHeight="1">
      <c r="A29" s="177"/>
      <c r="B29" s="195" t="s">
        <v>1598</v>
      </c>
      <c r="C29" s="899" t="s">
        <v>3055</v>
      </c>
      <c r="D29" s="900"/>
      <c r="E29" s="900"/>
      <c r="F29" s="900"/>
      <c r="G29" s="900"/>
      <c r="H29" s="900"/>
      <c r="I29" s="900"/>
      <c r="J29" s="177"/>
    </row>
    <row r="30" spans="1:10" ht="50.1" customHeight="1">
      <c r="A30" s="177"/>
      <c r="B30" s="194" t="s">
        <v>2279</v>
      </c>
      <c r="C30" s="887" t="s">
        <v>3056</v>
      </c>
      <c r="D30" s="888"/>
      <c r="E30" s="888"/>
      <c r="F30" s="888"/>
      <c r="G30" s="888"/>
      <c r="H30" s="888"/>
      <c r="I30" s="888"/>
      <c r="J30" s="177"/>
    </row>
    <row r="31" spans="1:10" ht="30" customHeight="1">
      <c r="A31" s="177"/>
      <c r="B31" s="194" t="s">
        <v>1599</v>
      </c>
      <c r="C31" s="889" t="s">
        <v>2278</v>
      </c>
      <c r="D31" s="888"/>
      <c r="E31" s="888"/>
      <c r="F31" s="888"/>
      <c r="G31" s="888"/>
      <c r="H31" s="888"/>
      <c r="I31" s="888"/>
      <c r="J31" s="177"/>
    </row>
    <row r="32" spans="1:10" ht="30" customHeight="1">
      <c r="A32" s="177"/>
      <c r="B32" s="194" t="s">
        <v>1600</v>
      </c>
      <c r="C32" s="889" t="s">
        <v>2281</v>
      </c>
      <c r="D32" s="888"/>
      <c r="E32" s="888"/>
      <c r="F32" s="888"/>
      <c r="G32" s="888"/>
      <c r="H32" s="888"/>
      <c r="I32" s="888"/>
      <c r="J32" s="177"/>
    </row>
    <row r="33" spans="2:9" ht="30" customHeight="1">
      <c r="B33" s="194" t="s">
        <v>2139</v>
      </c>
      <c r="C33" s="889" t="s">
        <v>3057</v>
      </c>
      <c r="D33" s="888"/>
      <c r="E33" s="888"/>
      <c r="F33" s="888"/>
      <c r="G33" s="888"/>
      <c r="H33" s="888"/>
      <c r="I33" s="888"/>
    </row>
  </sheetData>
  <mergeCells count="24">
    <mergeCell ref="C33:I33"/>
    <mergeCell ref="B5:I5"/>
    <mergeCell ref="C29:I29"/>
    <mergeCell ref="C28:I28"/>
    <mergeCell ref="B18:I18"/>
    <mergeCell ref="G21:H21"/>
    <mergeCell ref="G22:H22"/>
    <mergeCell ref="G23:H23"/>
    <mergeCell ref="B7:I7"/>
    <mergeCell ref="B8:I16"/>
    <mergeCell ref="C32:I32"/>
    <mergeCell ref="G19:H19"/>
    <mergeCell ref="C20:E20"/>
    <mergeCell ref="C21:E21"/>
    <mergeCell ref="C22:E22"/>
    <mergeCell ref="C23:E23"/>
    <mergeCell ref="C30:I30"/>
    <mergeCell ref="C31:I31"/>
    <mergeCell ref="C19:E19"/>
    <mergeCell ref="B27:I27"/>
    <mergeCell ref="D26:H26"/>
    <mergeCell ref="G24:H24"/>
    <mergeCell ref="C24:E24"/>
    <mergeCell ref="G20:H20"/>
  </mergeCells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3">
    <tabColor theme="5" tint="0.79998168889431442"/>
  </sheetPr>
  <dimension ref="A1:T133"/>
  <sheetViews>
    <sheetView showGridLines="0" topLeftCell="A34" zoomScale="80" zoomScaleNormal="80" workbookViewId="0">
      <selection activeCell="BV7" sqref="BV7:CC7"/>
    </sheetView>
  </sheetViews>
  <sheetFormatPr defaultColWidth="8.75" defaultRowHeight="12"/>
  <cols>
    <col min="1" max="1" width="0.75" style="780" customWidth="1"/>
    <col min="2" max="2" width="4.5" style="780" customWidth="1"/>
    <col min="3" max="3" width="0.625" style="780" customWidth="1"/>
    <col min="4" max="4" width="11.375" style="780" customWidth="1"/>
    <col min="5" max="5" width="5.75" style="780" customWidth="1"/>
    <col min="6" max="6" width="4.875" style="780" customWidth="1"/>
    <col min="7" max="7" width="7.625" style="780" customWidth="1"/>
    <col min="8" max="8" width="14.5" style="780" customWidth="1"/>
    <col min="9" max="9" width="42" style="780" customWidth="1"/>
    <col min="10" max="10" width="0.375" style="780" customWidth="1"/>
    <col min="11" max="11" width="7.75" style="781" customWidth="1"/>
    <col min="12" max="14" width="7.75" style="780" customWidth="1"/>
    <col min="15" max="16" width="5" style="780" customWidth="1"/>
    <col min="17" max="17" width="41.375" style="780" customWidth="1"/>
    <col min="18" max="18" width="25.25" style="780" customWidth="1"/>
    <col min="19" max="19" width="8.75" style="780"/>
    <col min="20" max="20" width="74.375" style="780" bestFit="1" customWidth="1"/>
    <col min="21" max="16384" width="8.75" style="780"/>
  </cols>
  <sheetData>
    <row r="1" spans="1:20" ht="2.65" customHeight="1"/>
    <row r="2" spans="1:20" ht="20.100000000000001" customHeight="1"/>
    <row r="3" spans="1:20" ht="20.100000000000001" customHeight="1">
      <c r="A3" s="782"/>
      <c r="B3" s="783" t="s">
        <v>3640</v>
      </c>
      <c r="C3" s="783"/>
      <c r="D3" s="784"/>
      <c r="E3" s="785"/>
      <c r="F3" s="785"/>
      <c r="G3" s="785"/>
      <c r="H3" s="785"/>
      <c r="I3" s="785"/>
      <c r="M3" s="786" t="s">
        <v>3641</v>
      </c>
      <c r="N3" s="787"/>
      <c r="O3" s="787"/>
      <c r="P3" s="787"/>
      <c r="Q3" s="787"/>
      <c r="R3" s="787"/>
      <c r="S3" s="787"/>
      <c r="T3" s="787"/>
    </row>
    <row r="4" spans="1:20" ht="20.100000000000001" customHeight="1">
      <c r="A4" s="788"/>
      <c r="B4" s="789"/>
      <c r="C4" s="789"/>
      <c r="D4" s="784"/>
      <c r="E4" s="785"/>
      <c r="F4" s="785"/>
      <c r="G4" s="785"/>
      <c r="H4" s="785"/>
      <c r="I4" s="785"/>
      <c r="M4" s="911"/>
      <c r="N4" s="911"/>
      <c r="O4" s="911"/>
      <c r="P4" s="911"/>
      <c r="Q4" s="911"/>
      <c r="R4" s="911"/>
      <c r="S4" s="911"/>
      <c r="T4" s="911"/>
    </row>
    <row r="5" spans="1:20" ht="20.100000000000001" customHeight="1">
      <c r="A5" s="788"/>
      <c r="B5" s="790" t="s">
        <v>3642</v>
      </c>
      <c r="C5" s="791"/>
      <c r="D5" s="792"/>
      <c r="E5" s="793"/>
      <c r="F5" s="793"/>
      <c r="G5" s="793"/>
      <c r="H5" s="793"/>
      <c r="I5" s="793" t="s">
        <v>3643</v>
      </c>
      <c r="M5" s="794" t="s">
        <v>3644</v>
      </c>
      <c r="N5" s="795"/>
      <c r="O5" s="795"/>
      <c r="P5" s="795"/>
      <c r="Q5" s="795"/>
      <c r="R5" s="795"/>
      <c r="S5" s="795"/>
      <c r="T5" s="796"/>
    </row>
    <row r="6" spans="1:20" s="797" customFormat="1" ht="20.100000000000001" customHeight="1">
      <c r="K6" s="798"/>
      <c r="M6" s="799" t="s">
        <v>3645</v>
      </c>
      <c r="N6" s="800"/>
      <c r="O6" s="796"/>
      <c r="P6" s="796"/>
      <c r="Q6" s="796"/>
      <c r="R6" s="796"/>
      <c r="S6" s="796"/>
      <c r="T6" s="796"/>
    </row>
    <row r="7" spans="1:20" s="801" customFormat="1" ht="20.100000000000001" customHeight="1">
      <c r="B7" s="912" t="s">
        <v>3646</v>
      </c>
      <c r="C7" s="913"/>
      <c r="D7" s="913"/>
      <c r="E7" s="802"/>
      <c r="F7" s="802"/>
      <c r="G7" s="802"/>
      <c r="H7" s="916" t="s">
        <v>3647</v>
      </c>
      <c r="I7" s="918" t="s">
        <v>3648</v>
      </c>
      <c r="J7" s="803"/>
      <c r="K7" s="804"/>
      <c r="M7" s="799"/>
      <c r="N7" s="794" t="s">
        <v>3649</v>
      </c>
      <c r="O7" s="805"/>
      <c r="P7" s="805"/>
      <c r="Q7" s="800"/>
      <c r="R7" s="805"/>
      <c r="S7" s="805"/>
      <c r="T7" s="805"/>
    </row>
    <row r="8" spans="1:20" s="801" customFormat="1" ht="20.100000000000001" customHeight="1">
      <c r="B8" s="914"/>
      <c r="C8" s="915"/>
      <c r="D8" s="915"/>
      <c r="E8" s="920" t="s">
        <v>3650</v>
      </c>
      <c r="F8" s="921"/>
      <c r="G8" s="921"/>
      <c r="H8" s="917"/>
      <c r="I8" s="919"/>
      <c r="J8" s="803"/>
      <c r="K8" s="804"/>
      <c r="M8" s="799"/>
      <c r="N8" s="794" t="s">
        <v>3651</v>
      </c>
      <c r="O8" s="800"/>
      <c r="P8" s="800"/>
      <c r="Q8" s="805"/>
      <c r="R8" s="805"/>
      <c r="S8" s="805"/>
      <c r="T8" s="805"/>
    </row>
    <row r="9" spans="1:20" ht="20.100000000000001" customHeight="1" thickBot="1">
      <c r="I9" s="806"/>
      <c r="M9" s="922" t="s">
        <v>3652</v>
      </c>
      <c r="N9" s="922"/>
      <c r="O9" s="922"/>
      <c r="P9" s="922"/>
      <c r="Q9" s="922"/>
      <c r="R9" s="922"/>
      <c r="S9" s="922"/>
      <c r="T9" s="922"/>
    </row>
    <row r="10" spans="1:20" ht="30" customHeight="1">
      <c r="A10" s="801"/>
      <c r="B10" s="923" t="s">
        <v>3653</v>
      </c>
      <c r="C10" s="807"/>
      <c r="D10" s="808" t="s">
        <v>3654</v>
      </c>
      <c r="E10" s="926" t="s">
        <v>3655</v>
      </c>
      <c r="F10" s="926"/>
      <c r="G10" s="926"/>
      <c r="H10" s="809" t="s">
        <v>3656</v>
      </c>
      <c r="I10" s="810"/>
      <c r="J10" s="811"/>
      <c r="M10" s="927" t="s">
        <v>3657</v>
      </c>
      <c r="N10" s="927"/>
      <c r="O10" s="927"/>
      <c r="P10" s="928"/>
      <c r="Q10" s="928"/>
      <c r="R10" s="929" t="s">
        <v>3658</v>
      </c>
      <c r="S10" s="930"/>
      <c r="T10" s="933" t="s">
        <v>3659</v>
      </c>
    </row>
    <row r="11" spans="1:20" ht="30" customHeight="1">
      <c r="A11" s="801"/>
      <c r="B11" s="924"/>
      <c r="C11" s="812"/>
      <c r="D11" s="813" t="s">
        <v>3660</v>
      </c>
      <c r="E11" s="935" t="s">
        <v>3661</v>
      </c>
      <c r="F11" s="935"/>
      <c r="G11" s="935"/>
      <c r="H11" s="814" t="s">
        <v>3662</v>
      </c>
      <c r="I11" s="815"/>
      <c r="J11" s="811"/>
      <c r="M11" s="927"/>
      <c r="N11" s="927"/>
      <c r="O11" s="927"/>
      <c r="P11" s="928"/>
      <c r="Q11" s="928"/>
      <c r="R11" s="931"/>
      <c r="S11" s="932"/>
      <c r="T11" s="934"/>
    </row>
    <row r="12" spans="1:20" ht="30" customHeight="1">
      <c r="A12" s="801"/>
      <c r="B12" s="924"/>
      <c r="C12" s="807"/>
      <c r="D12" s="816" t="s">
        <v>3663</v>
      </c>
      <c r="E12" s="936" t="s">
        <v>3661</v>
      </c>
      <c r="F12" s="936"/>
      <c r="G12" s="936"/>
      <c r="H12" s="817" t="s">
        <v>3662</v>
      </c>
      <c r="I12" s="815"/>
      <c r="J12" s="818"/>
      <c r="M12" s="937"/>
      <c r="N12" s="938"/>
      <c r="O12" s="941" t="s">
        <v>3664</v>
      </c>
      <c r="P12" s="944" t="s">
        <v>3665</v>
      </c>
      <c r="Q12" s="945"/>
      <c r="R12" s="951" t="s">
        <v>3666</v>
      </c>
      <c r="S12" s="952"/>
      <c r="T12" s="953"/>
    </row>
    <row r="13" spans="1:20" ht="30" customHeight="1">
      <c r="A13" s="801"/>
      <c r="B13" s="924"/>
      <c r="C13" s="807"/>
      <c r="D13" s="816" t="s">
        <v>3667</v>
      </c>
      <c r="E13" s="936" t="s">
        <v>3661</v>
      </c>
      <c r="F13" s="936"/>
      <c r="G13" s="936"/>
      <c r="H13" s="817" t="s">
        <v>3662</v>
      </c>
      <c r="I13" s="815"/>
      <c r="J13" s="818"/>
      <c r="M13" s="939"/>
      <c r="N13" s="940"/>
      <c r="O13" s="942"/>
      <c r="P13" s="944" t="s">
        <v>3668</v>
      </c>
      <c r="Q13" s="945"/>
      <c r="R13" s="956" t="s">
        <v>3669</v>
      </c>
      <c r="S13" s="957"/>
      <c r="T13" s="954"/>
    </row>
    <row r="14" spans="1:20" ht="30" customHeight="1">
      <c r="A14" s="801"/>
      <c r="B14" s="924"/>
      <c r="C14" s="807"/>
      <c r="D14" s="816" t="s">
        <v>3670</v>
      </c>
      <c r="E14" s="958" t="s">
        <v>3661</v>
      </c>
      <c r="F14" s="958"/>
      <c r="G14" s="958"/>
      <c r="H14" s="814" t="s">
        <v>3662</v>
      </c>
      <c r="I14" s="815"/>
      <c r="J14" s="818"/>
      <c r="M14" s="939"/>
      <c r="N14" s="940"/>
      <c r="O14" s="943"/>
      <c r="P14" s="944" t="s">
        <v>3671</v>
      </c>
      <c r="Q14" s="945"/>
      <c r="R14" s="951" t="s">
        <v>3666</v>
      </c>
      <c r="S14" s="952"/>
      <c r="T14" s="955"/>
    </row>
    <row r="15" spans="1:20" ht="30" customHeight="1">
      <c r="A15" s="801"/>
      <c r="B15" s="925"/>
      <c r="C15" s="807"/>
      <c r="D15" s="820" t="s">
        <v>3672</v>
      </c>
      <c r="E15" s="946" t="s">
        <v>3661</v>
      </c>
      <c r="F15" s="946"/>
      <c r="G15" s="946"/>
      <c r="H15" s="821" t="s">
        <v>3673</v>
      </c>
      <c r="I15" s="822" t="s">
        <v>3674</v>
      </c>
      <c r="J15" s="811"/>
      <c r="M15" s="939"/>
      <c r="N15" s="940"/>
      <c r="O15" s="941" t="s">
        <v>3675</v>
      </c>
      <c r="P15" s="944" t="s">
        <v>3676</v>
      </c>
      <c r="Q15" s="945"/>
      <c r="R15" s="947" t="s">
        <v>3677</v>
      </c>
      <c r="S15" s="948"/>
      <c r="T15" s="949" t="s">
        <v>3678</v>
      </c>
    </row>
    <row r="16" spans="1:20" ht="30" customHeight="1">
      <c r="B16" s="823"/>
      <c r="I16" s="806"/>
      <c r="M16" s="939"/>
      <c r="N16" s="940"/>
      <c r="O16" s="942"/>
      <c r="P16" s="944" t="s">
        <v>3668</v>
      </c>
      <c r="Q16" s="945"/>
      <c r="R16" s="947" t="s">
        <v>3677</v>
      </c>
      <c r="S16" s="948"/>
      <c r="T16" s="950"/>
    </row>
    <row r="17" spans="1:20" ht="30" customHeight="1">
      <c r="A17" s="801"/>
      <c r="B17" s="923" t="s">
        <v>3679</v>
      </c>
      <c r="C17" s="824"/>
      <c r="D17" s="825" t="s">
        <v>3680</v>
      </c>
      <c r="E17" s="970" t="s">
        <v>3681</v>
      </c>
      <c r="F17" s="970"/>
      <c r="G17" s="970"/>
      <c r="H17" s="826" t="s">
        <v>3682</v>
      </c>
      <c r="I17" s="827"/>
      <c r="J17" s="811"/>
      <c r="M17" s="939"/>
      <c r="N17" s="940"/>
      <c r="O17" s="943"/>
      <c r="P17" s="944" t="s">
        <v>3683</v>
      </c>
      <c r="Q17" s="945"/>
      <c r="R17" s="956" t="s">
        <v>3684</v>
      </c>
      <c r="S17" s="957"/>
      <c r="T17" s="828" t="s">
        <v>3685</v>
      </c>
    </row>
    <row r="18" spans="1:20" ht="30" customHeight="1">
      <c r="A18" s="801"/>
      <c r="B18" s="924"/>
      <c r="C18" s="807"/>
      <c r="D18" s="816" t="s">
        <v>3686</v>
      </c>
      <c r="E18" s="958" t="s">
        <v>3681</v>
      </c>
      <c r="F18" s="958"/>
      <c r="G18" s="958"/>
      <c r="H18" s="814" t="s">
        <v>3687</v>
      </c>
      <c r="I18" s="815" t="s">
        <v>3688</v>
      </c>
      <c r="J18" s="811"/>
      <c r="M18" s="939"/>
      <c r="N18" s="940"/>
      <c r="O18" s="941" t="s">
        <v>3689</v>
      </c>
      <c r="P18" s="944" t="s">
        <v>3690</v>
      </c>
      <c r="Q18" s="945"/>
      <c r="R18" s="964" t="s">
        <v>3691</v>
      </c>
      <c r="S18" s="965"/>
      <c r="T18" s="949" t="s">
        <v>3692</v>
      </c>
    </row>
    <row r="19" spans="1:20" ht="30" customHeight="1">
      <c r="A19" s="801"/>
      <c r="B19" s="924"/>
      <c r="C19" s="812"/>
      <c r="D19" s="959" t="s">
        <v>3693</v>
      </c>
      <c r="E19" s="961" t="s">
        <v>3694</v>
      </c>
      <c r="F19" s="962"/>
      <c r="G19" s="963"/>
      <c r="H19" s="830" t="s">
        <v>3662</v>
      </c>
      <c r="I19" s="831" t="s">
        <v>3695</v>
      </c>
      <c r="J19" s="811"/>
      <c r="K19" s="832"/>
      <c r="M19" s="939"/>
      <c r="N19" s="940"/>
      <c r="O19" s="942"/>
      <c r="P19" s="944" t="s">
        <v>3696</v>
      </c>
      <c r="Q19" s="945"/>
      <c r="R19" s="964" t="s">
        <v>3691</v>
      </c>
      <c r="S19" s="965"/>
      <c r="T19" s="950"/>
    </row>
    <row r="20" spans="1:20" ht="30" customHeight="1">
      <c r="A20" s="801"/>
      <c r="B20" s="924"/>
      <c r="C20" s="812"/>
      <c r="D20" s="960"/>
      <c r="E20" s="966" t="s">
        <v>3697</v>
      </c>
      <c r="F20" s="966"/>
      <c r="G20" s="966"/>
      <c r="H20" s="833" t="s">
        <v>3698</v>
      </c>
      <c r="I20" s="834"/>
      <c r="J20" s="811"/>
      <c r="K20" s="832"/>
      <c r="M20" s="939"/>
      <c r="N20" s="940"/>
      <c r="O20" s="967" t="s">
        <v>3699</v>
      </c>
      <c r="P20" s="968"/>
      <c r="Q20" s="968"/>
      <c r="R20" s="964" t="s">
        <v>3691</v>
      </c>
      <c r="S20" s="965"/>
      <c r="T20" s="835" t="s">
        <v>3700</v>
      </c>
    </row>
    <row r="21" spans="1:20" ht="30" customHeight="1">
      <c r="A21" s="801"/>
      <c r="B21" s="924"/>
      <c r="C21" s="812"/>
      <c r="D21" s="959" t="s">
        <v>3701</v>
      </c>
      <c r="E21" s="971" t="s">
        <v>3655</v>
      </c>
      <c r="F21" s="972"/>
      <c r="G21" s="973"/>
      <c r="H21" s="983" t="s">
        <v>3662</v>
      </c>
      <c r="I21" s="985" t="s">
        <v>3702</v>
      </c>
      <c r="J21" s="811"/>
      <c r="K21" s="987"/>
      <c r="M21" s="939"/>
      <c r="N21" s="940"/>
      <c r="O21" s="941" t="s">
        <v>3703</v>
      </c>
      <c r="P21" s="944" t="s">
        <v>3704</v>
      </c>
      <c r="Q21" s="945"/>
      <c r="R21" s="964" t="s">
        <v>3691</v>
      </c>
      <c r="S21" s="965"/>
      <c r="T21" s="837" t="s">
        <v>3705</v>
      </c>
    </row>
    <row r="22" spans="1:20" ht="30" customHeight="1">
      <c r="A22" s="801"/>
      <c r="B22" s="924"/>
      <c r="C22" s="812"/>
      <c r="D22" s="960"/>
      <c r="E22" s="974"/>
      <c r="F22" s="975"/>
      <c r="G22" s="976"/>
      <c r="H22" s="984"/>
      <c r="I22" s="986"/>
      <c r="J22" s="811"/>
      <c r="K22" s="987"/>
      <c r="M22" s="939"/>
      <c r="N22" s="940"/>
      <c r="O22" s="942"/>
      <c r="P22" s="978" t="s">
        <v>3706</v>
      </c>
      <c r="Q22" s="979"/>
      <c r="R22" s="951" t="s">
        <v>3707</v>
      </c>
      <c r="S22" s="952"/>
      <c r="T22" s="839" t="s">
        <v>3708</v>
      </c>
    </row>
    <row r="23" spans="1:20" ht="30" customHeight="1">
      <c r="A23" s="801"/>
      <c r="B23" s="969"/>
      <c r="C23" s="807"/>
      <c r="D23" s="840" t="s">
        <v>3709</v>
      </c>
      <c r="E23" s="977" t="s">
        <v>3655</v>
      </c>
      <c r="F23" s="977"/>
      <c r="G23" s="977"/>
      <c r="H23" s="841" t="s">
        <v>3662</v>
      </c>
      <c r="I23" s="842"/>
      <c r="J23" s="818"/>
      <c r="M23" s="939"/>
      <c r="N23" s="940"/>
      <c r="O23" s="942"/>
      <c r="P23" s="978" t="s">
        <v>3710</v>
      </c>
      <c r="Q23" s="979"/>
      <c r="R23" s="951" t="s">
        <v>3666</v>
      </c>
      <c r="S23" s="952"/>
      <c r="T23" s="835" t="s">
        <v>3700</v>
      </c>
    </row>
    <row r="24" spans="1:20" ht="30" customHeight="1">
      <c r="B24" s="823"/>
      <c r="I24" s="806"/>
      <c r="M24" s="939"/>
      <c r="N24" s="940"/>
      <c r="O24" s="942"/>
      <c r="P24" s="980" t="s">
        <v>3711</v>
      </c>
      <c r="Q24" s="945"/>
      <c r="R24" s="951" t="s">
        <v>3712</v>
      </c>
      <c r="S24" s="952"/>
      <c r="T24" s="981" t="s">
        <v>3713</v>
      </c>
    </row>
    <row r="25" spans="1:20" ht="30" customHeight="1">
      <c r="A25" s="801"/>
      <c r="B25" s="988" t="s">
        <v>3714</v>
      </c>
      <c r="C25" s="812"/>
      <c r="D25" s="843" t="s">
        <v>3715</v>
      </c>
      <c r="E25" s="991" t="s">
        <v>3716</v>
      </c>
      <c r="F25" s="991"/>
      <c r="G25" s="991"/>
      <c r="H25" s="844" t="s">
        <v>3717</v>
      </c>
      <c r="I25" s="845"/>
      <c r="J25" s="811"/>
      <c r="M25" s="939"/>
      <c r="N25" s="940"/>
      <c r="O25" s="942"/>
      <c r="P25" s="846"/>
      <c r="Q25" s="847" t="s">
        <v>3718</v>
      </c>
      <c r="R25" s="951" t="s">
        <v>3719</v>
      </c>
      <c r="S25" s="952"/>
      <c r="T25" s="982"/>
    </row>
    <row r="26" spans="1:20" ht="30" customHeight="1">
      <c r="A26" s="801"/>
      <c r="B26" s="989"/>
      <c r="C26" s="812"/>
      <c r="D26" s="829" t="s">
        <v>3720</v>
      </c>
      <c r="E26" s="961" t="s">
        <v>3655</v>
      </c>
      <c r="F26" s="962"/>
      <c r="G26" s="963"/>
      <c r="H26" s="830" t="s">
        <v>3662</v>
      </c>
      <c r="I26" s="836"/>
      <c r="J26" s="811"/>
      <c r="M26" s="992" t="s">
        <v>3721</v>
      </c>
      <c r="N26" s="993"/>
      <c r="O26" s="993"/>
      <c r="P26" s="993"/>
      <c r="Q26" s="993"/>
      <c r="R26" s="994"/>
      <c r="S26" s="995"/>
      <c r="T26" s="848"/>
    </row>
    <row r="27" spans="1:20" ht="30" customHeight="1">
      <c r="A27" s="801"/>
      <c r="B27" s="989"/>
      <c r="C27" s="812"/>
      <c r="D27" s="959" t="s">
        <v>3722</v>
      </c>
      <c r="E27" s="997" t="s">
        <v>3681</v>
      </c>
      <c r="F27" s="997"/>
      <c r="G27" s="997"/>
      <c r="H27" s="830" t="s">
        <v>3723</v>
      </c>
      <c r="I27" s="849"/>
      <c r="J27" s="811"/>
      <c r="M27" s="937"/>
      <c r="N27" s="938"/>
      <c r="O27" s="998" t="s">
        <v>3724</v>
      </c>
      <c r="P27" s="999"/>
      <c r="Q27" s="999"/>
      <c r="R27" s="1000" t="s">
        <v>3725</v>
      </c>
      <c r="S27" s="952"/>
      <c r="T27" s="835"/>
    </row>
    <row r="28" spans="1:20" ht="30" customHeight="1">
      <c r="A28" s="801"/>
      <c r="B28" s="989"/>
      <c r="C28" s="812"/>
      <c r="D28" s="996"/>
      <c r="E28" s="1001" t="s">
        <v>3726</v>
      </c>
      <c r="F28" s="1001"/>
      <c r="G28" s="1001"/>
      <c r="H28" s="850" t="s">
        <v>3662</v>
      </c>
      <c r="I28" s="851"/>
      <c r="J28" s="811"/>
      <c r="M28" s="939"/>
      <c r="N28" s="940"/>
      <c r="O28" s="1002" t="s">
        <v>3727</v>
      </c>
      <c r="P28" s="944" t="s">
        <v>3728</v>
      </c>
      <c r="Q28" s="945"/>
      <c r="R28" s="1000" t="s">
        <v>3712</v>
      </c>
      <c r="S28" s="952"/>
      <c r="T28" s="1005" t="s">
        <v>3729</v>
      </c>
    </row>
    <row r="29" spans="1:20" ht="30" customHeight="1">
      <c r="A29" s="801"/>
      <c r="B29" s="989"/>
      <c r="C29" s="812"/>
      <c r="D29" s="960"/>
      <c r="E29" s="966" t="s">
        <v>3716</v>
      </c>
      <c r="F29" s="966"/>
      <c r="G29" s="966"/>
      <c r="H29" s="833" t="s">
        <v>3730</v>
      </c>
      <c r="I29" s="852"/>
      <c r="J29" s="811"/>
      <c r="M29" s="939"/>
      <c r="N29" s="940"/>
      <c r="O29" s="1003"/>
      <c r="P29" s="1008" t="s">
        <v>3668</v>
      </c>
      <c r="Q29" s="1009"/>
      <c r="R29" s="951" t="s">
        <v>3712</v>
      </c>
      <c r="S29" s="952"/>
      <c r="T29" s="1006"/>
    </row>
    <row r="30" spans="1:20" ht="30" customHeight="1">
      <c r="A30" s="801"/>
      <c r="B30" s="989"/>
      <c r="C30" s="812"/>
      <c r="D30" s="959" t="s">
        <v>3731</v>
      </c>
      <c r="E30" s="997" t="s">
        <v>3681</v>
      </c>
      <c r="F30" s="997"/>
      <c r="G30" s="997"/>
      <c r="H30" s="830" t="s">
        <v>3662</v>
      </c>
      <c r="I30" s="849" t="s">
        <v>3732</v>
      </c>
      <c r="J30" s="811"/>
      <c r="M30" s="939"/>
      <c r="N30" s="940"/>
      <c r="O30" s="1004"/>
      <c r="P30" s="1013" t="s">
        <v>3733</v>
      </c>
      <c r="Q30" s="1014"/>
      <c r="R30" s="1021" t="s">
        <v>3691</v>
      </c>
      <c r="S30" s="1022"/>
      <c r="T30" s="1007"/>
    </row>
    <row r="31" spans="1:20" ht="30" customHeight="1">
      <c r="A31" s="801"/>
      <c r="B31" s="989"/>
      <c r="C31" s="812"/>
      <c r="D31" s="996"/>
      <c r="E31" s="1001" t="s">
        <v>3734</v>
      </c>
      <c r="F31" s="1001"/>
      <c r="G31" s="1001"/>
      <c r="H31" s="850" t="s">
        <v>3662</v>
      </c>
      <c r="I31" s="851"/>
      <c r="J31" s="811"/>
      <c r="M31" s="939"/>
      <c r="N31" s="940"/>
      <c r="O31" s="1002" t="s">
        <v>3735</v>
      </c>
      <c r="P31" s="1013" t="s">
        <v>3736</v>
      </c>
      <c r="Q31" s="1014"/>
      <c r="R31" s="951" t="s">
        <v>3712</v>
      </c>
      <c r="S31" s="952"/>
      <c r="T31" s="1010"/>
    </row>
    <row r="32" spans="1:20" ht="30" customHeight="1">
      <c r="A32" s="801"/>
      <c r="B32" s="989"/>
      <c r="C32" s="812"/>
      <c r="D32" s="960"/>
      <c r="E32" s="966" t="s">
        <v>3716</v>
      </c>
      <c r="F32" s="966"/>
      <c r="G32" s="966"/>
      <c r="H32" s="833" t="s">
        <v>3737</v>
      </c>
      <c r="I32" s="852"/>
      <c r="J32" s="811"/>
      <c r="M32" s="939"/>
      <c r="N32" s="940"/>
      <c r="O32" s="1002"/>
      <c r="P32" s="1013" t="s">
        <v>3738</v>
      </c>
      <c r="Q32" s="1014"/>
      <c r="R32" s="951" t="s">
        <v>3712</v>
      </c>
      <c r="S32" s="952"/>
      <c r="T32" s="1011"/>
    </row>
    <row r="33" spans="1:20" ht="30" customHeight="1">
      <c r="A33" s="801"/>
      <c r="B33" s="989"/>
      <c r="C33" s="812"/>
      <c r="D33" s="996" t="s">
        <v>3739</v>
      </c>
      <c r="E33" s="1016" t="s">
        <v>3740</v>
      </c>
      <c r="F33" s="1019" t="s">
        <v>3681</v>
      </c>
      <c r="G33" s="963"/>
      <c r="H33" s="853" t="s">
        <v>3741</v>
      </c>
      <c r="I33" s="985" t="s">
        <v>3742</v>
      </c>
      <c r="J33" s="811"/>
      <c r="M33" s="939"/>
      <c r="N33" s="940"/>
      <c r="O33" s="1002"/>
      <c r="P33" s="1013" t="s">
        <v>3668</v>
      </c>
      <c r="Q33" s="1014"/>
      <c r="R33" s="951" t="s">
        <v>3712</v>
      </c>
      <c r="S33" s="952"/>
      <c r="T33" s="1012"/>
    </row>
    <row r="34" spans="1:20" ht="30" customHeight="1">
      <c r="A34" s="801"/>
      <c r="B34" s="989"/>
      <c r="C34" s="812"/>
      <c r="D34" s="996"/>
      <c r="E34" s="1017"/>
      <c r="F34" s="1023" t="s">
        <v>3734</v>
      </c>
      <c r="G34" s="1024"/>
      <c r="H34" s="854" t="s">
        <v>3723</v>
      </c>
      <c r="I34" s="1020"/>
      <c r="J34" s="811"/>
      <c r="M34" s="939"/>
      <c r="N34" s="940"/>
      <c r="O34" s="967" t="s">
        <v>3743</v>
      </c>
      <c r="P34" s="968"/>
      <c r="Q34" s="968"/>
      <c r="R34" s="951" t="s">
        <v>3677</v>
      </c>
      <c r="S34" s="952"/>
      <c r="T34" s="981" t="s">
        <v>3744</v>
      </c>
    </row>
    <row r="35" spans="1:20" ht="30" customHeight="1">
      <c r="A35" s="801"/>
      <c r="B35" s="989"/>
      <c r="C35" s="812"/>
      <c r="D35" s="996"/>
      <c r="E35" s="1018"/>
      <c r="F35" s="1034" t="s">
        <v>3716</v>
      </c>
      <c r="G35" s="1035"/>
      <c r="H35" s="855" t="s">
        <v>3745</v>
      </c>
      <c r="I35" s="986"/>
      <c r="J35" s="811"/>
      <c r="M35" s="939"/>
      <c r="N35" s="940"/>
      <c r="O35" s="998"/>
      <c r="P35" s="1036"/>
      <c r="Q35" s="856" t="s">
        <v>3746</v>
      </c>
      <c r="R35" s="951" t="s">
        <v>3691</v>
      </c>
      <c r="S35" s="952"/>
      <c r="T35" s="1033"/>
    </row>
    <row r="36" spans="1:20" ht="30" customHeight="1">
      <c r="A36" s="801"/>
      <c r="B36" s="989"/>
      <c r="C36" s="812"/>
      <c r="D36" s="996"/>
      <c r="E36" s="1017" t="s">
        <v>3747</v>
      </c>
      <c r="F36" s="1026" t="s">
        <v>3748</v>
      </c>
      <c r="G36" s="857" t="s">
        <v>3749</v>
      </c>
      <c r="H36" s="814" t="s">
        <v>3750</v>
      </c>
      <c r="I36" s="1020" t="s">
        <v>3751</v>
      </c>
      <c r="J36" s="811"/>
      <c r="M36" s="939"/>
      <c r="N36" s="940"/>
      <c r="O36" s="1002" t="s">
        <v>3752</v>
      </c>
      <c r="P36" s="1030" t="s">
        <v>3753</v>
      </c>
      <c r="Q36" s="1031"/>
      <c r="R36" s="1032" t="s">
        <v>3712</v>
      </c>
      <c r="S36" s="1022"/>
      <c r="T36" s="1005" t="s">
        <v>3754</v>
      </c>
    </row>
    <row r="37" spans="1:20" ht="30" customHeight="1">
      <c r="A37" s="801"/>
      <c r="B37" s="989"/>
      <c r="C37" s="812"/>
      <c r="D37" s="996"/>
      <c r="E37" s="1017"/>
      <c r="F37" s="1027"/>
      <c r="G37" s="858" t="s">
        <v>3755</v>
      </c>
      <c r="H37" s="814" t="s">
        <v>3756</v>
      </c>
      <c r="I37" s="1020"/>
      <c r="J37" s="811"/>
      <c r="M37" s="939"/>
      <c r="N37" s="940"/>
      <c r="O37" s="1029"/>
      <c r="P37" s="1030" t="s">
        <v>3668</v>
      </c>
      <c r="Q37" s="1031"/>
      <c r="R37" s="1032" t="s">
        <v>3757</v>
      </c>
      <c r="S37" s="1022"/>
      <c r="T37" s="1007"/>
    </row>
    <row r="38" spans="1:20" ht="30" customHeight="1">
      <c r="A38" s="801"/>
      <c r="B38" s="990"/>
      <c r="C38" s="812"/>
      <c r="D38" s="1015"/>
      <c r="E38" s="1025"/>
      <c r="F38" s="859" t="s">
        <v>3734</v>
      </c>
      <c r="G38" s="860" t="s">
        <v>3655</v>
      </c>
      <c r="H38" s="861" t="s">
        <v>3750</v>
      </c>
      <c r="I38" s="1028"/>
      <c r="J38" s="811"/>
      <c r="M38" s="939"/>
      <c r="N38" s="940"/>
      <c r="O38" s="819" t="s">
        <v>3758</v>
      </c>
      <c r="P38" s="1013" t="s">
        <v>3759</v>
      </c>
      <c r="Q38" s="1014"/>
      <c r="R38" s="1037" t="s">
        <v>3760</v>
      </c>
      <c r="S38" s="1038"/>
      <c r="T38" s="862" t="s">
        <v>3761</v>
      </c>
    </row>
    <row r="39" spans="1:20" ht="30" customHeight="1">
      <c r="B39" s="823"/>
      <c r="I39" s="806"/>
      <c r="M39" s="939"/>
      <c r="N39" s="940"/>
      <c r="O39" s="1029" t="s">
        <v>3762</v>
      </c>
      <c r="P39" s="1039"/>
      <c r="Q39" s="1039"/>
      <c r="R39" s="1040" t="s">
        <v>3763</v>
      </c>
      <c r="S39" s="1041"/>
      <c r="T39" s="835" t="s">
        <v>3700</v>
      </c>
    </row>
    <row r="40" spans="1:20" ht="30" customHeight="1">
      <c r="A40" s="801"/>
      <c r="B40" s="1045" t="s">
        <v>3764</v>
      </c>
      <c r="C40" s="807"/>
      <c r="D40" s="1046" t="s">
        <v>3765</v>
      </c>
      <c r="E40" s="1049" t="s">
        <v>3726</v>
      </c>
      <c r="F40" s="1052" t="s">
        <v>3766</v>
      </c>
      <c r="G40" s="1053"/>
      <c r="H40" s="863" t="s">
        <v>3717</v>
      </c>
      <c r="I40" s="810" t="s">
        <v>3767</v>
      </c>
      <c r="J40" s="811"/>
      <c r="M40" s="939"/>
      <c r="N40" s="940"/>
      <c r="O40" s="1054" t="s">
        <v>3703</v>
      </c>
      <c r="P40" s="944" t="s">
        <v>3768</v>
      </c>
      <c r="Q40" s="945"/>
      <c r="R40" s="964" t="s">
        <v>3769</v>
      </c>
      <c r="S40" s="965"/>
      <c r="T40" s="835"/>
    </row>
    <row r="41" spans="1:20" ht="30" customHeight="1">
      <c r="A41" s="801"/>
      <c r="B41" s="924"/>
      <c r="C41" s="807"/>
      <c r="D41" s="1047"/>
      <c r="E41" s="1050"/>
      <c r="F41" s="1056" t="s">
        <v>3770</v>
      </c>
      <c r="G41" s="864" t="s">
        <v>3771</v>
      </c>
      <c r="H41" s="865" t="s">
        <v>3772</v>
      </c>
      <c r="I41" s="838" t="s">
        <v>3773</v>
      </c>
      <c r="J41" s="811"/>
      <c r="M41" s="939"/>
      <c r="N41" s="940"/>
      <c r="O41" s="1055"/>
      <c r="P41" s="980" t="s">
        <v>3774</v>
      </c>
      <c r="Q41" s="945"/>
      <c r="R41" s="1040" t="s">
        <v>3712</v>
      </c>
      <c r="S41" s="1041"/>
      <c r="T41" s="866" t="s">
        <v>3775</v>
      </c>
    </row>
    <row r="42" spans="1:20" ht="30" customHeight="1">
      <c r="A42" s="801"/>
      <c r="B42" s="924"/>
      <c r="C42" s="807"/>
      <c r="D42" s="1047"/>
      <c r="E42" s="1051"/>
      <c r="F42" s="1057"/>
      <c r="G42" s="858" t="s">
        <v>3776</v>
      </c>
      <c r="H42" s="833" t="s">
        <v>3777</v>
      </c>
      <c r="I42" s="815" t="s">
        <v>3778</v>
      </c>
      <c r="J42" s="811"/>
      <c r="M42" s="939"/>
      <c r="N42" s="940"/>
      <c r="O42" s="1055"/>
      <c r="P42" s="944" t="s">
        <v>3779</v>
      </c>
      <c r="Q42" s="945"/>
      <c r="R42" s="1061" t="s">
        <v>3707</v>
      </c>
      <c r="S42" s="1062"/>
      <c r="T42" s="839" t="s">
        <v>3780</v>
      </c>
    </row>
    <row r="43" spans="1:20" ht="30" customHeight="1">
      <c r="A43" s="801"/>
      <c r="B43" s="924"/>
      <c r="C43" s="807"/>
      <c r="D43" s="1047"/>
      <c r="E43" s="1017" t="s">
        <v>3781</v>
      </c>
      <c r="F43" s="1063" t="s">
        <v>3766</v>
      </c>
      <c r="G43" s="1064"/>
      <c r="H43" s="867" t="s">
        <v>3782</v>
      </c>
      <c r="I43" s="868" t="s">
        <v>3767</v>
      </c>
      <c r="J43" s="811"/>
      <c r="M43" s="939"/>
      <c r="N43" s="940"/>
      <c r="O43" s="1055"/>
      <c r="P43" s="980" t="s">
        <v>3783</v>
      </c>
      <c r="Q43" s="945"/>
      <c r="R43" s="1065" t="s">
        <v>3677</v>
      </c>
      <c r="S43" s="1066"/>
      <c r="T43" s="1042" t="s">
        <v>3784</v>
      </c>
    </row>
    <row r="44" spans="1:20" ht="30" customHeight="1">
      <c r="A44" s="801"/>
      <c r="B44" s="969"/>
      <c r="C44" s="807"/>
      <c r="D44" s="1048"/>
      <c r="E44" s="1025"/>
      <c r="F44" s="1043" t="s">
        <v>3785</v>
      </c>
      <c r="G44" s="1044"/>
      <c r="H44" s="869" t="s">
        <v>3777</v>
      </c>
      <c r="I44" s="870" t="s">
        <v>3786</v>
      </c>
      <c r="J44" s="811"/>
      <c r="M44" s="939"/>
      <c r="N44" s="940"/>
      <c r="O44" s="1055"/>
      <c r="P44" s="871"/>
      <c r="Q44" s="872" t="s">
        <v>3787</v>
      </c>
      <c r="R44" s="1067"/>
      <c r="S44" s="1068"/>
      <c r="T44" s="1042"/>
    </row>
    <row r="45" spans="1:20" ht="30" customHeight="1">
      <c r="A45" s="801"/>
      <c r="B45" s="832"/>
      <c r="C45" s="832"/>
      <c r="D45" s="832"/>
      <c r="E45" s="873"/>
      <c r="F45" s="873"/>
      <c r="G45" s="873"/>
      <c r="H45" s="873"/>
      <c r="I45" s="873"/>
      <c r="J45" s="811"/>
      <c r="M45" s="992" t="s">
        <v>3788</v>
      </c>
      <c r="N45" s="993"/>
      <c r="O45" s="993"/>
      <c r="P45" s="993"/>
      <c r="Q45" s="993"/>
      <c r="R45" s="994"/>
      <c r="S45" s="995"/>
      <c r="T45" s="874"/>
    </row>
    <row r="46" spans="1:20" ht="30" customHeight="1">
      <c r="A46" s="801"/>
      <c r="B46" s="875"/>
      <c r="C46" s="875"/>
      <c r="D46" s="873"/>
      <c r="E46" s="873"/>
      <c r="F46" s="873"/>
      <c r="G46" s="873"/>
      <c r="H46" s="873"/>
      <c r="I46" s="876"/>
      <c r="J46" s="811"/>
      <c r="M46" s="939"/>
      <c r="N46" s="940"/>
      <c r="O46" s="1058"/>
      <c r="P46" s="1059"/>
      <c r="Q46" s="1060"/>
      <c r="R46" s="877" t="s">
        <v>55</v>
      </c>
      <c r="S46" s="878" t="s">
        <v>3789</v>
      </c>
      <c r="T46" s="879"/>
    </row>
    <row r="47" spans="1:20" ht="30" customHeight="1">
      <c r="I47" s="806"/>
      <c r="M47" s="939"/>
      <c r="N47" s="940"/>
      <c r="O47" s="941" t="s">
        <v>3790</v>
      </c>
      <c r="P47" s="1013" t="s">
        <v>3791</v>
      </c>
      <c r="Q47" s="1014"/>
      <c r="R47" s="880" t="s">
        <v>3691</v>
      </c>
      <c r="S47" s="881" t="s">
        <v>3691</v>
      </c>
      <c r="T47" s="1074" t="s">
        <v>3792</v>
      </c>
    </row>
    <row r="48" spans="1:20" ht="30" customHeight="1">
      <c r="I48" s="806"/>
      <c r="M48" s="939"/>
      <c r="N48" s="940"/>
      <c r="O48" s="942"/>
      <c r="P48" s="1013" t="s">
        <v>3793</v>
      </c>
      <c r="Q48" s="1014"/>
      <c r="R48" s="880" t="s">
        <v>3691</v>
      </c>
      <c r="S48" s="881" t="s">
        <v>3719</v>
      </c>
      <c r="T48" s="1075"/>
    </row>
    <row r="49" spans="2:20" ht="30" customHeight="1">
      <c r="M49" s="939"/>
      <c r="N49" s="940"/>
      <c r="O49" s="943"/>
      <c r="P49" s="1013" t="s">
        <v>3794</v>
      </c>
      <c r="Q49" s="1014"/>
      <c r="R49" s="1076" t="s">
        <v>3691</v>
      </c>
      <c r="S49" s="1077"/>
      <c r="T49" s="879"/>
    </row>
    <row r="50" spans="2:20" ht="30" customHeight="1">
      <c r="B50" s="780" ph="1"/>
      <c r="C50" s="780" ph="1"/>
      <c r="D50" s="780" ph="1"/>
      <c r="M50" s="939"/>
      <c r="N50" s="940"/>
      <c r="O50" s="1078" t="s">
        <v>3795</v>
      </c>
      <c r="P50" s="1079"/>
      <c r="Q50" s="1079"/>
      <c r="R50" s="1080" t="s">
        <v>3796</v>
      </c>
      <c r="S50" s="1081"/>
      <c r="T50" s="882" t="s">
        <v>3797</v>
      </c>
    </row>
    <row r="51" spans="2:20" ht="30" customHeight="1">
      <c r="B51" s="780" ph="1"/>
      <c r="C51" s="780" ph="1"/>
      <c r="D51" s="780" ph="1"/>
      <c r="M51" s="939"/>
      <c r="N51" s="940"/>
      <c r="O51" s="1086"/>
      <c r="P51" s="1087"/>
      <c r="Q51" s="1087"/>
      <c r="R51" s="877" t="s">
        <v>3798</v>
      </c>
      <c r="S51" s="883" t="s">
        <v>3799</v>
      </c>
      <c r="T51" s="1069" t="s">
        <v>3800</v>
      </c>
    </row>
    <row r="52" spans="2:20" ht="30" customHeight="1">
      <c r="B52" s="884"/>
      <c r="C52" s="884"/>
      <c r="M52" s="939"/>
      <c r="N52" s="940"/>
      <c r="O52" s="941" t="s">
        <v>3801</v>
      </c>
      <c r="P52" s="1013" t="s">
        <v>3802</v>
      </c>
      <c r="Q52" s="1014"/>
      <c r="R52" s="880" t="s">
        <v>3803</v>
      </c>
      <c r="S52" s="881" t="s">
        <v>3691</v>
      </c>
      <c r="T52" s="1070"/>
    </row>
    <row r="53" spans="2:20" ht="30" customHeight="1">
      <c r="M53" s="939"/>
      <c r="N53" s="940"/>
      <c r="O53" s="942"/>
      <c r="P53" s="1013" t="s">
        <v>3804</v>
      </c>
      <c r="Q53" s="1014"/>
      <c r="R53" s="880" t="s">
        <v>3691</v>
      </c>
      <c r="S53" s="881" t="s">
        <v>3691</v>
      </c>
      <c r="T53" s="1070"/>
    </row>
    <row r="54" spans="2:20" ht="30" customHeight="1" thickBot="1">
      <c r="M54" s="939"/>
      <c r="N54" s="940"/>
      <c r="O54" s="943"/>
      <c r="P54" s="1013" t="s">
        <v>3805</v>
      </c>
      <c r="Q54" s="1014"/>
      <c r="R54" s="1072" t="s">
        <v>3806</v>
      </c>
      <c r="S54" s="1073"/>
      <c r="T54" s="1071"/>
    </row>
    <row r="55" spans="2:20" ht="30" customHeight="1">
      <c r="M55" s="1083" t="s">
        <v>3807</v>
      </c>
      <c r="N55" s="1084"/>
      <c r="O55" s="1084"/>
      <c r="P55" s="1084"/>
      <c r="Q55" s="1084"/>
      <c r="R55" s="1085"/>
      <c r="S55" s="1085"/>
      <c r="T55" s="885"/>
    </row>
    <row r="56" spans="2:20" ht="30" customHeight="1"/>
    <row r="57" spans="2:20" ht="30" customHeight="1"/>
    <row r="58" spans="2:20" ht="30" customHeight="1">
      <c r="O58" s="1082"/>
      <c r="P58" s="1082"/>
      <c r="Q58" s="1082"/>
      <c r="R58" s="1082"/>
    </row>
    <row r="59" spans="2:20" ht="30" customHeight="1">
      <c r="O59" s="1082"/>
      <c r="P59" s="1082"/>
      <c r="Q59" s="1082"/>
      <c r="R59" s="1082"/>
    </row>
    <row r="60" spans="2:20" ht="30" customHeight="1">
      <c r="O60" s="1082"/>
      <c r="P60" s="1082"/>
      <c r="Q60" s="886"/>
      <c r="R60" s="886"/>
    </row>
    <row r="61" spans="2:20" ht="30" customHeight="1">
      <c r="B61" s="780" ph="1"/>
      <c r="C61" s="780" ph="1"/>
      <c r="D61" s="780" ph="1"/>
      <c r="O61" s="1082"/>
      <c r="P61" s="1082"/>
      <c r="Q61" s="886"/>
      <c r="R61" s="798"/>
    </row>
    <row r="62" spans="2:20" ht="30" customHeight="1"/>
    <row r="63" spans="2:20" ht="30" customHeight="1"/>
    <row r="64" spans="2:20" ht="30" customHeight="1"/>
    <row r="65" spans="2:4" ht="30" customHeight="1">
      <c r="B65" s="780" ph="1"/>
      <c r="C65" s="780" ph="1"/>
      <c r="D65" s="780" ph="1"/>
    </row>
    <row r="66" spans="2:4" ht="30" customHeight="1">
      <c r="B66" s="780" ph="1"/>
      <c r="C66" s="780" ph="1"/>
      <c r="D66" s="780" ph="1"/>
    </row>
    <row r="67" spans="2:4" ht="30" customHeight="1">
      <c r="B67" s="780" ph="1"/>
      <c r="C67" s="780" ph="1"/>
      <c r="D67" s="780" ph="1"/>
    </row>
    <row r="68" spans="2:4" ht="30" customHeight="1">
      <c r="B68" s="780" ph="1"/>
      <c r="C68" s="780" ph="1"/>
      <c r="D68" s="780" ph="1"/>
    </row>
    <row r="69" spans="2:4" ht="30" customHeight="1">
      <c r="B69" s="780" ph="1"/>
      <c r="C69" s="780" ph="1"/>
      <c r="D69" s="780" ph="1"/>
    </row>
    <row r="70" spans="2:4" ht="30" customHeight="1"/>
    <row r="71" spans="2:4" ht="30" customHeight="1">
      <c r="B71" s="780" ph="1"/>
      <c r="C71" s="780" ph="1"/>
      <c r="D71" s="780" ph="1"/>
    </row>
    <row r="72" spans="2:4" ht="30" customHeight="1">
      <c r="B72" s="780" ph="1"/>
      <c r="C72" s="780" ph="1"/>
      <c r="D72" s="780" ph="1"/>
    </row>
    <row r="73" spans="2:4" ht="30" customHeight="1">
      <c r="B73" s="780" ph="1"/>
      <c r="C73" s="780" ph="1"/>
      <c r="D73" s="780" ph="1"/>
    </row>
    <row r="74" spans="2:4" ht="30" customHeight="1">
      <c r="B74" s="780" ph="1"/>
      <c r="C74" s="780" ph="1"/>
      <c r="D74" s="780" ph="1"/>
    </row>
    <row r="75" spans="2:4" ht="30" customHeight="1">
      <c r="B75" s="780" ph="1"/>
      <c r="C75" s="780" ph="1"/>
      <c r="D75" s="780" ph="1"/>
    </row>
    <row r="76" spans="2:4" ht="30" customHeight="1">
      <c r="B76" s="780" ph="1"/>
      <c r="C76" s="780" ph="1"/>
      <c r="D76" s="780" ph="1"/>
    </row>
    <row r="77" spans="2:4" ht="30" customHeight="1">
      <c r="B77" s="780" ph="1"/>
      <c r="C77" s="780" ph="1"/>
      <c r="D77" s="780" ph="1"/>
    </row>
    <row r="78" spans="2:4" ht="30" customHeight="1">
      <c r="B78" s="780" ph="1"/>
      <c r="C78" s="780" ph="1"/>
      <c r="D78" s="780" ph="1"/>
    </row>
    <row r="79" spans="2:4" ht="30" customHeight="1">
      <c r="B79" s="780" ph="1"/>
      <c r="C79" s="780" ph="1"/>
      <c r="D79" s="780" ph="1"/>
    </row>
    <row r="80" spans="2:4" ht="30" customHeight="1">
      <c r="B80" s="780" ph="1"/>
      <c r="C80" s="780" ph="1"/>
      <c r="D80" s="780" ph="1"/>
    </row>
    <row r="81" spans="2:4" ht="30" customHeight="1">
      <c r="B81" s="780" ph="1"/>
      <c r="C81" s="780" ph="1"/>
      <c r="D81" s="780" ph="1"/>
    </row>
    <row r="82" spans="2:4" ht="30" customHeight="1">
      <c r="B82" s="780" ph="1"/>
      <c r="C82" s="780" ph="1"/>
      <c r="D82" s="780" ph="1"/>
    </row>
    <row r="83" spans="2:4" ht="30" customHeight="1">
      <c r="B83" s="780" ph="1"/>
      <c r="C83" s="780" ph="1"/>
      <c r="D83" s="780" ph="1"/>
    </row>
    <row r="84" spans="2:4" ht="30" customHeight="1">
      <c r="B84" s="780" ph="1"/>
      <c r="C84" s="780" ph="1"/>
      <c r="D84" s="780" ph="1"/>
    </row>
    <row r="85" spans="2:4" ht="30" customHeight="1">
      <c r="B85" s="780" ph="1"/>
      <c r="C85" s="780" ph="1"/>
      <c r="D85" s="780" ph="1"/>
    </row>
    <row r="86" spans="2:4" ht="30" customHeight="1">
      <c r="B86" s="780" ph="1"/>
      <c r="C86" s="780" ph="1"/>
      <c r="D86" s="780" ph="1"/>
    </row>
    <row r="87" spans="2:4" ht="30" customHeight="1">
      <c r="B87" s="780" ph="1"/>
      <c r="C87" s="780" ph="1"/>
      <c r="D87" s="780" ph="1"/>
    </row>
    <row r="88" spans="2:4" ht="30" customHeight="1">
      <c r="B88" s="780" ph="1"/>
      <c r="C88" s="780" ph="1"/>
      <c r="D88" s="780" ph="1"/>
    </row>
    <row r="89" spans="2:4" ht="30" customHeight="1">
      <c r="B89" s="780" ph="1"/>
      <c r="C89" s="780" ph="1"/>
      <c r="D89" s="780" ph="1"/>
    </row>
    <row r="90" spans="2:4" ht="30" customHeight="1">
      <c r="B90" s="780" ph="1"/>
      <c r="C90" s="780" ph="1"/>
      <c r="D90" s="780" ph="1"/>
    </row>
    <row r="91" spans="2:4" ht="30" customHeight="1">
      <c r="B91" s="780" ph="1"/>
      <c r="C91" s="780" ph="1"/>
      <c r="D91" s="780" ph="1"/>
    </row>
    <row r="92" spans="2:4" ht="22.5">
      <c r="B92" s="780" ph="1"/>
      <c r="C92" s="780" ph="1"/>
      <c r="D92" s="780" ph="1"/>
    </row>
    <row r="93" spans="2:4" ht="22.5">
      <c r="B93" s="780" ph="1"/>
      <c r="C93" s="780" ph="1"/>
      <c r="D93" s="780" ph="1"/>
    </row>
    <row r="94" spans="2:4" ht="22.5">
      <c r="B94" s="780" ph="1"/>
      <c r="C94" s="780" ph="1"/>
      <c r="D94" s="780" ph="1"/>
    </row>
    <row r="95" spans="2:4" ht="22.5">
      <c r="B95" s="780" ph="1"/>
      <c r="C95" s="780" ph="1"/>
      <c r="D95" s="780" ph="1"/>
    </row>
    <row r="96" spans="2:4" ht="22.5">
      <c r="B96" s="780" ph="1"/>
      <c r="C96" s="780" ph="1"/>
      <c r="D96" s="780" ph="1"/>
    </row>
    <row r="97" spans="2:4" ht="22.5">
      <c r="B97" s="780" ph="1"/>
      <c r="C97" s="780" ph="1"/>
      <c r="D97" s="780" ph="1"/>
    </row>
    <row r="98" spans="2:4" ht="22.5">
      <c r="B98" s="780" ph="1"/>
      <c r="C98" s="780" ph="1"/>
      <c r="D98" s="780" ph="1"/>
    </row>
    <row r="99" spans="2:4" ht="22.5">
      <c r="B99" s="780" ph="1"/>
      <c r="C99" s="780" ph="1"/>
      <c r="D99" s="780" ph="1"/>
    </row>
    <row r="100" spans="2:4" ht="22.5">
      <c r="B100" s="780" ph="1"/>
      <c r="C100" s="780" ph="1"/>
      <c r="D100" s="780" ph="1"/>
    </row>
    <row r="101" spans="2:4" ht="22.5">
      <c r="B101" s="780" ph="1"/>
      <c r="C101" s="780" ph="1"/>
      <c r="D101" s="780" ph="1"/>
    </row>
    <row r="102" spans="2:4" ht="22.5">
      <c r="B102" s="780" ph="1"/>
      <c r="C102" s="780" ph="1"/>
      <c r="D102" s="780" ph="1"/>
    </row>
    <row r="103" spans="2:4" ht="22.5">
      <c r="B103" s="780" ph="1"/>
      <c r="C103" s="780" ph="1"/>
      <c r="D103" s="780" ph="1"/>
    </row>
    <row r="104" spans="2:4" ht="22.5">
      <c r="B104" s="780" ph="1"/>
      <c r="C104" s="780" ph="1"/>
      <c r="D104" s="780" ph="1"/>
    </row>
    <row r="105" spans="2:4" ht="22.5">
      <c r="B105" s="780" ph="1"/>
      <c r="C105" s="780" ph="1"/>
      <c r="D105" s="780" ph="1"/>
    </row>
    <row r="106" spans="2:4" ht="22.5">
      <c r="B106" s="780" ph="1"/>
      <c r="C106" s="780" ph="1"/>
      <c r="D106" s="780" ph="1"/>
    </row>
    <row r="107" spans="2:4" ht="22.5">
      <c r="B107" s="780" ph="1"/>
      <c r="C107" s="780" ph="1"/>
      <c r="D107" s="780" ph="1"/>
    </row>
    <row r="108" spans="2:4" ht="22.5">
      <c r="B108" s="780" ph="1"/>
      <c r="C108" s="780" ph="1"/>
      <c r="D108" s="780" ph="1"/>
    </row>
    <row r="109" spans="2:4" ht="22.5">
      <c r="B109" s="780" ph="1"/>
      <c r="C109" s="780" ph="1"/>
      <c r="D109" s="780" ph="1"/>
    </row>
    <row r="110" spans="2:4" ht="22.5">
      <c r="B110" s="780" ph="1"/>
      <c r="C110" s="780" ph="1"/>
      <c r="D110" s="780" ph="1"/>
    </row>
    <row r="111" spans="2:4" ht="22.5">
      <c r="B111" s="780" ph="1"/>
      <c r="C111" s="780" ph="1"/>
      <c r="D111" s="780" ph="1"/>
    </row>
    <row r="112" spans="2:4" ht="22.5">
      <c r="B112" s="780" ph="1"/>
      <c r="C112" s="780" ph="1"/>
      <c r="D112" s="780" ph="1"/>
    </row>
    <row r="113" spans="2:4" ht="22.5">
      <c r="B113" s="780" ph="1"/>
      <c r="C113" s="780" ph="1"/>
      <c r="D113" s="780" ph="1"/>
    </row>
    <row r="114" spans="2:4" ht="22.5">
      <c r="B114" s="780" ph="1"/>
      <c r="C114" s="780" ph="1"/>
      <c r="D114" s="780" ph="1"/>
    </row>
    <row r="115" spans="2:4" ht="22.5">
      <c r="B115" s="780" ph="1"/>
      <c r="C115" s="780" ph="1"/>
      <c r="D115" s="780" ph="1"/>
    </row>
    <row r="116" spans="2:4" ht="22.5">
      <c r="B116" s="780" ph="1"/>
      <c r="C116" s="780" ph="1"/>
      <c r="D116" s="780" ph="1"/>
    </row>
    <row r="117" spans="2:4" ht="22.5">
      <c r="B117" s="780" ph="1"/>
      <c r="C117" s="780" ph="1"/>
      <c r="D117" s="780" ph="1"/>
    </row>
    <row r="118" spans="2:4" ht="22.5">
      <c r="B118" s="780" ph="1"/>
      <c r="C118" s="780" ph="1"/>
      <c r="D118" s="780" ph="1"/>
    </row>
    <row r="119" spans="2:4" ht="22.5">
      <c r="B119" s="780" ph="1"/>
      <c r="C119" s="780" ph="1"/>
      <c r="D119" s="780" ph="1"/>
    </row>
    <row r="120" spans="2:4" ht="22.5">
      <c r="B120" s="780" ph="1"/>
      <c r="C120" s="780" ph="1"/>
      <c r="D120" s="780" ph="1"/>
    </row>
    <row r="121" spans="2:4" ht="22.5">
      <c r="B121" s="780" ph="1"/>
      <c r="C121" s="780" ph="1"/>
      <c r="D121" s="780" ph="1"/>
    </row>
    <row r="122" spans="2:4" ht="22.5">
      <c r="B122" s="780" ph="1"/>
      <c r="C122" s="780" ph="1"/>
      <c r="D122" s="780" ph="1"/>
    </row>
    <row r="123" spans="2:4" ht="22.5">
      <c r="B123" s="780" ph="1"/>
      <c r="C123" s="780" ph="1"/>
      <c r="D123" s="780" ph="1"/>
    </row>
    <row r="124" spans="2:4" ht="22.5">
      <c r="B124" s="780" ph="1"/>
      <c r="C124" s="780" ph="1"/>
      <c r="D124" s="780" ph="1"/>
    </row>
    <row r="125" spans="2:4" ht="22.5">
      <c r="B125" s="780" ph="1"/>
      <c r="C125" s="780" ph="1"/>
      <c r="D125" s="780" ph="1"/>
    </row>
    <row r="126" spans="2:4" ht="22.5">
      <c r="B126" s="780" ph="1"/>
      <c r="C126" s="780" ph="1"/>
      <c r="D126" s="780" ph="1"/>
    </row>
    <row r="127" spans="2:4" ht="22.5">
      <c r="B127" s="780" ph="1"/>
      <c r="C127" s="780" ph="1"/>
      <c r="D127" s="780" ph="1"/>
    </row>
    <row r="128" spans="2:4" ht="22.5">
      <c r="B128" s="780" ph="1"/>
      <c r="C128" s="780" ph="1"/>
      <c r="D128" s="780" ph="1"/>
    </row>
    <row r="129" spans="2:4" ht="22.5">
      <c r="B129" s="780" ph="1"/>
      <c r="C129" s="780" ph="1"/>
      <c r="D129" s="780" ph="1"/>
    </row>
    <row r="130" spans="2:4" ht="22.5">
      <c r="B130" s="780" ph="1"/>
      <c r="C130" s="780" ph="1"/>
      <c r="D130" s="780" ph="1"/>
    </row>
    <row r="131" spans="2:4" ht="22.5">
      <c r="B131" s="780" ph="1"/>
      <c r="C131" s="780" ph="1"/>
      <c r="D131" s="780" ph="1"/>
    </row>
    <row r="132" spans="2:4" ht="22.5">
      <c r="B132" s="780" ph="1"/>
      <c r="C132" s="780" ph="1"/>
      <c r="D132" s="780" ph="1"/>
    </row>
    <row r="133" spans="2:4" ht="22.5">
      <c r="B133" s="780" ph="1"/>
      <c r="C133" s="780" ph="1"/>
      <c r="D133" s="780" ph="1"/>
    </row>
  </sheetData>
  <mergeCells count="167">
    <mergeCell ref="O61:P61"/>
    <mergeCell ref="M55:Q55"/>
    <mergeCell ref="R55:S55"/>
    <mergeCell ref="O58:P59"/>
    <mergeCell ref="Q58:Q59"/>
    <mergeCell ref="R58:R59"/>
    <mergeCell ref="O60:P60"/>
    <mergeCell ref="M51:N54"/>
    <mergeCell ref="O51:Q51"/>
    <mergeCell ref="T51:T54"/>
    <mergeCell ref="O52:O54"/>
    <mergeCell ref="P52:Q52"/>
    <mergeCell ref="P53:Q53"/>
    <mergeCell ref="P54:Q54"/>
    <mergeCell ref="R54:S54"/>
    <mergeCell ref="T47:T48"/>
    <mergeCell ref="P48:Q48"/>
    <mergeCell ref="P49:Q49"/>
    <mergeCell ref="R49:S49"/>
    <mergeCell ref="O50:Q50"/>
    <mergeCell ref="R50:S50"/>
    <mergeCell ref="M45:Q45"/>
    <mergeCell ref="R45:S45"/>
    <mergeCell ref="M46:N50"/>
    <mergeCell ref="O46:Q46"/>
    <mergeCell ref="O47:O49"/>
    <mergeCell ref="P47:Q47"/>
    <mergeCell ref="R42:S42"/>
    <mergeCell ref="E43:E44"/>
    <mergeCell ref="F43:G43"/>
    <mergeCell ref="P43:Q43"/>
    <mergeCell ref="R43:S44"/>
    <mergeCell ref="M39:N44"/>
    <mergeCell ref="O39:Q39"/>
    <mergeCell ref="R39:S39"/>
    <mergeCell ref="R40:S40"/>
    <mergeCell ref="R41:S41"/>
    <mergeCell ref="T43:T44"/>
    <mergeCell ref="F44:G44"/>
    <mergeCell ref="B40:B44"/>
    <mergeCell ref="D40:D44"/>
    <mergeCell ref="E40:E42"/>
    <mergeCell ref="F40:G40"/>
    <mergeCell ref="O40:O44"/>
    <mergeCell ref="P40:Q40"/>
    <mergeCell ref="F41:F42"/>
    <mergeCell ref="P41:Q41"/>
    <mergeCell ref="P42:Q42"/>
    <mergeCell ref="T34:T35"/>
    <mergeCell ref="F35:G35"/>
    <mergeCell ref="O35:P35"/>
    <mergeCell ref="R35:S35"/>
    <mergeCell ref="T36:T37"/>
    <mergeCell ref="P37:Q37"/>
    <mergeCell ref="R37:S37"/>
    <mergeCell ref="P38:Q38"/>
    <mergeCell ref="R38:S38"/>
    <mergeCell ref="T28:T30"/>
    <mergeCell ref="E29:G29"/>
    <mergeCell ref="P29:Q29"/>
    <mergeCell ref="R29:S29"/>
    <mergeCell ref="T31:T33"/>
    <mergeCell ref="E32:G32"/>
    <mergeCell ref="P32:Q32"/>
    <mergeCell ref="R32:S32"/>
    <mergeCell ref="D33:D38"/>
    <mergeCell ref="E33:E35"/>
    <mergeCell ref="F33:G33"/>
    <mergeCell ref="I33:I35"/>
    <mergeCell ref="P33:Q33"/>
    <mergeCell ref="R33:S33"/>
    <mergeCell ref="D30:D32"/>
    <mergeCell ref="E30:G30"/>
    <mergeCell ref="M30:N38"/>
    <mergeCell ref="P30:Q30"/>
    <mergeCell ref="R30:S30"/>
    <mergeCell ref="E31:G31"/>
    <mergeCell ref="O31:O33"/>
    <mergeCell ref="P31:Q31"/>
    <mergeCell ref="R31:S31"/>
    <mergeCell ref="F34:G34"/>
    <mergeCell ref="B25:B38"/>
    <mergeCell ref="E25:G25"/>
    <mergeCell ref="R25:S25"/>
    <mergeCell ref="E26:G26"/>
    <mergeCell ref="M26:Q26"/>
    <mergeCell ref="R26:S26"/>
    <mergeCell ref="D27:D29"/>
    <mergeCell ref="E27:G27"/>
    <mergeCell ref="M27:N29"/>
    <mergeCell ref="O27:Q27"/>
    <mergeCell ref="R27:S27"/>
    <mergeCell ref="E28:G28"/>
    <mergeCell ref="O28:O30"/>
    <mergeCell ref="P28:Q28"/>
    <mergeCell ref="R28:S28"/>
    <mergeCell ref="E36:E38"/>
    <mergeCell ref="F36:F37"/>
    <mergeCell ref="I36:I38"/>
    <mergeCell ref="O36:O37"/>
    <mergeCell ref="P36:Q36"/>
    <mergeCell ref="R36:S36"/>
    <mergeCell ref="O34:Q34"/>
    <mergeCell ref="R34:S34"/>
    <mergeCell ref="P24:Q24"/>
    <mergeCell ref="R24:S24"/>
    <mergeCell ref="T24:T25"/>
    <mergeCell ref="H21:H22"/>
    <mergeCell ref="I21:I22"/>
    <mergeCell ref="K21:K22"/>
    <mergeCell ref="O21:O25"/>
    <mergeCell ref="P21:Q21"/>
    <mergeCell ref="R21:S21"/>
    <mergeCell ref="P22:Q22"/>
    <mergeCell ref="R22:S22"/>
    <mergeCell ref="B17:B23"/>
    <mergeCell ref="E17:G17"/>
    <mergeCell ref="P17:Q17"/>
    <mergeCell ref="R17:S17"/>
    <mergeCell ref="E18:G18"/>
    <mergeCell ref="O18:O19"/>
    <mergeCell ref="P18:Q18"/>
    <mergeCell ref="R18:S18"/>
    <mergeCell ref="D21:D22"/>
    <mergeCell ref="E21:G22"/>
    <mergeCell ref="E23:G23"/>
    <mergeCell ref="P23:Q23"/>
    <mergeCell ref="R23:S23"/>
    <mergeCell ref="T12:T14"/>
    <mergeCell ref="E13:G13"/>
    <mergeCell ref="P13:Q13"/>
    <mergeCell ref="R13:S13"/>
    <mergeCell ref="E14:G14"/>
    <mergeCell ref="P14:Q14"/>
    <mergeCell ref="R14:S14"/>
    <mergeCell ref="T18:T19"/>
    <mergeCell ref="D19:D20"/>
    <mergeCell ref="E19:G19"/>
    <mergeCell ref="P19:Q19"/>
    <mergeCell ref="R19:S19"/>
    <mergeCell ref="E20:G20"/>
    <mergeCell ref="O20:Q20"/>
    <mergeCell ref="R20:S20"/>
    <mergeCell ref="M4:T4"/>
    <mergeCell ref="B7:D8"/>
    <mergeCell ref="H7:H8"/>
    <mergeCell ref="I7:I8"/>
    <mergeCell ref="E8:G8"/>
    <mergeCell ref="M9:T9"/>
    <mergeCell ref="B10:B15"/>
    <mergeCell ref="E10:G10"/>
    <mergeCell ref="M10:Q11"/>
    <mergeCell ref="R10:S11"/>
    <mergeCell ref="T10:T11"/>
    <mergeCell ref="E11:G11"/>
    <mergeCell ref="E12:G12"/>
    <mergeCell ref="M12:N25"/>
    <mergeCell ref="O12:O14"/>
    <mergeCell ref="P12:Q12"/>
    <mergeCell ref="E15:G15"/>
    <mergeCell ref="O15:O17"/>
    <mergeCell ref="P15:Q15"/>
    <mergeCell ref="R15:S15"/>
    <mergeCell ref="T15:T16"/>
    <mergeCell ref="P16:Q16"/>
    <mergeCell ref="R16:S16"/>
    <mergeCell ref="R12:S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5" tint="0.79998168889431442"/>
  </sheetPr>
  <dimension ref="A1:FC118"/>
  <sheetViews>
    <sheetView showGridLines="0" topLeftCell="AL1" zoomScale="85" zoomScaleNormal="85" workbookViewId="0">
      <selection activeCell="BV7" sqref="BV7:CC7"/>
    </sheetView>
  </sheetViews>
  <sheetFormatPr defaultColWidth="0" defaultRowHeight="16.5" zeroHeight="1"/>
  <cols>
    <col min="1" max="64" width="1.75" customWidth="1"/>
    <col min="65" max="65" width="5" customWidth="1"/>
    <col min="66" max="75" width="2.625" customWidth="1"/>
    <col min="76" max="76" width="4.125" customWidth="1"/>
    <col min="77" max="80" width="2.625" customWidth="1"/>
    <col min="81" max="81" width="7.375" customWidth="1"/>
    <col min="82" max="83" width="2.625" customWidth="1"/>
    <col min="84" max="84" width="5.5" customWidth="1"/>
    <col min="85" max="88" width="2.625" customWidth="1"/>
    <col min="89" max="89" width="4.625" customWidth="1"/>
    <col min="90" max="91" width="2.625" customWidth="1"/>
    <col min="92" max="92" width="3.125" customWidth="1"/>
    <col min="93" max="93" width="8.625" customWidth="1"/>
    <col min="94" max="97" width="2.625" customWidth="1"/>
    <col min="98" max="153" width="9" hidden="1" customWidth="1"/>
    <col min="154" max="16366" width="9" customWidth="1"/>
    <col min="16367" max="16367" width="28.5" customWidth="1"/>
    <col min="16368" max="16384" width="7.375" customWidth="1"/>
  </cols>
  <sheetData>
    <row r="1" spans="1:159" ht="12.75" customHeight="1" thickBot="1">
      <c r="A1" s="99"/>
      <c r="B1" s="99"/>
      <c r="C1" s="99"/>
      <c r="D1" s="99"/>
      <c r="E1" s="99"/>
      <c r="F1" s="99"/>
      <c r="G1" s="99"/>
      <c r="H1" s="99"/>
      <c r="I1" s="99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1"/>
      <c r="CP1" s="1269" t="s">
        <v>3639</v>
      </c>
      <c r="CQ1" s="1269"/>
      <c r="CR1" s="1269"/>
      <c r="CS1" s="1269"/>
    </row>
    <row r="2" spans="1:159" ht="18" customHeigh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213" t="b">
        <f>IF(BV8="캐스퍼",TRUE,$AU$2)</f>
        <v>0</v>
      </c>
      <c r="AU2" s="659" t="b">
        <v>0</v>
      </c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N2" s="1219" t="s">
        <v>63</v>
      </c>
      <c r="BO2" s="1220"/>
      <c r="BP2" s="1220"/>
      <c r="BQ2" s="1220"/>
      <c r="BR2" s="1220"/>
      <c r="BS2" s="1220"/>
      <c r="BT2" s="1220"/>
      <c r="BU2" s="1220"/>
      <c r="BV2" s="1299" t="s">
        <v>1626</v>
      </c>
      <c r="BW2" s="1299"/>
      <c r="BX2" s="1299"/>
      <c r="BY2" s="1299"/>
      <c r="BZ2" s="1299"/>
      <c r="CA2" s="1299"/>
      <c r="CB2" s="1299"/>
      <c r="CC2" s="1300"/>
      <c r="CD2" s="1219" t="s">
        <v>70</v>
      </c>
      <c r="CE2" s="1220"/>
      <c r="CF2" s="1220"/>
      <c r="CG2" s="1220"/>
      <c r="CH2" s="1220"/>
      <c r="CI2" s="1220"/>
      <c r="CJ2" s="1220"/>
      <c r="CK2" s="1220"/>
      <c r="CL2" s="1291">
        <f>BD6</f>
        <v>45658</v>
      </c>
      <c r="CM2" s="1292"/>
      <c r="CN2" s="1292"/>
      <c r="CO2" s="1292"/>
      <c r="CP2" s="1292"/>
      <c r="CQ2" s="1292"/>
      <c r="CR2" s="1292"/>
      <c r="CS2" s="1293"/>
      <c r="EX2" s="730" t="s">
        <v>3548</v>
      </c>
      <c r="EY2" s="1464" t="s">
        <v>3553</v>
      </c>
      <c r="EZ2" s="1465"/>
      <c r="FA2" s="1465"/>
      <c r="FB2" s="1465"/>
      <c r="FC2" s="745"/>
    </row>
    <row r="3" spans="1:159" ht="36" customHeight="1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N3" s="1192" t="s">
        <v>67</v>
      </c>
      <c r="BO3" s="1193"/>
      <c r="BP3" s="1193"/>
      <c r="BQ3" s="1193"/>
      <c r="BR3" s="1193"/>
      <c r="BS3" s="1193"/>
      <c r="BT3" s="1193"/>
      <c r="BU3" s="1193"/>
      <c r="BV3" s="1190" t="s">
        <v>3236</v>
      </c>
      <c r="BW3" s="1190"/>
      <c r="BX3" s="1190"/>
      <c r="BY3" s="1190"/>
      <c r="BZ3" s="1190"/>
      <c r="CA3" s="1190"/>
      <c r="CB3" s="1190"/>
      <c r="CC3" s="1266"/>
      <c r="CD3" s="1192" t="s">
        <v>3241</v>
      </c>
      <c r="CE3" s="1193"/>
      <c r="CF3" s="1193"/>
      <c r="CG3" s="1193"/>
      <c r="CH3" s="1193"/>
      <c r="CI3" s="1193"/>
      <c r="CJ3" s="1193"/>
      <c r="CK3" s="1193"/>
      <c r="CL3" s="1306" t="s">
        <v>3812</v>
      </c>
      <c r="CM3" s="1307"/>
      <c r="CN3" s="1307"/>
      <c r="CO3" s="1307"/>
      <c r="CP3" s="1308"/>
      <c r="CQ3" s="1306"/>
      <c r="CR3" s="1307"/>
      <c r="CS3" s="1309"/>
      <c r="EX3" s="750">
        <v>2025</v>
      </c>
      <c r="EY3" s="1464"/>
      <c r="EZ3" s="1465"/>
      <c r="FA3" s="1465"/>
      <c r="FB3" s="1465"/>
      <c r="FC3" s="745"/>
    </row>
    <row r="4" spans="1:159" ht="18" customHeight="1" thickBot="1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102"/>
      <c r="BN4" s="1181" t="s">
        <v>68</v>
      </c>
      <c r="BO4" s="1182"/>
      <c r="BP4" s="1182"/>
      <c r="BQ4" s="1182"/>
      <c r="BR4" s="1182"/>
      <c r="BS4" s="1182"/>
      <c r="BT4" s="1182"/>
      <c r="BU4" s="1182"/>
      <c r="BV4" s="1294"/>
      <c r="BW4" s="1294"/>
      <c r="BX4" s="1294"/>
      <c r="BY4" s="1294"/>
      <c r="BZ4" s="1294"/>
      <c r="CA4" s="1294"/>
      <c r="CB4" s="1294"/>
      <c r="CC4" s="1310"/>
      <c r="CD4" s="1181" t="s">
        <v>69</v>
      </c>
      <c r="CE4" s="1182"/>
      <c r="CF4" s="1182"/>
      <c r="CG4" s="1182"/>
      <c r="CH4" s="1182"/>
      <c r="CI4" s="1182"/>
      <c r="CJ4" s="1182"/>
      <c r="CK4" s="1182"/>
      <c r="CL4" s="1294"/>
      <c r="CM4" s="1294"/>
      <c r="CN4" s="1294"/>
      <c r="CO4" s="1294"/>
      <c r="CP4" s="1294"/>
      <c r="CQ4" s="1294"/>
      <c r="CR4" s="1294"/>
      <c r="CS4" s="1295"/>
      <c r="EX4" s="1466" t="s">
        <v>3549</v>
      </c>
      <c r="EY4" s="1466"/>
      <c r="EZ4" s="1466"/>
      <c r="FA4" s="1466"/>
    </row>
    <row r="5" spans="1:159" ht="5.25" customHeight="1" thickBot="1">
      <c r="A5" s="76"/>
      <c r="B5" s="76"/>
      <c r="C5" s="76"/>
      <c r="D5" s="76"/>
      <c r="E5" s="76"/>
      <c r="F5" s="76"/>
      <c r="G5" s="76"/>
      <c r="H5" s="76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76"/>
      <c r="AC5" s="76"/>
      <c r="AD5" s="76"/>
      <c r="AE5" s="76"/>
      <c r="AF5" s="76"/>
      <c r="AG5" s="76"/>
      <c r="AH5" s="84"/>
      <c r="AI5" s="84"/>
      <c r="AJ5" s="84"/>
      <c r="AK5" s="84"/>
      <c r="AL5" s="84"/>
      <c r="AM5" s="84"/>
      <c r="AN5" s="84"/>
      <c r="AO5" s="76"/>
      <c r="AP5" s="85"/>
      <c r="AQ5" s="85"/>
      <c r="AR5" s="85"/>
      <c r="AS5" s="85"/>
      <c r="AT5" s="85"/>
      <c r="AU5" s="85"/>
      <c r="AV5" s="86"/>
      <c r="AW5" s="84"/>
      <c r="AX5" s="84"/>
      <c r="AY5" s="84"/>
      <c r="AZ5" s="84"/>
      <c r="BA5" s="84"/>
      <c r="BB5" s="84"/>
      <c r="BC5" s="84"/>
      <c r="BD5" s="221">
        <f>MONTH(BD6)</f>
        <v>1</v>
      </c>
      <c r="BE5" s="85"/>
      <c r="BF5" s="85"/>
      <c r="BG5" s="85"/>
      <c r="BH5" s="85"/>
      <c r="BI5" s="85"/>
      <c r="BJ5" s="85"/>
      <c r="BK5" s="85"/>
      <c r="BL5" s="102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8"/>
      <c r="CR5" s="98"/>
      <c r="CS5" s="98"/>
      <c r="EX5" s="1466"/>
      <c r="EY5" s="1466"/>
      <c r="EZ5" s="1466"/>
      <c r="FA5" s="1466"/>
    </row>
    <row r="6" spans="1:159" ht="18" customHeight="1">
      <c r="A6" s="76"/>
      <c r="B6" s="1241" t="s">
        <v>1449</v>
      </c>
      <c r="C6" s="1241"/>
      <c r="D6" s="1241"/>
      <c r="E6" s="1241"/>
      <c r="F6" s="1241"/>
      <c r="G6" s="1241"/>
      <c r="H6" s="1243" t="str">
        <f>BV3</f>
        <v>VIP</v>
      </c>
      <c r="I6" s="1243"/>
      <c r="J6" s="1243"/>
      <c r="K6" s="1243"/>
      <c r="L6" s="1243"/>
      <c r="M6" s="1243"/>
      <c r="N6" s="1243"/>
      <c r="O6" s="1243"/>
      <c r="P6" s="1243"/>
      <c r="Q6" s="1243"/>
      <c r="R6" s="1243"/>
      <c r="S6" s="1243"/>
      <c r="T6" s="1243"/>
      <c r="U6" s="1243"/>
      <c r="V6" s="1243"/>
      <c r="W6" s="1243"/>
      <c r="X6" s="1243"/>
      <c r="Y6" s="1243"/>
      <c r="Z6" s="1243"/>
      <c r="AA6" s="1243"/>
      <c r="AB6" s="1245" t="s">
        <v>1450</v>
      </c>
      <c r="AC6" s="1245"/>
      <c r="AD6" s="1245"/>
      <c r="AE6" s="1245"/>
      <c r="AF6" s="87"/>
      <c r="AG6" s="87"/>
      <c r="AH6" s="1257" t="s">
        <v>1451</v>
      </c>
      <c r="AI6" s="1257"/>
      <c r="AJ6" s="1257"/>
      <c r="AK6" s="1257"/>
      <c r="AL6" s="1257"/>
      <c r="AM6" s="1257"/>
      <c r="AN6" s="1257"/>
      <c r="AO6" s="1253">
        <f ca="1">TODAY()</f>
        <v>45673</v>
      </c>
      <c r="AP6" s="1253"/>
      <c r="AQ6" s="1253"/>
      <c r="AR6" s="1253"/>
      <c r="AS6" s="1253"/>
      <c r="AT6" s="1253"/>
      <c r="AU6" s="1253"/>
      <c r="AV6" s="1253"/>
      <c r="AW6" s="1257" t="s">
        <v>1463</v>
      </c>
      <c r="AX6" s="1257"/>
      <c r="AY6" s="1257"/>
      <c r="AZ6" s="1257"/>
      <c r="BA6" s="1257"/>
      <c r="BB6" s="1257"/>
      <c r="BC6" s="1257"/>
      <c r="BD6" s="1255">
        <f>운영조건!B5</f>
        <v>45658</v>
      </c>
      <c r="BE6" s="1255"/>
      <c r="BF6" s="1255"/>
      <c r="BG6" s="1255"/>
      <c r="BH6" s="1255"/>
      <c r="BI6" s="1255"/>
      <c r="BJ6" s="1255"/>
      <c r="BK6" s="1255"/>
      <c r="BL6" s="232">
        <f ca="1">IF(AO6&gt;BM6,1,0)</f>
        <v>0</v>
      </c>
      <c r="BM6" s="219">
        <f>BD6+39</f>
        <v>45697</v>
      </c>
      <c r="BN6" s="1219" t="s">
        <v>81</v>
      </c>
      <c r="BO6" s="1220"/>
      <c r="BP6" s="1220"/>
      <c r="BQ6" s="1220"/>
      <c r="BR6" s="1220"/>
      <c r="BS6" s="1220"/>
      <c r="BT6" s="1220"/>
      <c r="BU6" s="1220"/>
      <c r="BV6" s="1299" t="s">
        <v>3808</v>
      </c>
      <c r="BW6" s="1299"/>
      <c r="BX6" s="1299"/>
      <c r="BY6" s="1299"/>
      <c r="BZ6" s="1299"/>
      <c r="CA6" s="1299"/>
      <c r="CB6" s="1299"/>
      <c r="CC6" s="1312"/>
      <c r="CD6" s="1249" t="s">
        <v>1728</v>
      </c>
      <c r="CE6" s="1250"/>
      <c r="CF6" s="1250"/>
      <c r="CG6" s="1250"/>
      <c r="CH6" s="1250"/>
      <c r="CI6" s="1250"/>
      <c r="CJ6" s="1250"/>
      <c r="CK6" s="1251"/>
      <c r="CL6" s="1316" t="str">
        <f>VLOOKUP($BN$9,차량!$A:$I,8,0)</f>
        <v>가솔린</v>
      </c>
      <c r="CM6" s="1317"/>
      <c r="CN6" s="1317"/>
      <c r="CO6" s="1317"/>
      <c r="CP6" s="1318">
        <f>VLOOKUP($BN$9,차량!$A:$I,7,0)</f>
        <v>3500</v>
      </c>
      <c r="CQ6" s="1319"/>
      <c r="CR6" s="1319"/>
      <c r="CS6" s="1320"/>
      <c r="EX6" s="1466"/>
      <c r="EY6" s="1466"/>
      <c r="EZ6" s="1466"/>
      <c r="FA6" s="1466"/>
    </row>
    <row r="7" spans="1:159" ht="18" customHeight="1" thickBot="1">
      <c r="A7" s="76"/>
      <c r="B7" s="1242"/>
      <c r="C7" s="1242"/>
      <c r="D7" s="1242"/>
      <c r="E7" s="1242"/>
      <c r="F7" s="1242"/>
      <c r="G7" s="1242"/>
      <c r="H7" s="1244"/>
      <c r="I7" s="1244"/>
      <c r="J7" s="1244"/>
      <c r="K7" s="1244"/>
      <c r="L7" s="1244"/>
      <c r="M7" s="1244"/>
      <c r="N7" s="1244"/>
      <c r="O7" s="1244"/>
      <c r="P7" s="1244"/>
      <c r="Q7" s="1244"/>
      <c r="R7" s="1244"/>
      <c r="S7" s="1244"/>
      <c r="T7" s="1244"/>
      <c r="U7" s="1244"/>
      <c r="V7" s="1244"/>
      <c r="W7" s="1244"/>
      <c r="X7" s="1244"/>
      <c r="Y7" s="1244"/>
      <c r="Z7" s="1244"/>
      <c r="AA7" s="1244"/>
      <c r="AB7" s="1246"/>
      <c r="AC7" s="1246"/>
      <c r="AD7" s="1246"/>
      <c r="AE7" s="1246"/>
      <c r="AF7" s="87"/>
      <c r="AG7" s="87"/>
      <c r="AH7" s="1256" t="s">
        <v>1452</v>
      </c>
      <c r="AI7" s="1256"/>
      <c r="AJ7" s="1256"/>
      <c r="AK7" s="1256"/>
      <c r="AL7" s="1256"/>
      <c r="AM7" s="1256"/>
      <c r="AN7" s="1256"/>
      <c r="AO7" s="1254">
        <f>CQ3</f>
        <v>0</v>
      </c>
      <c r="AP7" s="1254"/>
      <c r="AQ7" s="1254"/>
      <c r="AR7" s="1254"/>
      <c r="AS7" s="1254"/>
      <c r="AT7" s="1254"/>
      <c r="AU7" s="1254"/>
      <c r="AV7" s="1254"/>
      <c r="AW7" s="1256" t="s">
        <v>1453</v>
      </c>
      <c r="AX7" s="1256"/>
      <c r="AY7" s="1256"/>
      <c r="AZ7" s="1256"/>
      <c r="BA7" s="1256"/>
      <c r="BB7" s="1256"/>
      <c r="BC7" s="1256"/>
      <c r="BD7" s="1254">
        <f>CL4</f>
        <v>0</v>
      </c>
      <c r="BE7" s="1254"/>
      <c r="BF7" s="1254"/>
      <c r="BG7" s="1254"/>
      <c r="BH7" s="1254"/>
      <c r="BI7" s="1254"/>
      <c r="BJ7" s="1254"/>
      <c r="BK7" s="1254"/>
      <c r="BL7" s="102"/>
      <c r="BN7" s="1304" t="s">
        <v>72</v>
      </c>
      <c r="BO7" s="1305"/>
      <c r="BP7" s="1305"/>
      <c r="BQ7" s="1305"/>
      <c r="BR7" s="1305"/>
      <c r="BS7" s="1305"/>
      <c r="BT7" s="1305"/>
      <c r="BU7" s="1305"/>
      <c r="BV7" s="1311" t="s">
        <v>40</v>
      </c>
      <c r="BW7" s="1311"/>
      <c r="BX7" s="1311"/>
      <c r="BY7" s="1311"/>
      <c r="BZ7" s="1311"/>
      <c r="CA7" s="1311"/>
      <c r="CB7" s="1311"/>
      <c r="CC7" s="1280"/>
      <c r="CD7" s="1313" t="s">
        <v>1729</v>
      </c>
      <c r="CE7" s="1314"/>
      <c r="CF7" s="1314"/>
      <c r="CG7" s="1314"/>
      <c r="CH7" s="1314"/>
      <c r="CI7" s="1314"/>
      <c r="CJ7" s="1314"/>
      <c r="CK7" s="1315"/>
      <c r="CL7" s="1301"/>
      <c r="CM7" s="1302"/>
      <c r="CN7" s="1302"/>
      <c r="CO7" s="1302"/>
      <c r="CP7" s="1302"/>
      <c r="CQ7" s="1302"/>
      <c r="CR7" s="1302"/>
      <c r="CS7" s="1303"/>
      <c r="EX7" s="1468" t="s">
        <v>3529</v>
      </c>
      <c r="EY7" s="1468"/>
      <c r="EZ7" s="1468"/>
      <c r="FA7" s="1468"/>
    </row>
    <row r="8" spans="1:159" ht="18" customHeight="1" thickTop="1">
      <c r="A8" s="76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102"/>
      <c r="BN8" s="1192" t="s">
        <v>2257</v>
      </c>
      <c r="BO8" s="1193"/>
      <c r="BP8" s="1193"/>
      <c r="BQ8" s="1193"/>
      <c r="BR8" s="1193"/>
      <c r="BS8" s="1193"/>
      <c r="BT8" s="1193"/>
      <c r="BU8" s="1193"/>
      <c r="BV8" s="1190" t="s">
        <v>3809</v>
      </c>
      <c r="BW8" s="1190"/>
      <c r="BX8" s="1190"/>
      <c r="BY8" s="1190"/>
      <c r="BZ8" s="1190"/>
      <c r="CA8" s="1190"/>
      <c r="CB8" s="1190"/>
      <c r="CC8" s="1191"/>
      <c r="CD8" s="1259" t="s">
        <v>1720</v>
      </c>
      <c r="CE8" s="1260"/>
      <c r="CF8" s="1260"/>
      <c r="CG8" s="1260"/>
      <c r="CH8" s="1260"/>
      <c r="CI8" s="1260"/>
      <c r="CJ8" s="1260"/>
      <c r="CK8" s="1260"/>
      <c r="CL8" s="1297">
        <v>0</v>
      </c>
      <c r="CM8" s="1297"/>
      <c r="CN8" s="1297"/>
      <c r="CO8" s="1297"/>
      <c r="CP8" s="1297"/>
      <c r="CQ8" s="1297"/>
      <c r="CR8" s="1297"/>
      <c r="CS8" s="1298"/>
      <c r="EX8" s="1468"/>
      <c r="EY8" s="1468"/>
      <c r="EZ8" s="1468"/>
      <c r="FA8" s="1468"/>
    </row>
    <row r="9" spans="1:159" ht="18" customHeight="1">
      <c r="A9" s="76"/>
      <c r="B9" s="89" t="s">
        <v>1454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103"/>
      <c r="BN9" s="1362" t="s">
        <v>3811</v>
      </c>
      <c r="BO9" s="1363"/>
      <c r="BP9" s="1363"/>
      <c r="BQ9" s="1363"/>
      <c r="BR9" s="1363"/>
      <c r="BS9" s="1363"/>
      <c r="BT9" s="1363"/>
      <c r="BU9" s="1363"/>
      <c r="BV9" s="1363"/>
      <c r="BW9" s="1363"/>
      <c r="BX9" s="1363"/>
      <c r="BY9" s="1363"/>
      <c r="BZ9" s="1363"/>
      <c r="CA9" s="1363"/>
      <c r="CB9" s="1363"/>
      <c r="CC9" s="1364"/>
      <c r="CD9" s="1355" t="s">
        <v>1663</v>
      </c>
      <c r="CE9" s="1356"/>
      <c r="CF9" s="1356"/>
      <c r="CG9" s="1356"/>
      <c r="CH9" s="1356"/>
      <c r="CI9" s="1356"/>
      <c r="CJ9" s="1356"/>
      <c r="CK9" s="1356"/>
      <c r="CL9" s="1296" t="str">
        <f>+VLOOKUP(BV6,기타정보!$E$3:$U$4,17,0)</f>
        <v>용인</v>
      </c>
      <c r="CM9" s="1296"/>
      <c r="CN9" s="1296"/>
      <c r="CO9" s="1296"/>
      <c r="CP9" s="1381">
        <v>0</v>
      </c>
      <c r="CQ9" s="1381"/>
      <c r="CR9" s="1381"/>
      <c r="CS9" s="1382"/>
      <c r="EX9" s="1467" t="s">
        <v>3526</v>
      </c>
      <c r="EY9" s="1467"/>
      <c r="EZ9" s="1467"/>
      <c r="FA9" s="1467"/>
    </row>
    <row r="10" spans="1:159" ht="34.5" customHeight="1">
      <c r="A10" s="76"/>
      <c r="B10" s="1240" t="s">
        <v>1455</v>
      </c>
      <c r="C10" s="1135"/>
      <c r="D10" s="1135"/>
      <c r="E10" s="1135"/>
      <c r="F10" s="1135"/>
      <c r="G10" s="1135"/>
      <c r="H10" s="1132" t="str">
        <f>BV7</f>
        <v>현대</v>
      </c>
      <c r="I10" s="1132"/>
      <c r="J10" s="1132"/>
      <c r="K10" s="1132"/>
      <c r="L10" s="1132"/>
      <c r="M10" s="1132"/>
      <c r="N10" s="1132"/>
      <c r="O10" s="1132"/>
      <c r="P10" s="1132"/>
      <c r="Q10" s="1132"/>
      <c r="R10" s="1132"/>
      <c r="S10" s="1132"/>
      <c r="T10" s="1135" t="s">
        <v>1456</v>
      </c>
      <c r="U10" s="1135"/>
      <c r="V10" s="1135"/>
      <c r="W10" s="1135"/>
      <c r="X10" s="1135"/>
      <c r="Y10" s="1135"/>
      <c r="Z10" s="1135"/>
      <c r="AA10" s="1135"/>
      <c r="AB10" s="1135"/>
      <c r="AC10" s="1247" t="str">
        <f>BN9</f>
        <v>신형 G90_3.5GT 일렉트릭 슈퍼차저 AWD(4인승)</v>
      </c>
      <c r="AD10" s="1247"/>
      <c r="AE10" s="1247"/>
      <c r="AF10" s="1247"/>
      <c r="AG10" s="1247"/>
      <c r="AH10" s="1247"/>
      <c r="AI10" s="1247"/>
      <c r="AJ10" s="1247"/>
      <c r="AK10" s="1247"/>
      <c r="AL10" s="1247"/>
      <c r="AM10" s="1247"/>
      <c r="AN10" s="1247"/>
      <c r="AO10" s="1247"/>
      <c r="AP10" s="1247"/>
      <c r="AQ10" s="1247"/>
      <c r="AR10" s="1247"/>
      <c r="AS10" s="1247"/>
      <c r="AT10" s="1247"/>
      <c r="AU10" s="1247"/>
      <c r="AV10" s="1247"/>
      <c r="AW10" s="1247"/>
      <c r="AX10" s="1247"/>
      <c r="AY10" s="1247"/>
      <c r="AZ10" s="1247"/>
      <c r="BA10" s="1247"/>
      <c r="BB10" s="1247"/>
      <c r="BC10" s="1247"/>
      <c r="BD10" s="1247"/>
      <c r="BE10" s="1247"/>
      <c r="BF10" s="1247"/>
      <c r="BG10" s="1247"/>
      <c r="BH10" s="1247"/>
      <c r="BI10" s="1247"/>
      <c r="BJ10" s="1247"/>
      <c r="BK10" s="1248"/>
      <c r="BL10" s="103"/>
      <c r="BN10" s="1365"/>
      <c r="BO10" s="1366"/>
      <c r="BP10" s="1366"/>
      <c r="BQ10" s="1366"/>
      <c r="BR10" s="1366"/>
      <c r="BS10" s="1366"/>
      <c r="BT10" s="1366"/>
      <c r="BU10" s="1366"/>
      <c r="BV10" s="1366"/>
      <c r="BW10" s="1366"/>
      <c r="BX10" s="1366"/>
      <c r="BY10" s="1366"/>
      <c r="BZ10" s="1366"/>
      <c r="CA10" s="1366"/>
      <c r="CB10" s="1366"/>
      <c r="CC10" s="1367"/>
      <c r="CD10" s="1379" t="s">
        <v>1378</v>
      </c>
      <c r="CE10" s="1380"/>
      <c r="CF10" s="1380"/>
      <c r="CG10" s="1380"/>
      <c r="CH10" s="1380"/>
      <c r="CI10" s="1380"/>
      <c r="CJ10" s="1380"/>
      <c r="CK10" s="1380"/>
      <c r="CL10" s="1296" t="str">
        <f>IF(OR($BV$6="대리점/지점",$AT$2=TRUE),$CL$9,VLOOKUP(BN9,차량!$A:$S,19,0))</f>
        <v>용인</v>
      </c>
      <c r="CM10" s="1296"/>
      <c r="CN10" s="1296"/>
      <c r="CO10" s="1296"/>
      <c r="CP10" s="1360" t="s">
        <v>1402</v>
      </c>
      <c r="CQ10" s="1360"/>
      <c r="CR10" s="1360"/>
      <c r="CS10" s="1361"/>
      <c r="EX10" s="1467"/>
      <c r="EY10" s="1467"/>
      <c r="EZ10" s="1467"/>
      <c r="FA10" s="1467"/>
    </row>
    <row r="11" spans="1:159" ht="18" customHeight="1">
      <c r="A11" s="76"/>
      <c r="B11" s="1143" t="s">
        <v>1457</v>
      </c>
      <c r="C11" s="1144"/>
      <c r="D11" s="1144"/>
      <c r="E11" s="1144"/>
      <c r="F11" s="1144"/>
      <c r="G11" s="1144"/>
      <c r="H11" s="1151">
        <f>BV11</f>
        <v>0</v>
      </c>
      <c r="I11" s="1151"/>
      <c r="J11" s="1151"/>
      <c r="K11" s="1151"/>
      <c r="L11" s="1151"/>
      <c r="M11" s="1151"/>
      <c r="N11" s="1151"/>
      <c r="O11" s="1151"/>
      <c r="P11" s="1151"/>
      <c r="Q11" s="1151"/>
      <c r="R11" s="1151"/>
      <c r="S11" s="1151"/>
      <c r="T11" s="1151"/>
      <c r="U11" s="1151"/>
      <c r="V11" s="1151"/>
      <c r="W11" s="1151"/>
      <c r="X11" s="1151"/>
      <c r="Y11" s="1151"/>
      <c r="Z11" s="1151"/>
      <c r="AA11" s="1151"/>
      <c r="AB11" s="1151"/>
      <c r="AC11" s="1151"/>
      <c r="AD11" s="1151"/>
      <c r="AE11" s="1151"/>
      <c r="AF11" s="1151"/>
      <c r="AG11" s="1151"/>
      <c r="AH11" s="1151"/>
      <c r="AI11" s="1151"/>
      <c r="AJ11" s="1151"/>
      <c r="AK11" s="1151"/>
      <c r="AL11" s="1144" t="s">
        <v>1461</v>
      </c>
      <c r="AM11" s="1144"/>
      <c r="AN11" s="1144"/>
      <c r="AO11" s="1144"/>
      <c r="AP11" s="1144"/>
      <c r="AQ11" s="1144"/>
      <c r="AR11" s="1151" t="str">
        <f>CL6</f>
        <v>가솔린</v>
      </c>
      <c r="AS11" s="1151"/>
      <c r="AT11" s="1151"/>
      <c r="AU11" s="1151"/>
      <c r="AV11" s="1151"/>
      <c r="AW11" s="1151"/>
      <c r="AX11" s="1151"/>
      <c r="AY11" s="1144" t="s">
        <v>1462</v>
      </c>
      <c r="AZ11" s="1144"/>
      <c r="BA11" s="1144"/>
      <c r="BB11" s="1144"/>
      <c r="BC11" s="1144"/>
      <c r="BD11" s="1144"/>
      <c r="BE11" s="1264">
        <f>CP6</f>
        <v>3500</v>
      </c>
      <c r="BF11" s="1264"/>
      <c r="BG11" s="1264"/>
      <c r="BH11" s="1264"/>
      <c r="BI11" s="1264"/>
      <c r="BJ11" s="1264"/>
      <c r="BK11" s="1265"/>
      <c r="BL11" s="103"/>
      <c r="BN11" s="1352" t="s">
        <v>3172</v>
      </c>
      <c r="BO11" s="1353"/>
      <c r="BP11" s="1353"/>
      <c r="BQ11" s="1353"/>
      <c r="BR11" s="1353"/>
      <c r="BS11" s="1353"/>
      <c r="BT11" s="1353"/>
      <c r="BU11" s="1354"/>
      <c r="BV11" s="1261"/>
      <c r="BW11" s="1262"/>
      <c r="BX11" s="1262"/>
      <c r="BY11" s="1262"/>
      <c r="BZ11" s="1262"/>
      <c r="CA11" s="1262"/>
      <c r="CB11" s="1262"/>
      <c r="CC11" s="1263"/>
      <c r="CD11" s="1258" t="s">
        <v>78</v>
      </c>
      <c r="CE11" s="1252"/>
      <c r="CF11" s="1252" t="s">
        <v>82</v>
      </c>
      <c r="CG11" s="1252"/>
      <c r="CH11" s="1252"/>
      <c r="CI11" s="1252"/>
      <c r="CJ11" s="1252"/>
      <c r="CK11" s="1252"/>
      <c r="CL11" s="1378" t="s">
        <v>1625</v>
      </c>
      <c r="CM11" s="1378"/>
      <c r="CN11" s="1378"/>
      <c r="CO11" s="1378"/>
      <c r="CP11" s="1350">
        <v>0.35</v>
      </c>
      <c r="CQ11" s="1350"/>
      <c r="CR11" s="1350"/>
      <c r="CS11" s="1351"/>
      <c r="EX11" s="1467"/>
      <c r="EY11" s="1467"/>
      <c r="EZ11" s="1467"/>
      <c r="FA11" s="1467"/>
    </row>
    <row r="12" spans="1:159" ht="18" customHeight="1">
      <c r="A12" s="76"/>
      <c r="B12" s="1094" t="s">
        <v>1458</v>
      </c>
      <c r="C12" s="1095"/>
      <c r="D12" s="1095"/>
      <c r="E12" s="1095"/>
      <c r="F12" s="1095"/>
      <c r="G12" s="1095"/>
      <c r="H12" s="1138">
        <f>BV12</f>
        <v>0</v>
      </c>
      <c r="I12" s="1138"/>
      <c r="J12" s="1138"/>
      <c r="K12" s="1138"/>
      <c r="L12" s="1138"/>
      <c r="M12" s="1138"/>
      <c r="N12" s="1138"/>
      <c r="O12" s="1138"/>
      <c r="P12" s="1138"/>
      <c r="Q12" s="1138"/>
      <c r="R12" s="1138"/>
      <c r="S12" s="1138"/>
      <c r="T12" s="1095" t="s">
        <v>1459</v>
      </c>
      <c r="U12" s="1095"/>
      <c r="V12" s="1095"/>
      <c r="W12" s="1095"/>
      <c r="X12" s="1095"/>
      <c r="Y12" s="1095"/>
      <c r="Z12" s="1138">
        <f>BV13</f>
        <v>0</v>
      </c>
      <c r="AA12" s="1138"/>
      <c r="AB12" s="1138"/>
      <c r="AC12" s="1138"/>
      <c r="AD12" s="1138"/>
      <c r="AE12" s="1138"/>
      <c r="AF12" s="1138"/>
      <c r="AG12" s="1138"/>
      <c r="AH12" s="1138"/>
      <c r="AI12" s="1138"/>
      <c r="AJ12" s="1138"/>
      <c r="AK12" s="1138"/>
      <c r="AL12" s="1095" t="s">
        <v>1460</v>
      </c>
      <c r="AM12" s="1095"/>
      <c r="AN12" s="1095"/>
      <c r="AO12" s="1095"/>
      <c r="AP12" s="1095"/>
      <c r="AQ12" s="1095"/>
      <c r="AR12" s="1095"/>
      <c r="AS12" s="1095"/>
      <c r="AT12" s="1095"/>
      <c r="AU12" s="1435">
        <f>BV14</f>
        <v>46350000</v>
      </c>
      <c r="AV12" s="1435"/>
      <c r="AW12" s="1435"/>
      <c r="AX12" s="1435"/>
      <c r="AY12" s="1435"/>
      <c r="AZ12" s="1435"/>
      <c r="BA12" s="1435"/>
      <c r="BB12" s="1435"/>
      <c r="BC12" s="1435"/>
      <c r="BD12" s="1435"/>
      <c r="BE12" s="1435"/>
      <c r="BF12" s="1435"/>
      <c r="BG12" s="1435"/>
      <c r="BH12" s="1435"/>
      <c r="BI12" s="1435"/>
      <c r="BJ12" s="1435"/>
      <c r="BK12" s="1436"/>
      <c r="BL12" s="103"/>
      <c r="BN12" s="1192" t="s">
        <v>75</v>
      </c>
      <c r="BO12" s="1193"/>
      <c r="BP12" s="1193"/>
      <c r="BQ12" s="1193"/>
      <c r="BR12" s="1193"/>
      <c r="BS12" s="1193"/>
      <c r="BT12" s="1193"/>
      <c r="BU12" s="1193"/>
      <c r="BV12" s="1266"/>
      <c r="BW12" s="1267"/>
      <c r="BX12" s="1267"/>
      <c r="BY12" s="1267"/>
      <c r="BZ12" s="1267"/>
      <c r="CA12" s="1267"/>
      <c r="CB12" s="1267"/>
      <c r="CC12" s="1268"/>
      <c r="CD12" s="1259"/>
      <c r="CE12" s="1260"/>
      <c r="CF12" s="1260" t="s">
        <v>83</v>
      </c>
      <c r="CG12" s="1260"/>
      <c r="CH12" s="1260"/>
      <c r="CI12" s="1260"/>
      <c r="CJ12" s="1260"/>
      <c r="CK12" s="1260"/>
      <c r="CL12" s="1370" t="s">
        <v>1625</v>
      </c>
      <c r="CM12" s="1370"/>
      <c r="CN12" s="1370"/>
      <c r="CO12" s="1370"/>
      <c r="CP12" s="1371">
        <v>0.15</v>
      </c>
      <c r="CQ12" s="1371"/>
      <c r="CR12" s="1371"/>
      <c r="CS12" s="1372"/>
      <c r="EX12" s="1467"/>
      <c r="EY12" s="1467"/>
      <c r="EZ12" s="1467"/>
      <c r="FA12" s="1467"/>
    </row>
    <row r="13" spans="1:159" ht="18" customHeight="1">
      <c r="A13" s="76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722"/>
      <c r="BH13" s="722"/>
      <c r="BI13" s="722"/>
      <c r="BJ13" s="722"/>
      <c r="BK13" s="722"/>
      <c r="BL13" s="103"/>
      <c r="BN13" s="1192" t="s">
        <v>76</v>
      </c>
      <c r="BO13" s="1193"/>
      <c r="BP13" s="1193"/>
      <c r="BQ13" s="1193"/>
      <c r="BR13" s="1193"/>
      <c r="BS13" s="1193"/>
      <c r="BT13" s="1193"/>
      <c r="BU13" s="1193"/>
      <c r="BV13" s="1190"/>
      <c r="BW13" s="1190"/>
      <c r="BX13" s="1190"/>
      <c r="BY13" s="1190"/>
      <c r="BZ13" s="1190"/>
      <c r="CA13" s="1190"/>
      <c r="CB13" s="1190"/>
      <c r="CC13" s="1191"/>
      <c r="CD13" s="1192" t="s">
        <v>79</v>
      </c>
      <c r="CE13" s="1193"/>
      <c r="CF13" s="1193"/>
      <c r="CG13" s="1193"/>
      <c r="CH13" s="1193"/>
      <c r="CI13" s="1193"/>
      <c r="CJ13" s="1193"/>
      <c r="CK13" s="1193"/>
      <c r="CL13" s="1375" t="s">
        <v>1625</v>
      </c>
      <c r="CM13" s="1375"/>
      <c r="CN13" s="1375"/>
      <c r="CO13" s="1375"/>
      <c r="CP13" s="1375"/>
      <c r="CQ13" s="1375"/>
      <c r="CR13" s="1375"/>
      <c r="CS13" s="1376"/>
      <c r="EX13" s="1467"/>
      <c r="EY13" s="1467"/>
      <c r="EZ13" s="1467"/>
      <c r="FA13" s="1467"/>
    </row>
    <row r="14" spans="1:159" ht="18" customHeight="1">
      <c r="A14" s="76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103"/>
      <c r="BN14" s="1340" t="s">
        <v>77</v>
      </c>
      <c r="BO14" s="1341"/>
      <c r="BP14" s="1341"/>
      <c r="BQ14" s="1341"/>
      <c r="BR14" s="1341"/>
      <c r="BS14" s="1341"/>
      <c r="BT14" s="1341"/>
      <c r="BU14" s="1342"/>
      <c r="BV14" s="1422">
        <v>46350000</v>
      </c>
      <c r="BW14" s="1423"/>
      <c r="BX14" s="1423"/>
      <c r="BY14" s="1423"/>
      <c r="BZ14" s="1423"/>
      <c r="CA14" s="1423"/>
      <c r="CB14" s="1423"/>
      <c r="CC14" s="1424"/>
      <c r="CD14" s="1288" t="s">
        <v>3468</v>
      </c>
      <c r="CE14" s="1289"/>
      <c r="CF14" s="1289"/>
      <c r="CG14" s="1289"/>
      <c r="CH14" s="1289"/>
      <c r="CI14" s="1289"/>
      <c r="CJ14" s="1289"/>
      <c r="CK14" s="1290"/>
      <c r="CL14" s="1183" t="s">
        <v>2918</v>
      </c>
      <c r="CM14" s="1184"/>
      <c r="CN14" s="1184"/>
      <c r="CO14" s="1184"/>
      <c r="CP14" s="1184"/>
      <c r="CQ14" s="1184"/>
      <c r="CR14" s="1184"/>
      <c r="CS14" s="1185"/>
      <c r="EX14" s="1467"/>
      <c r="EY14" s="1467"/>
      <c r="EZ14" s="1467"/>
      <c r="FA14" s="1467"/>
    </row>
    <row r="15" spans="1:159" ht="18" customHeight="1" thickBot="1">
      <c r="A15" s="76"/>
      <c r="B15" s="89" t="s">
        <v>1464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103"/>
      <c r="BN15" s="1332"/>
      <c r="BO15" s="1421"/>
      <c r="BP15" s="1421"/>
      <c r="BQ15" s="1421"/>
      <c r="BR15" s="1421"/>
      <c r="BS15" s="1421"/>
      <c r="BT15" s="1421"/>
      <c r="BU15" s="1333"/>
      <c r="BV15" s="1425"/>
      <c r="BW15" s="1426"/>
      <c r="BX15" s="1426"/>
      <c r="BY15" s="1426"/>
      <c r="BZ15" s="1426"/>
      <c r="CA15" s="1426"/>
      <c r="CB15" s="1426"/>
      <c r="CC15" s="1427"/>
      <c r="CD15" s="1181" t="s">
        <v>80</v>
      </c>
      <c r="CE15" s="1182"/>
      <c r="CF15" s="1182"/>
      <c r="CG15" s="1182"/>
      <c r="CH15" s="1182"/>
      <c r="CI15" s="1182"/>
      <c r="CJ15" s="1182"/>
      <c r="CK15" s="1182"/>
      <c r="CL15" s="1373" t="s">
        <v>1625</v>
      </c>
      <c r="CM15" s="1373"/>
      <c r="CN15" s="1373"/>
      <c r="CO15" s="1373"/>
      <c r="CP15" s="1373"/>
      <c r="CQ15" s="1373"/>
      <c r="CR15" s="1373"/>
      <c r="CS15" s="1374"/>
      <c r="EX15" s="1174" t="s">
        <v>3462</v>
      </c>
      <c r="EY15" s="1175"/>
      <c r="EZ15" s="1175"/>
      <c r="FA15" s="1175"/>
    </row>
    <row r="16" spans="1:159" ht="18" customHeight="1" thickBot="1">
      <c r="A16" s="76"/>
      <c r="B16" s="1088" t="s">
        <v>1467</v>
      </c>
      <c r="C16" s="1089"/>
      <c r="D16" s="1089"/>
      <c r="E16" s="1089"/>
      <c r="F16" s="1089"/>
      <c r="G16" s="1089"/>
      <c r="H16" s="1089"/>
      <c r="I16" s="1089"/>
      <c r="J16" s="1089"/>
      <c r="K16" s="1089"/>
      <c r="L16" s="1089"/>
      <c r="M16" s="1089"/>
      <c r="N16" s="1089"/>
      <c r="O16" s="1090"/>
      <c r="P16" s="1088" t="s">
        <v>2106</v>
      </c>
      <c r="Q16" s="1089"/>
      <c r="R16" s="1089"/>
      <c r="S16" s="1089"/>
      <c r="T16" s="1089"/>
      <c r="U16" s="1089"/>
      <c r="V16" s="1089"/>
      <c r="W16" s="1089"/>
      <c r="X16" s="1089"/>
      <c r="Y16" s="1089"/>
      <c r="Z16" s="1089"/>
      <c r="AA16" s="1089"/>
      <c r="AB16" s="1089"/>
      <c r="AC16" s="1089"/>
      <c r="AD16" s="1089"/>
      <c r="AE16" s="1090"/>
      <c r="AF16" s="1088" t="s">
        <v>1465</v>
      </c>
      <c r="AG16" s="1089"/>
      <c r="AH16" s="1089"/>
      <c r="AI16" s="1089"/>
      <c r="AJ16" s="1089"/>
      <c r="AK16" s="1089"/>
      <c r="AL16" s="1089"/>
      <c r="AM16" s="1089"/>
      <c r="AN16" s="1089"/>
      <c r="AO16" s="1089"/>
      <c r="AP16" s="1089"/>
      <c r="AQ16" s="1089"/>
      <c r="AR16" s="1089"/>
      <c r="AS16" s="1089"/>
      <c r="AT16" s="1089"/>
      <c r="AU16" s="1090"/>
      <c r="AV16" s="1088" t="s">
        <v>1466</v>
      </c>
      <c r="AW16" s="1089"/>
      <c r="AX16" s="1089"/>
      <c r="AY16" s="1089"/>
      <c r="AZ16" s="1089"/>
      <c r="BA16" s="1089"/>
      <c r="BB16" s="1089"/>
      <c r="BC16" s="1089"/>
      <c r="BD16" s="1089"/>
      <c r="BE16" s="1089"/>
      <c r="BF16" s="1089"/>
      <c r="BG16" s="1089"/>
      <c r="BH16" s="1089"/>
      <c r="BI16" s="1089"/>
      <c r="BJ16" s="1089"/>
      <c r="BK16" s="1090"/>
      <c r="BL16" s="103"/>
      <c r="BN16" s="233">
        <f>VLOOKUP(BN9,차량!$A:$U,21,0)</f>
        <v>0</v>
      </c>
      <c r="BO16" s="233"/>
      <c r="BP16" s="233"/>
      <c r="BQ16" s="234">
        <f>VLOOKUP(BN9,차량!$A:$AD,30,0)</f>
        <v>0.02</v>
      </c>
      <c r="BR16" s="233"/>
      <c r="BS16" s="235"/>
      <c r="BT16" s="233"/>
      <c r="BU16" s="233" t="str">
        <f>VLOOKUP(BN9,차량!$A:$H,8,0)</f>
        <v>가솔린</v>
      </c>
      <c r="BV16" s="235" t="s">
        <v>2087</v>
      </c>
      <c r="BW16" s="235"/>
      <c r="BX16" s="235"/>
      <c r="BY16" s="235"/>
      <c r="BZ16" s="235"/>
      <c r="CA16" s="233" t="str">
        <f>VLOOKUP(BN9,차량!$A:$R,18,0)</f>
        <v>3900CC 이하</v>
      </c>
      <c r="CB16" s="233"/>
      <c r="CC16" s="273" t="b">
        <v>1</v>
      </c>
      <c r="CD16" s="235"/>
      <c r="CE16" s="233"/>
      <c r="CF16" s="233"/>
      <c r="CG16" s="235"/>
      <c r="CH16" s="235"/>
      <c r="CI16" s="233"/>
      <c r="CJ16" s="233"/>
      <c r="CK16" s="273" t="b">
        <v>0</v>
      </c>
      <c r="CL16" s="233" t="str">
        <f>VLOOKUP(BN9,차량!$A:$Q,17,0)</f>
        <v>승용</v>
      </c>
      <c r="CM16" s="235"/>
      <c r="CN16" s="235"/>
      <c r="CO16" s="236"/>
      <c r="CP16" s="235"/>
      <c r="CQ16" s="233">
        <f>VLOOKUP(BN9,차량!$A:$G,7,0)</f>
        <v>3500</v>
      </c>
      <c r="CR16" s="236"/>
      <c r="CS16" s="274" t="b">
        <v>0</v>
      </c>
      <c r="EX16" s="1175"/>
      <c r="EY16" s="1175"/>
      <c r="EZ16" s="1175"/>
      <c r="FA16" s="1175"/>
    </row>
    <row r="17" spans="1:157" ht="18" customHeight="1" thickBot="1">
      <c r="A17" s="76"/>
      <c r="B17" s="1091" t="s">
        <v>1472</v>
      </c>
      <c r="C17" s="1092"/>
      <c r="D17" s="1092"/>
      <c r="E17" s="1092"/>
      <c r="F17" s="1092"/>
      <c r="G17" s="1092"/>
      <c r="H17" s="1092"/>
      <c r="I17" s="1092"/>
      <c r="J17" s="1092"/>
      <c r="K17" s="1092"/>
      <c r="L17" s="1092"/>
      <c r="M17" s="1092"/>
      <c r="N17" s="1092"/>
      <c r="O17" s="1093"/>
      <c r="P17" s="1186" t="str">
        <f>BV18</f>
        <v>선택형</v>
      </c>
      <c r="Q17" s="1151"/>
      <c r="R17" s="1151"/>
      <c r="S17" s="1151"/>
      <c r="T17" s="1151"/>
      <c r="U17" s="1151"/>
      <c r="V17" s="1151"/>
      <c r="W17" s="1151"/>
      <c r="X17" s="1151"/>
      <c r="Y17" s="1151"/>
      <c r="Z17" s="1151"/>
      <c r="AA17" s="1151"/>
      <c r="AB17" s="1151"/>
      <c r="AC17" s="1151"/>
      <c r="AD17" s="1151"/>
      <c r="AE17" s="1152"/>
      <c r="AF17" s="1186" t="str">
        <f>CD18</f>
        <v>선택형</v>
      </c>
      <c r="AG17" s="1151"/>
      <c r="AH17" s="1151"/>
      <c r="AI17" s="1151"/>
      <c r="AJ17" s="1151"/>
      <c r="AK17" s="1151"/>
      <c r="AL17" s="1151"/>
      <c r="AM17" s="1151"/>
      <c r="AN17" s="1151"/>
      <c r="AO17" s="1151"/>
      <c r="AP17" s="1151"/>
      <c r="AQ17" s="1151"/>
      <c r="AR17" s="1151"/>
      <c r="AS17" s="1151"/>
      <c r="AT17" s="1151"/>
      <c r="AU17" s="1152"/>
      <c r="AV17" s="1186" t="str">
        <f>CL18</f>
        <v>선택형</v>
      </c>
      <c r="AW17" s="1151"/>
      <c r="AX17" s="1151"/>
      <c r="AY17" s="1151"/>
      <c r="AZ17" s="1151"/>
      <c r="BA17" s="1151"/>
      <c r="BB17" s="1151"/>
      <c r="BC17" s="1151"/>
      <c r="BD17" s="1151"/>
      <c r="BE17" s="1151"/>
      <c r="BF17" s="1151"/>
      <c r="BG17" s="1151"/>
      <c r="BH17" s="1151"/>
      <c r="BI17" s="1151"/>
      <c r="BJ17" s="1151"/>
      <c r="BK17" s="1152"/>
      <c r="BL17" s="103"/>
      <c r="BN17" s="1327" t="s">
        <v>110</v>
      </c>
      <c r="BO17" s="1328"/>
      <c r="BP17" s="1328"/>
      <c r="BQ17" s="1328"/>
      <c r="BR17" s="1328"/>
      <c r="BS17" s="1328"/>
      <c r="BT17" s="1328"/>
      <c r="BU17" s="1328"/>
      <c r="BV17" s="1187" t="s">
        <v>84</v>
      </c>
      <c r="BW17" s="1187"/>
      <c r="BX17" s="1187"/>
      <c r="BY17" s="1187"/>
      <c r="BZ17" s="1187"/>
      <c r="CA17" s="1187"/>
      <c r="CB17" s="1187"/>
      <c r="CC17" s="1188"/>
      <c r="CD17" s="1187" t="s">
        <v>85</v>
      </c>
      <c r="CE17" s="1187"/>
      <c r="CF17" s="1187"/>
      <c r="CG17" s="1187"/>
      <c r="CH17" s="1187"/>
      <c r="CI17" s="1187"/>
      <c r="CJ17" s="1187"/>
      <c r="CK17" s="1187"/>
      <c r="CL17" s="1187" t="s">
        <v>86</v>
      </c>
      <c r="CM17" s="1187"/>
      <c r="CN17" s="1187"/>
      <c r="CO17" s="1187"/>
      <c r="CP17" s="1187"/>
      <c r="CQ17" s="1187"/>
      <c r="CR17" s="1187"/>
      <c r="CS17" s="1189"/>
      <c r="EX17" s="1468" t="s">
        <v>3353</v>
      </c>
      <c r="EY17" s="1468"/>
      <c r="EZ17" s="1468"/>
      <c r="FA17" s="1468"/>
    </row>
    <row r="18" spans="1:157" ht="18" customHeight="1" thickBot="1">
      <c r="A18" s="76"/>
      <c r="B18" s="1091" t="s">
        <v>1470</v>
      </c>
      <c r="C18" s="1092"/>
      <c r="D18" s="1092"/>
      <c r="E18" s="1092"/>
      <c r="F18" s="1092"/>
      <c r="G18" s="1092"/>
      <c r="H18" s="1092"/>
      <c r="I18" s="1092"/>
      <c r="J18" s="1092"/>
      <c r="K18" s="1092"/>
      <c r="L18" s="1092"/>
      <c r="M18" s="1092"/>
      <c r="N18" s="1092"/>
      <c r="O18" s="1093"/>
      <c r="P18" s="1186" t="str">
        <f>BV19</f>
        <v>일반형</v>
      </c>
      <c r="Q18" s="1151"/>
      <c r="R18" s="1151"/>
      <c r="S18" s="1151"/>
      <c r="T18" s="1151"/>
      <c r="U18" s="1151"/>
      <c r="V18" s="1151"/>
      <c r="W18" s="1151"/>
      <c r="X18" s="1151"/>
      <c r="Y18" s="1151"/>
      <c r="Z18" s="1151"/>
      <c r="AA18" s="1151"/>
      <c r="AB18" s="1151"/>
      <c r="AC18" s="1151"/>
      <c r="AD18" s="1151"/>
      <c r="AE18" s="1152"/>
      <c r="AF18" s="1186" t="str">
        <f>CD19</f>
        <v>일반형</v>
      </c>
      <c r="AG18" s="1151"/>
      <c r="AH18" s="1151"/>
      <c r="AI18" s="1151"/>
      <c r="AJ18" s="1151"/>
      <c r="AK18" s="1151"/>
      <c r="AL18" s="1151"/>
      <c r="AM18" s="1151"/>
      <c r="AN18" s="1151"/>
      <c r="AO18" s="1151"/>
      <c r="AP18" s="1151"/>
      <c r="AQ18" s="1151"/>
      <c r="AR18" s="1151"/>
      <c r="AS18" s="1151"/>
      <c r="AT18" s="1151"/>
      <c r="AU18" s="1152"/>
      <c r="AV18" s="1186" t="str">
        <f>CL19</f>
        <v>일반형</v>
      </c>
      <c r="AW18" s="1151"/>
      <c r="AX18" s="1151"/>
      <c r="AY18" s="1151"/>
      <c r="AZ18" s="1151"/>
      <c r="BA18" s="1151"/>
      <c r="BB18" s="1151"/>
      <c r="BC18" s="1151"/>
      <c r="BD18" s="1151"/>
      <c r="BE18" s="1151"/>
      <c r="BF18" s="1151"/>
      <c r="BG18" s="1151"/>
      <c r="BH18" s="1151"/>
      <c r="BI18" s="1151"/>
      <c r="BJ18" s="1151"/>
      <c r="BK18" s="1152"/>
      <c r="BL18" s="103"/>
      <c r="BN18" s="1288" t="s">
        <v>3286</v>
      </c>
      <c r="BO18" s="1289"/>
      <c r="BP18" s="1289"/>
      <c r="BQ18" s="1289"/>
      <c r="BR18" s="1289"/>
      <c r="BS18" s="1289"/>
      <c r="BT18" s="1289"/>
      <c r="BU18" s="1289"/>
      <c r="BV18" s="1322" t="s">
        <v>1374</v>
      </c>
      <c r="BW18" s="1323"/>
      <c r="BX18" s="1323"/>
      <c r="BY18" s="1323"/>
      <c r="BZ18" s="1323"/>
      <c r="CA18" s="1323"/>
      <c r="CB18" s="1323"/>
      <c r="CC18" s="1324"/>
      <c r="CD18" s="1368" t="s">
        <v>1374</v>
      </c>
      <c r="CE18" s="1323"/>
      <c r="CF18" s="1323"/>
      <c r="CG18" s="1323"/>
      <c r="CH18" s="1323"/>
      <c r="CI18" s="1323"/>
      <c r="CJ18" s="1323"/>
      <c r="CK18" s="1324"/>
      <c r="CL18" s="1368" t="s">
        <v>1374</v>
      </c>
      <c r="CM18" s="1323"/>
      <c r="CN18" s="1323"/>
      <c r="CO18" s="1323"/>
      <c r="CP18" s="1323"/>
      <c r="CQ18" s="1323"/>
      <c r="CR18" s="1323"/>
      <c r="CS18" s="1369"/>
      <c r="EX18" s="1468"/>
      <c r="EY18" s="1468"/>
      <c r="EZ18" s="1468"/>
      <c r="FA18" s="1468"/>
    </row>
    <row r="19" spans="1:157" ht="18" customHeight="1">
      <c r="A19" s="76"/>
      <c r="B19" s="1091" t="s">
        <v>1468</v>
      </c>
      <c r="C19" s="1092"/>
      <c r="D19" s="1092"/>
      <c r="E19" s="1092"/>
      <c r="F19" s="1092"/>
      <c r="G19" s="1092"/>
      <c r="H19" s="1092"/>
      <c r="I19" s="1092"/>
      <c r="J19" s="1092"/>
      <c r="K19" s="1092"/>
      <c r="L19" s="1092"/>
      <c r="M19" s="1092"/>
      <c r="N19" s="1092"/>
      <c r="O19" s="1093"/>
      <c r="P19" s="1201">
        <f>BV20</f>
        <v>36</v>
      </c>
      <c r="Q19" s="1202"/>
      <c r="R19" s="1202"/>
      <c r="S19" s="1202"/>
      <c r="T19" s="1202"/>
      <c r="U19" s="1202"/>
      <c r="V19" s="1202"/>
      <c r="W19" s="1202"/>
      <c r="X19" s="1202"/>
      <c r="Y19" s="1202"/>
      <c r="Z19" s="1202"/>
      <c r="AA19" s="1202"/>
      <c r="AB19" s="1202"/>
      <c r="AC19" s="1202"/>
      <c r="AD19" s="1202"/>
      <c r="AE19" s="1203"/>
      <c r="AF19" s="1201">
        <f>CD20</f>
        <v>48</v>
      </c>
      <c r="AG19" s="1202"/>
      <c r="AH19" s="1202"/>
      <c r="AI19" s="1202"/>
      <c r="AJ19" s="1202"/>
      <c r="AK19" s="1202"/>
      <c r="AL19" s="1202"/>
      <c r="AM19" s="1202"/>
      <c r="AN19" s="1202"/>
      <c r="AO19" s="1202"/>
      <c r="AP19" s="1202"/>
      <c r="AQ19" s="1202"/>
      <c r="AR19" s="1202"/>
      <c r="AS19" s="1202"/>
      <c r="AT19" s="1202"/>
      <c r="AU19" s="1203"/>
      <c r="AV19" s="1201">
        <f>CL20</f>
        <v>60</v>
      </c>
      <c r="AW19" s="1202"/>
      <c r="AX19" s="1202"/>
      <c r="AY19" s="1202"/>
      <c r="AZ19" s="1202"/>
      <c r="BA19" s="1202"/>
      <c r="BB19" s="1202"/>
      <c r="BC19" s="1202"/>
      <c r="BD19" s="1202"/>
      <c r="BE19" s="1202"/>
      <c r="BF19" s="1202"/>
      <c r="BG19" s="1202"/>
      <c r="BH19" s="1202"/>
      <c r="BI19" s="1202"/>
      <c r="BJ19" s="1202"/>
      <c r="BK19" s="1203"/>
      <c r="BL19" s="103"/>
      <c r="BN19" s="1274" t="s">
        <v>96</v>
      </c>
      <c r="BO19" s="1275"/>
      <c r="BP19" s="1275"/>
      <c r="BQ19" s="1275"/>
      <c r="BR19" s="1275"/>
      <c r="BS19" s="1275"/>
      <c r="BT19" s="1275"/>
      <c r="BU19" s="1276"/>
      <c r="BV19" s="1280" t="s">
        <v>3315</v>
      </c>
      <c r="BW19" s="1281"/>
      <c r="BX19" s="1281"/>
      <c r="BY19" s="1281"/>
      <c r="BZ19" s="1281"/>
      <c r="CA19" s="1281"/>
      <c r="CB19" s="1281"/>
      <c r="CC19" s="1282"/>
      <c r="CD19" s="1280" t="s">
        <v>1354</v>
      </c>
      <c r="CE19" s="1281"/>
      <c r="CF19" s="1281"/>
      <c r="CG19" s="1281"/>
      <c r="CH19" s="1281"/>
      <c r="CI19" s="1281"/>
      <c r="CJ19" s="1281"/>
      <c r="CK19" s="1282"/>
      <c r="CL19" s="1280" t="s">
        <v>1354</v>
      </c>
      <c r="CM19" s="1281"/>
      <c r="CN19" s="1281"/>
      <c r="CO19" s="1281"/>
      <c r="CP19" s="1281"/>
      <c r="CQ19" s="1281"/>
      <c r="CR19" s="1281"/>
      <c r="CS19" s="1283"/>
      <c r="EX19" s="1468"/>
      <c r="EY19" s="1468"/>
      <c r="EZ19" s="1468"/>
      <c r="FA19" s="1468"/>
    </row>
    <row r="20" spans="1:157" ht="18" customHeight="1">
      <c r="A20" s="76"/>
      <c r="B20" s="1091" t="s">
        <v>1473</v>
      </c>
      <c r="C20" s="1092"/>
      <c r="D20" s="1092"/>
      <c r="E20" s="1092"/>
      <c r="F20" s="1092"/>
      <c r="G20" s="1092"/>
      <c r="H20" s="1092"/>
      <c r="I20" s="1092"/>
      <c r="J20" s="1092"/>
      <c r="K20" s="1092"/>
      <c r="L20" s="1092"/>
      <c r="M20" s="1092"/>
      <c r="N20" s="1092"/>
      <c r="O20" s="1093"/>
      <c r="P20" s="1186" t="str">
        <f>BV21</f>
        <v>2만km</v>
      </c>
      <c r="Q20" s="1151"/>
      <c r="R20" s="1151"/>
      <c r="S20" s="1151"/>
      <c r="T20" s="1151"/>
      <c r="U20" s="1151"/>
      <c r="V20" s="1151"/>
      <c r="W20" s="1151"/>
      <c r="X20" s="1151"/>
      <c r="Y20" s="1151"/>
      <c r="Z20" s="1151"/>
      <c r="AA20" s="1151"/>
      <c r="AB20" s="1151"/>
      <c r="AC20" s="1151"/>
      <c r="AD20" s="1151"/>
      <c r="AE20" s="1152"/>
      <c r="AF20" s="1186" t="str">
        <f>CD21</f>
        <v>2만km</v>
      </c>
      <c r="AG20" s="1151"/>
      <c r="AH20" s="1151"/>
      <c r="AI20" s="1151"/>
      <c r="AJ20" s="1151"/>
      <c r="AK20" s="1151"/>
      <c r="AL20" s="1151"/>
      <c r="AM20" s="1151"/>
      <c r="AN20" s="1151"/>
      <c r="AO20" s="1151"/>
      <c r="AP20" s="1151"/>
      <c r="AQ20" s="1151"/>
      <c r="AR20" s="1151"/>
      <c r="AS20" s="1151"/>
      <c r="AT20" s="1151"/>
      <c r="AU20" s="1152"/>
      <c r="AV20" s="1186" t="str">
        <f>CL21</f>
        <v>2만km</v>
      </c>
      <c r="AW20" s="1151"/>
      <c r="AX20" s="1151"/>
      <c r="AY20" s="1151"/>
      <c r="AZ20" s="1151"/>
      <c r="BA20" s="1151"/>
      <c r="BB20" s="1151"/>
      <c r="BC20" s="1151"/>
      <c r="BD20" s="1151"/>
      <c r="BE20" s="1151"/>
      <c r="BF20" s="1151"/>
      <c r="BG20" s="1151"/>
      <c r="BH20" s="1151"/>
      <c r="BI20" s="1151"/>
      <c r="BJ20" s="1151"/>
      <c r="BK20" s="1152"/>
      <c r="BL20" s="103"/>
      <c r="BN20" s="1192" t="s">
        <v>87</v>
      </c>
      <c r="BO20" s="1193"/>
      <c r="BP20" s="1193"/>
      <c r="BQ20" s="1193"/>
      <c r="BR20" s="1193"/>
      <c r="BS20" s="1193"/>
      <c r="BT20" s="1193"/>
      <c r="BU20" s="1193"/>
      <c r="BV20" s="1277">
        <v>36</v>
      </c>
      <c r="BW20" s="1277"/>
      <c r="BX20" s="1277"/>
      <c r="BY20" s="1277"/>
      <c r="BZ20" s="1277"/>
      <c r="CA20" s="1277"/>
      <c r="CB20" s="1277"/>
      <c r="CC20" s="1278"/>
      <c r="CD20" s="1277">
        <v>48</v>
      </c>
      <c r="CE20" s="1277"/>
      <c r="CF20" s="1277"/>
      <c r="CG20" s="1277"/>
      <c r="CH20" s="1277"/>
      <c r="CI20" s="1277"/>
      <c r="CJ20" s="1277"/>
      <c r="CK20" s="1278"/>
      <c r="CL20" s="1277">
        <v>60</v>
      </c>
      <c r="CM20" s="1277"/>
      <c r="CN20" s="1277"/>
      <c r="CO20" s="1277"/>
      <c r="CP20" s="1277"/>
      <c r="CQ20" s="1277"/>
      <c r="CR20" s="1277"/>
      <c r="CS20" s="1279"/>
      <c r="EX20" s="1468"/>
      <c r="EY20" s="1468"/>
      <c r="EZ20" s="1468"/>
      <c r="FA20" s="1468"/>
    </row>
    <row r="21" spans="1:157" ht="18" customHeight="1">
      <c r="A21" s="76"/>
      <c r="B21" s="1091" t="s">
        <v>1471</v>
      </c>
      <c r="C21" s="1092"/>
      <c r="D21" s="1092"/>
      <c r="E21" s="1092"/>
      <c r="F21" s="1092"/>
      <c r="G21" s="1092"/>
      <c r="H21" s="1092"/>
      <c r="I21" s="1092"/>
      <c r="J21" s="1092"/>
      <c r="K21" s="1092"/>
      <c r="L21" s="1092"/>
      <c r="M21" s="1092"/>
      <c r="N21" s="1092"/>
      <c r="O21" s="1093"/>
      <c r="P21" s="1431">
        <f>BV22</f>
        <v>0.52500000000000002</v>
      </c>
      <c r="Q21" s="1432"/>
      <c r="R21" s="1432"/>
      <c r="S21" s="1432"/>
      <c r="T21" s="1432"/>
      <c r="U21" s="1432"/>
      <c r="V21" s="1130">
        <f>BY22</f>
        <v>24333750</v>
      </c>
      <c r="W21" s="1130"/>
      <c r="X21" s="1130"/>
      <c r="Y21" s="1130"/>
      <c r="Z21" s="1130"/>
      <c r="AA21" s="1130"/>
      <c r="AB21" s="1130"/>
      <c r="AC21" s="1130"/>
      <c r="AD21" s="1130"/>
      <c r="AE21" s="1131"/>
      <c r="AF21" s="1431">
        <f>CD22</f>
        <v>0.45500000000000002</v>
      </c>
      <c r="AG21" s="1432"/>
      <c r="AH21" s="1432"/>
      <c r="AI21" s="1432"/>
      <c r="AJ21" s="1432"/>
      <c r="AK21" s="1432"/>
      <c r="AL21" s="1130">
        <f>CG22</f>
        <v>21089250</v>
      </c>
      <c r="AM21" s="1130"/>
      <c r="AN21" s="1130"/>
      <c r="AO21" s="1130"/>
      <c r="AP21" s="1130"/>
      <c r="AQ21" s="1130"/>
      <c r="AR21" s="1130"/>
      <c r="AS21" s="1130"/>
      <c r="AT21" s="1130"/>
      <c r="AU21" s="1131"/>
      <c r="AV21" s="1433">
        <f>CL22</f>
        <v>0.36499999999999999</v>
      </c>
      <c r="AW21" s="1434"/>
      <c r="AX21" s="1434"/>
      <c r="AY21" s="1434"/>
      <c r="AZ21" s="1434"/>
      <c r="BA21" s="1434"/>
      <c r="BB21" s="1130">
        <f>CO22</f>
        <v>16917750</v>
      </c>
      <c r="BC21" s="1130"/>
      <c r="BD21" s="1130"/>
      <c r="BE21" s="1130"/>
      <c r="BF21" s="1130"/>
      <c r="BG21" s="1130"/>
      <c r="BH21" s="1130"/>
      <c r="BI21" s="1130"/>
      <c r="BJ21" s="1130"/>
      <c r="BK21" s="1131"/>
      <c r="BL21" s="103"/>
      <c r="BN21" s="1192" t="s">
        <v>91</v>
      </c>
      <c r="BO21" s="1193"/>
      <c r="BP21" s="1193"/>
      <c r="BQ21" s="1193"/>
      <c r="BR21" s="1193"/>
      <c r="BS21" s="1193"/>
      <c r="BT21" s="1193"/>
      <c r="BU21" s="1193"/>
      <c r="BV21" s="1190" t="s">
        <v>3636</v>
      </c>
      <c r="BW21" s="1190"/>
      <c r="BX21" s="1190"/>
      <c r="BY21" s="1190"/>
      <c r="BZ21" s="1190"/>
      <c r="CA21" s="1190"/>
      <c r="CB21" s="1190"/>
      <c r="CC21" s="1266"/>
      <c r="CD21" s="1190" t="s">
        <v>3636</v>
      </c>
      <c r="CE21" s="1190"/>
      <c r="CF21" s="1190"/>
      <c r="CG21" s="1190"/>
      <c r="CH21" s="1190"/>
      <c r="CI21" s="1190"/>
      <c r="CJ21" s="1190"/>
      <c r="CK21" s="1266"/>
      <c r="CL21" s="1190" t="s">
        <v>3636</v>
      </c>
      <c r="CM21" s="1190"/>
      <c r="CN21" s="1190"/>
      <c r="CO21" s="1190"/>
      <c r="CP21" s="1190"/>
      <c r="CQ21" s="1190"/>
      <c r="CR21" s="1190"/>
      <c r="CS21" s="1191"/>
      <c r="EX21" s="1468"/>
      <c r="EY21" s="1468"/>
      <c r="EZ21" s="1468"/>
      <c r="FA21" s="1468"/>
    </row>
    <row r="22" spans="1:157" ht="18" customHeight="1">
      <c r="A22" s="76"/>
      <c r="B22" s="1122" t="s">
        <v>1474</v>
      </c>
      <c r="C22" s="1123"/>
      <c r="D22" s="1123"/>
      <c r="E22" s="1123"/>
      <c r="F22" s="1124"/>
      <c r="G22" s="1115" t="s">
        <v>1469</v>
      </c>
      <c r="H22" s="1092"/>
      <c r="I22" s="1092"/>
      <c r="J22" s="1092"/>
      <c r="K22" s="1092"/>
      <c r="L22" s="1092"/>
      <c r="M22" s="1092"/>
      <c r="N22" s="1092"/>
      <c r="O22" s="1093"/>
      <c r="P22" s="1128">
        <f>BV24</f>
        <v>0</v>
      </c>
      <c r="Q22" s="1129"/>
      <c r="R22" s="1129"/>
      <c r="S22" s="1129"/>
      <c r="T22" s="1129"/>
      <c r="U22" s="1129"/>
      <c r="V22" s="1130">
        <f>BY24</f>
        <v>0</v>
      </c>
      <c r="W22" s="1130"/>
      <c r="X22" s="1130"/>
      <c r="Y22" s="1130"/>
      <c r="Z22" s="1130"/>
      <c r="AA22" s="1130"/>
      <c r="AB22" s="1130"/>
      <c r="AC22" s="1130"/>
      <c r="AD22" s="1130"/>
      <c r="AE22" s="1131"/>
      <c r="AF22" s="1128">
        <f>CD24</f>
        <v>0</v>
      </c>
      <c r="AG22" s="1129"/>
      <c r="AH22" s="1129"/>
      <c r="AI22" s="1129"/>
      <c r="AJ22" s="1129"/>
      <c r="AK22" s="1129"/>
      <c r="AL22" s="1130">
        <f>CG24</f>
        <v>0</v>
      </c>
      <c r="AM22" s="1130"/>
      <c r="AN22" s="1130"/>
      <c r="AO22" s="1130"/>
      <c r="AP22" s="1130"/>
      <c r="AQ22" s="1130"/>
      <c r="AR22" s="1130"/>
      <c r="AS22" s="1130"/>
      <c r="AT22" s="1130"/>
      <c r="AU22" s="1131"/>
      <c r="AV22" s="1128">
        <f>CL24</f>
        <v>0</v>
      </c>
      <c r="AW22" s="1129"/>
      <c r="AX22" s="1129"/>
      <c r="AY22" s="1129"/>
      <c r="AZ22" s="1129"/>
      <c r="BA22" s="1129"/>
      <c r="BB22" s="1130">
        <f>CO24</f>
        <v>0</v>
      </c>
      <c r="BC22" s="1130"/>
      <c r="BD22" s="1130"/>
      <c r="BE22" s="1130"/>
      <c r="BF22" s="1130"/>
      <c r="BG22" s="1130"/>
      <c r="BH22" s="1130"/>
      <c r="BI22" s="1130"/>
      <c r="BJ22" s="1130"/>
      <c r="BK22" s="1131"/>
      <c r="BL22" s="103"/>
      <c r="BN22" s="1288" t="s">
        <v>1440</v>
      </c>
      <c r="BO22" s="1289"/>
      <c r="BP22" s="1289"/>
      <c r="BQ22" s="1289"/>
      <c r="BR22" s="1289"/>
      <c r="BS22" s="1289"/>
      <c r="BT22" s="1289"/>
      <c r="BU22" s="1290"/>
      <c r="BV22" s="1199">
        <f>견적정보!E28/100</f>
        <v>0.52500000000000002</v>
      </c>
      <c r="BW22" s="1200"/>
      <c r="BX22" s="1200"/>
      <c r="BY22" s="1357">
        <f>견적정보!E29</f>
        <v>24333750</v>
      </c>
      <c r="BZ22" s="1358"/>
      <c r="CA22" s="1358"/>
      <c r="CB22" s="1358"/>
      <c r="CC22" s="1359"/>
      <c r="CD22" s="1199">
        <f>견적정보!J28/100</f>
        <v>0.45500000000000002</v>
      </c>
      <c r="CE22" s="1200"/>
      <c r="CF22" s="1200"/>
      <c r="CG22" s="1357">
        <f>견적정보!J29</f>
        <v>21089250</v>
      </c>
      <c r="CH22" s="1358"/>
      <c r="CI22" s="1358"/>
      <c r="CJ22" s="1358"/>
      <c r="CK22" s="1359"/>
      <c r="CL22" s="1199">
        <f>견적정보!O28/100</f>
        <v>0.36499999999999999</v>
      </c>
      <c r="CM22" s="1200"/>
      <c r="CN22" s="1200"/>
      <c r="CO22" s="1357">
        <f>견적정보!O29</f>
        <v>16917750</v>
      </c>
      <c r="CP22" s="1358"/>
      <c r="CQ22" s="1358"/>
      <c r="CR22" s="1358"/>
      <c r="CS22" s="1377"/>
    </row>
    <row r="23" spans="1:157" ht="18" customHeight="1">
      <c r="A23" s="76"/>
      <c r="B23" s="1125"/>
      <c r="C23" s="1126"/>
      <c r="D23" s="1126"/>
      <c r="E23" s="1126"/>
      <c r="F23" s="1127"/>
      <c r="G23" s="1115" t="s">
        <v>1475</v>
      </c>
      <c r="H23" s="1092"/>
      <c r="I23" s="1092"/>
      <c r="J23" s="1092"/>
      <c r="K23" s="1092"/>
      <c r="L23" s="1092"/>
      <c r="M23" s="1092"/>
      <c r="N23" s="1092"/>
      <c r="O23" s="1093"/>
      <c r="P23" s="1128">
        <f>BV23</f>
        <v>0</v>
      </c>
      <c r="Q23" s="1129"/>
      <c r="R23" s="1129"/>
      <c r="S23" s="1129"/>
      <c r="T23" s="1129"/>
      <c r="U23" s="1129"/>
      <c r="V23" s="1130">
        <f>BY23</f>
        <v>0</v>
      </c>
      <c r="W23" s="1130"/>
      <c r="X23" s="1130"/>
      <c r="Y23" s="1130"/>
      <c r="Z23" s="1130"/>
      <c r="AA23" s="1130"/>
      <c r="AB23" s="1130"/>
      <c r="AC23" s="1130"/>
      <c r="AD23" s="1130"/>
      <c r="AE23" s="1131"/>
      <c r="AF23" s="1128">
        <f>CD23</f>
        <v>0</v>
      </c>
      <c r="AG23" s="1129"/>
      <c r="AH23" s="1129"/>
      <c r="AI23" s="1129"/>
      <c r="AJ23" s="1129"/>
      <c r="AK23" s="1129"/>
      <c r="AL23" s="1130">
        <f>CG23</f>
        <v>0</v>
      </c>
      <c r="AM23" s="1130"/>
      <c r="AN23" s="1130"/>
      <c r="AO23" s="1130"/>
      <c r="AP23" s="1130"/>
      <c r="AQ23" s="1130"/>
      <c r="AR23" s="1130"/>
      <c r="AS23" s="1130"/>
      <c r="AT23" s="1130"/>
      <c r="AU23" s="1131"/>
      <c r="AV23" s="1128">
        <f>CL23</f>
        <v>0</v>
      </c>
      <c r="AW23" s="1129"/>
      <c r="AX23" s="1129"/>
      <c r="AY23" s="1129"/>
      <c r="AZ23" s="1129"/>
      <c r="BA23" s="1129"/>
      <c r="BB23" s="1130">
        <f>CO23</f>
        <v>0</v>
      </c>
      <c r="BC23" s="1130"/>
      <c r="BD23" s="1130"/>
      <c r="BE23" s="1130"/>
      <c r="BF23" s="1130"/>
      <c r="BG23" s="1130"/>
      <c r="BH23" s="1130"/>
      <c r="BI23" s="1130"/>
      <c r="BJ23" s="1130"/>
      <c r="BK23" s="1131"/>
      <c r="BL23" s="103"/>
      <c r="BN23" s="1288" t="s">
        <v>1475</v>
      </c>
      <c r="BO23" s="1289"/>
      <c r="BP23" s="1289"/>
      <c r="BQ23" s="1289"/>
      <c r="BR23" s="1289"/>
      <c r="BS23" s="1289"/>
      <c r="BT23" s="1289"/>
      <c r="BU23" s="1290"/>
      <c r="BV23" s="1197"/>
      <c r="BW23" s="1198"/>
      <c r="BX23" s="1198"/>
      <c r="BY23" s="1194">
        <f>BV23*$BV$14</f>
        <v>0</v>
      </c>
      <c r="BZ23" s="1195"/>
      <c r="CA23" s="1195"/>
      <c r="CB23" s="1195"/>
      <c r="CC23" s="1284"/>
      <c r="CD23" s="1197"/>
      <c r="CE23" s="1198"/>
      <c r="CF23" s="1198"/>
      <c r="CG23" s="1194">
        <f>CD23*$BV$14</f>
        <v>0</v>
      </c>
      <c r="CH23" s="1195"/>
      <c r="CI23" s="1195"/>
      <c r="CJ23" s="1195"/>
      <c r="CK23" s="1284"/>
      <c r="CL23" s="1197"/>
      <c r="CM23" s="1198"/>
      <c r="CN23" s="1198"/>
      <c r="CO23" s="1194">
        <f>CL23*$BV$14</f>
        <v>0</v>
      </c>
      <c r="CP23" s="1195"/>
      <c r="CQ23" s="1195"/>
      <c r="CR23" s="1195"/>
      <c r="CS23" s="1196"/>
    </row>
    <row r="24" spans="1:157" ht="18" customHeight="1">
      <c r="A24" s="76"/>
      <c r="B24" s="1116" t="s">
        <v>1476</v>
      </c>
      <c r="C24" s="1117"/>
      <c r="D24" s="1117"/>
      <c r="E24" s="1117"/>
      <c r="F24" s="1118"/>
      <c r="G24" s="1115" t="s">
        <v>1477</v>
      </c>
      <c r="H24" s="1092"/>
      <c r="I24" s="1092"/>
      <c r="J24" s="1092"/>
      <c r="K24" s="1092"/>
      <c r="L24" s="1092"/>
      <c r="M24" s="1092"/>
      <c r="N24" s="1092"/>
      <c r="O24" s="1093"/>
      <c r="P24" s="1128">
        <f>BV25</f>
        <v>0</v>
      </c>
      <c r="Q24" s="1129"/>
      <c r="R24" s="1129"/>
      <c r="S24" s="1129"/>
      <c r="T24" s="1129"/>
      <c r="U24" s="1129"/>
      <c r="V24" s="1130">
        <f>BY25</f>
        <v>0</v>
      </c>
      <c r="W24" s="1130"/>
      <c r="X24" s="1130"/>
      <c r="Y24" s="1130"/>
      <c r="Z24" s="1130"/>
      <c r="AA24" s="1130"/>
      <c r="AB24" s="1130"/>
      <c r="AC24" s="1130"/>
      <c r="AD24" s="1130"/>
      <c r="AE24" s="1131"/>
      <c r="AF24" s="1128">
        <f>CD25</f>
        <v>0</v>
      </c>
      <c r="AG24" s="1129"/>
      <c r="AH24" s="1129"/>
      <c r="AI24" s="1129"/>
      <c r="AJ24" s="1129"/>
      <c r="AK24" s="1129"/>
      <c r="AL24" s="1130">
        <f>CG25</f>
        <v>0</v>
      </c>
      <c r="AM24" s="1130"/>
      <c r="AN24" s="1130"/>
      <c r="AO24" s="1130"/>
      <c r="AP24" s="1130"/>
      <c r="AQ24" s="1130"/>
      <c r="AR24" s="1130"/>
      <c r="AS24" s="1130"/>
      <c r="AT24" s="1130"/>
      <c r="AU24" s="1131"/>
      <c r="AV24" s="1128">
        <f>CL25</f>
        <v>0</v>
      </c>
      <c r="AW24" s="1129"/>
      <c r="AX24" s="1129"/>
      <c r="AY24" s="1129"/>
      <c r="AZ24" s="1129"/>
      <c r="BA24" s="1129"/>
      <c r="BB24" s="1130">
        <f>CO25</f>
        <v>0</v>
      </c>
      <c r="BC24" s="1130"/>
      <c r="BD24" s="1130"/>
      <c r="BE24" s="1130"/>
      <c r="BF24" s="1130"/>
      <c r="BG24" s="1130"/>
      <c r="BH24" s="1130"/>
      <c r="BI24" s="1130"/>
      <c r="BJ24" s="1130"/>
      <c r="BK24" s="1131"/>
      <c r="BL24" s="103"/>
      <c r="BN24" s="1288" t="s">
        <v>93</v>
      </c>
      <c r="BO24" s="1289"/>
      <c r="BP24" s="1289"/>
      <c r="BQ24" s="1289"/>
      <c r="BR24" s="1289"/>
      <c r="BS24" s="1289"/>
      <c r="BT24" s="1289"/>
      <c r="BU24" s="1290"/>
      <c r="BV24" s="1403">
        <v>0</v>
      </c>
      <c r="BW24" s="1404"/>
      <c r="BX24" s="1404"/>
      <c r="BY24" s="1194">
        <f>BV24*$BV$14</f>
        <v>0</v>
      </c>
      <c r="BZ24" s="1195"/>
      <c r="CA24" s="1195"/>
      <c r="CB24" s="1195"/>
      <c r="CC24" s="1284"/>
      <c r="CD24" s="1403">
        <v>0</v>
      </c>
      <c r="CE24" s="1404"/>
      <c r="CF24" s="1404"/>
      <c r="CG24" s="1194">
        <f>CD24*$BV$14</f>
        <v>0</v>
      </c>
      <c r="CH24" s="1195"/>
      <c r="CI24" s="1195"/>
      <c r="CJ24" s="1195"/>
      <c r="CK24" s="1284"/>
      <c r="CL24" s="1403">
        <v>0</v>
      </c>
      <c r="CM24" s="1404"/>
      <c r="CN24" s="1404"/>
      <c r="CO24" s="1194">
        <f>CL24*$BV$14</f>
        <v>0</v>
      </c>
      <c r="CP24" s="1195"/>
      <c r="CQ24" s="1195"/>
      <c r="CR24" s="1195"/>
      <c r="CS24" s="1196"/>
    </row>
    <row r="25" spans="1:157" ht="18" customHeight="1" thickBot="1">
      <c r="A25" s="76"/>
      <c r="B25" s="1119"/>
      <c r="C25" s="1120"/>
      <c r="D25" s="1120"/>
      <c r="E25" s="1120"/>
      <c r="F25" s="1121"/>
      <c r="G25" s="1428" t="s">
        <v>1478</v>
      </c>
      <c r="H25" s="1429"/>
      <c r="I25" s="1429"/>
      <c r="J25" s="1429"/>
      <c r="K25" s="1429"/>
      <c r="L25" s="1429"/>
      <c r="M25" s="1429"/>
      <c r="N25" s="1429"/>
      <c r="O25" s="1430"/>
      <c r="P25" s="1106">
        <f>견적정보!G30</f>
        <v>0</v>
      </c>
      <c r="Q25" s="1107"/>
      <c r="R25" s="1107"/>
      <c r="S25" s="1107"/>
      <c r="T25" s="1107"/>
      <c r="U25" s="1107"/>
      <c r="V25" s="1107"/>
      <c r="W25" s="1107"/>
      <c r="X25" s="1107"/>
      <c r="Y25" s="1107"/>
      <c r="Z25" s="1107"/>
      <c r="AA25" s="1107"/>
      <c r="AB25" s="1107"/>
      <c r="AC25" s="1107"/>
      <c r="AD25" s="1107"/>
      <c r="AE25" s="1108"/>
      <c r="AF25" s="1106">
        <f>견적정보!L30</f>
        <v>0</v>
      </c>
      <c r="AG25" s="1107"/>
      <c r="AH25" s="1107"/>
      <c r="AI25" s="1107"/>
      <c r="AJ25" s="1107"/>
      <c r="AK25" s="1107"/>
      <c r="AL25" s="1107"/>
      <c r="AM25" s="1107"/>
      <c r="AN25" s="1107"/>
      <c r="AO25" s="1107"/>
      <c r="AP25" s="1107"/>
      <c r="AQ25" s="1107"/>
      <c r="AR25" s="1107"/>
      <c r="AS25" s="1107"/>
      <c r="AT25" s="1107"/>
      <c r="AU25" s="1108"/>
      <c r="AV25" s="1106">
        <f>견적정보!Q30</f>
        <v>0</v>
      </c>
      <c r="AW25" s="1107"/>
      <c r="AX25" s="1107"/>
      <c r="AY25" s="1107"/>
      <c r="AZ25" s="1107"/>
      <c r="BA25" s="1107"/>
      <c r="BB25" s="1107"/>
      <c r="BC25" s="1107"/>
      <c r="BD25" s="1107"/>
      <c r="BE25" s="1107"/>
      <c r="BF25" s="1107"/>
      <c r="BG25" s="1107"/>
      <c r="BH25" s="1107"/>
      <c r="BI25" s="1107"/>
      <c r="BJ25" s="1107"/>
      <c r="BK25" s="1108"/>
      <c r="BL25" s="103"/>
      <c r="BN25" s="1340" t="s">
        <v>94</v>
      </c>
      <c r="BO25" s="1341"/>
      <c r="BP25" s="1341"/>
      <c r="BQ25" s="1341"/>
      <c r="BR25" s="1341"/>
      <c r="BS25" s="1341"/>
      <c r="BT25" s="1341"/>
      <c r="BU25" s="1342"/>
      <c r="BV25" s="1405">
        <v>0</v>
      </c>
      <c r="BW25" s="1406"/>
      <c r="BX25" s="1406"/>
      <c r="BY25" s="1414">
        <f>BV25*$BV$14</f>
        <v>0</v>
      </c>
      <c r="BZ25" s="1415"/>
      <c r="CA25" s="1415"/>
      <c r="CB25" s="1415"/>
      <c r="CC25" s="1438"/>
      <c r="CD25" s="1405">
        <v>0</v>
      </c>
      <c r="CE25" s="1406"/>
      <c r="CF25" s="1406"/>
      <c r="CG25" s="1414">
        <f>CD25*$BV$14</f>
        <v>0</v>
      </c>
      <c r="CH25" s="1415"/>
      <c r="CI25" s="1415"/>
      <c r="CJ25" s="1415"/>
      <c r="CK25" s="1438"/>
      <c r="CL25" s="1405">
        <v>0</v>
      </c>
      <c r="CM25" s="1406"/>
      <c r="CN25" s="1406"/>
      <c r="CO25" s="1414">
        <f>CL25*$BV$14</f>
        <v>0</v>
      </c>
      <c r="CP25" s="1415"/>
      <c r="CQ25" s="1415"/>
      <c r="CR25" s="1415"/>
      <c r="CS25" s="1416"/>
    </row>
    <row r="26" spans="1:157" ht="30" customHeight="1" thickBot="1">
      <c r="A26" s="76"/>
      <c r="B26" s="92"/>
      <c r="C26" s="93"/>
      <c r="D26" s="93"/>
      <c r="E26" s="93"/>
      <c r="F26" s="93"/>
      <c r="G26" s="1454" t="s">
        <v>1480</v>
      </c>
      <c r="H26" s="1455"/>
      <c r="I26" s="1455"/>
      <c r="J26" s="1455"/>
      <c r="K26" s="1455"/>
      <c r="L26" s="1455"/>
      <c r="M26" s="1455"/>
      <c r="N26" s="1455"/>
      <c r="O26" s="1456"/>
      <c r="P26" s="1112">
        <f>견적정보!E45</f>
        <v>919100</v>
      </c>
      <c r="Q26" s="1113"/>
      <c r="R26" s="1113"/>
      <c r="S26" s="1113"/>
      <c r="T26" s="1113"/>
      <c r="U26" s="1113"/>
      <c r="V26" s="1113"/>
      <c r="W26" s="1113"/>
      <c r="X26" s="1113"/>
      <c r="Y26" s="1113"/>
      <c r="Z26" s="1113"/>
      <c r="AA26" s="1113"/>
      <c r="AB26" s="1113"/>
      <c r="AC26" s="1113"/>
      <c r="AD26" s="1113"/>
      <c r="AE26" s="1446"/>
      <c r="AF26" s="1112">
        <f>견적정보!J45</f>
        <v>813200</v>
      </c>
      <c r="AG26" s="1113"/>
      <c r="AH26" s="1113"/>
      <c r="AI26" s="1113"/>
      <c r="AJ26" s="1113"/>
      <c r="AK26" s="1113"/>
      <c r="AL26" s="1113"/>
      <c r="AM26" s="1113"/>
      <c r="AN26" s="1113"/>
      <c r="AO26" s="1113"/>
      <c r="AP26" s="1113"/>
      <c r="AQ26" s="1113"/>
      <c r="AR26" s="1113"/>
      <c r="AS26" s="1113"/>
      <c r="AT26" s="1113"/>
      <c r="AU26" s="1446"/>
      <c r="AV26" s="1112">
        <f>견적정보!O45</f>
        <v>759500</v>
      </c>
      <c r="AW26" s="1113"/>
      <c r="AX26" s="1113"/>
      <c r="AY26" s="1113"/>
      <c r="AZ26" s="1113"/>
      <c r="BA26" s="1113"/>
      <c r="BB26" s="1113"/>
      <c r="BC26" s="1113"/>
      <c r="BD26" s="1113"/>
      <c r="BE26" s="1113"/>
      <c r="BF26" s="1113"/>
      <c r="BG26" s="1113"/>
      <c r="BH26" s="1113"/>
      <c r="BI26" s="1113"/>
      <c r="BJ26" s="1113"/>
      <c r="BK26" s="1114"/>
      <c r="BL26" s="103"/>
      <c r="BN26" s="1469" t="s">
        <v>3299</v>
      </c>
      <c r="BO26" s="1338"/>
      <c r="BP26" s="1338"/>
      <c r="BQ26" s="1338"/>
      <c r="BR26" s="1338"/>
      <c r="BS26" s="1338"/>
      <c r="BT26" s="1338"/>
      <c r="BU26" s="1339"/>
      <c r="BV26" s="1386" t="str">
        <f>IF(BY26&lt;0,"인하","-")</f>
        <v>-</v>
      </c>
      <c r="BW26" s="1387"/>
      <c r="BX26" s="1388"/>
      <c r="BY26" s="1389">
        <f>IF(BV18="선택형",견적정보!G52,"")</f>
        <v>610500.00000000012</v>
      </c>
      <c r="BZ26" s="1390"/>
      <c r="CA26" s="1390"/>
      <c r="CB26" s="1390"/>
      <c r="CC26" s="1391"/>
      <c r="CD26" s="1386" t="str">
        <f>IF(CG26&lt;0,"인하","-")</f>
        <v>-</v>
      </c>
      <c r="CE26" s="1387"/>
      <c r="CF26" s="1388"/>
      <c r="CG26" s="1389">
        <f>IF(CD18="선택형",견적정보!L52,"")</f>
        <v>383899.99999999988</v>
      </c>
      <c r="CH26" s="1390"/>
      <c r="CI26" s="1390"/>
      <c r="CJ26" s="1390"/>
      <c r="CK26" s="1391"/>
      <c r="CL26" s="1386" t="str">
        <f>IF(CO26&lt;0,"인하","-")</f>
        <v>-</v>
      </c>
      <c r="CM26" s="1387"/>
      <c r="CN26" s="1388"/>
      <c r="CO26" s="1389">
        <f>IF(CL18="선택형",견적정보!Q52,"")</f>
        <v>237489.99999999988</v>
      </c>
      <c r="CP26" s="1390"/>
      <c r="CQ26" s="1390"/>
      <c r="CR26" s="1390"/>
      <c r="CS26" s="1392"/>
    </row>
    <row r="27" spans="1:157" ht="30" customHeight="1" thickBot="1">
      <c r="A27" s="76"/>
      <c r="B27" s="94"/>
      <c r="C27" s="95"/>
      <c r="D27" s="95"/>
      <c r="E27" s="95"/>
      <c r="F27" s="95"/>
      <c r="G27" s="1457" t="s">
        <v>1481</v>
      </c>
      <c r="H27" s="1458"/>
      <c r="I27" s="1458"/>
      <c r="J27" s="1458"/>
      <c r="K27" s="1458"/>
      <c r="L27" s="1458"/>
      <c r="M27" s="1458"/>
      <c r="N27" s="1458"/>
      <c r="O27" s="1459"/>
      <c r="P27" s="1109">
        <f>견적정보!F45</f>
        <v>91910</v>
      </c>
      <c r="Q27" s="1110"/>
      <c r="R27" s="1110"/>
      <c r="S27" s="1110"/>
      <c r="T27" s="1110"/>
      <c r="U27" s="1110"/>
      <c r="V27" s="1110"/>
      <c r="W27" s="1110"/>
      <c r="X27" s="1110"/>
      <c r="Y27" s="1110"/>
      <c r="Z27" s="1110"/>
      <c r="AA27" s="1110"/>
      <c r="AB27" s="1110"/>
      <c r="AC27" s="1110"/>
      <c r="AD27" s="1110"/>
      <c r="AE27" s="1447"/>
      <c r="AF27" s="1109">
        <f>견적정보!K45</f>
        <v>81320</v>
      </c>
      <c r="AG27" s="1110"/>
      <c r="AH27" s="1110"/>
      <c r="AI27" s="1110"/>
      <c r="AJ27" s="1110"/>
      <c r="AK27" s="1110"/>
      <c r="AL27" s="1110"/>
      <c r="AM27" s="1110"/>
      <c r="AN27" s="1110"/>
      <c r="AO27" s="1110"/>
      <c r="AP27" s="1110"/>
      <c r="AQ27" s="1110"/>
      <c r="AR27" s="1110"/>
      <c r="AS27" s="1110"/>
      <c r="AT27" s="1110"/>
      <c r="AU27" s="1447"/>
      <c r="AV27" s="1109">
        <f>견적정보!P45</f>
        <v>75950</v>
      </c>
      <c r="AW27" s="1110"/>
      <c r="AX27" s="1110"/>
      <c r="AY27" s="1110"/>
      <c r="AZ27" s="1110"/>
      <c r="BA27" s="1110"/>
      <c r="BB27" s="1110"/>
      <c r="BC27" s="1110"/>
      <c r="BD27" s="1110"/>
      <c r="BE27" s="1110"/>
      <c r="BF27" s="1110"/>
      <c r="BG27" s="1110"/>
      <c r="BH27" s="1110"/>
      <c r="BI27" s="1110"/>
      <c r="BJ27" s="1110"/>
      <c r="BK27" s="1111"/>
      <c r="BL27" s="103"/>
      <c r="BN27" s="110"/>
      <c r="BO27" s="110"/>
      <c r="BP27" s="110"/>
      <c r="BQ27" s="110"/>
      <c r="BR27" s="110"/>
      <c r="BS27" s="110"/>
      <c r="BT27" s="110"/>
      <c r="BU27" s="110"/>
      <c r="BV27" s="492" t="str">
        <f>IF(BV38=1,"담보금 한도 초과(40%)","")</f>
        <v/>
      </c>
      <c r="BW27" s="110"/>
      <c r="BX27" s="110"/>
      <c r="BY27" s="110"/>
      <c r="BZ27" s="110"/>
      <c r="CA27" s="110"/>
      <c r="CB27" s="110"/>
      <c r="CC27" s="110" t="str">
        <f>견적정보!E27</f>
        <v>T</v>
      </c>
      <c r="CD27" s="492" t="str">
        <f>IF(CD38=1,"담보금 한도 초과(40%)","")</f>
        <v/>
      </c>
      <c r="CE27" s="110"/>
      <c r="CF27" s="110"/>
      <c r="CG27" s="110"/>
      <c r="CH27" s="110"/>
      <c r="CI27" s="110"/>
      <c r="CJ27" s="110"/>
      <c r="CK27" s="110" t="str">
        <f>견적정보!J27</f>
        <v>T</v>
      </c>
      <c r="CL27" s="492" t="str">
        <f>IF(CL38=1,"담보금 한도 초과(40%)","")</f>
        <v/>
      </c>
      <c r="CM27" s="110"/>
      <c r="CN27" s="110"/>
      <c r="CO27" s="110"/>
      <c r="CP27" s="110"/>
      <c r="CQ27" s="110"/>
      <c r="CR27" s="110"/>
      <c r="CS27" s="110" t="str">
        <f>견적정보!O27</f>
        <v>T</v>
      </c>
    </row>
    <row r="28" spans="1:157" ht="18" customHeight="1">
      <c r="A28" s="76"/>
      <c r="B28" s="1448" t="s">
        <v>1482</v>
      </c>
      <c r="C28" s="1449"/>
      <c r="D28" s="1449"/>
      <c r="E28" s="1449"/>
      <c r="F28" s="1449"/>
      <c r="G28" s="1449"/>
      <c r="H28" s="1449"/>
      <c r="I28" s="1449"/>
      <c r="J28" s="1449"/>
      <c r="K28" s="1449"/>
      <c r="L28" s="1449"/>
      <c r="M28" s="1449"/>
      <c r="N28" s="1449"/>
      <c r="O28" s="1450"/>
      <c r="P28" s="1206">
        <f ca="1">BV35</f>
        <v>1011010</v>
      </c>
      <c r="Q28" s="1207"/>
      <c r="R28" s="1207"/>
      <c r="S28" s="1207"/>
      <c r="T28" s="1207"/>
      <c r="U28" s="1207"/>
      <c r="V28" s="1207"/>
      <c r="W28" s="1207"/>
      <c r="X28" s="1207"/>
      <c r="Y28" s="1207"/>
      <c r="Z28" s="1207"/>
      <c r="AA28" s="1207"/>
      <c r="AB28" s="1207"/>
      <c r="AC28" s="1207"/>
      <c r="AD28" s="1207"/>
      <c r="AE28" s="1208"/>
      <c r="AF28" s="1206">
        <f ca="1">CD35</f>
        <v>894520</v>
      </c>
      <c r="AG28" s="1207"/>
      <c r="AH28" s="1207"/>
      <c r="AI28" s="1207"/>
      <c r="AJ28" s="1207"/>
      <c r="AK28" s="1207"/>
      <c r="AL28" s="1207"/>
      <c r="AM28" s="1207"/>
      <c r="AN28" s="1207"/>
      <c r="AO28" s="1207"/>
      <c r="AP28" s="1207"/>
      <c r="AQ28" s="1207"/>
      <c r="AR28" s="1207"/>
      <c r="AS28" s="1207"/>
      <c r="AT28" s="1207"/>
      <c r="AU28" s="1208"/>
      <c r="AV28" s="1206">
        <f ca="1">CL35</f>
        <v>835450</v>
      </c>
      <c r="AW28" s="1207"/>
      <c r="AX28" s="1207"/>
      <c r="AY28" s="1207"/>
      <c r="AZ28" s="1207"/>
      <c r="BA28" s="1207"/>
      <c r="BB28" s="1207"/>
      <c r="BC28" s="1207"/>
      <c r="BD28" s="1207"/>
      <c r="BE28" s="1207"/>
      <c r="BF28" s="1207"/>
      <c r="BG28" s="1207"/>
      <c r="BH28" s="1207"/>
      <c r="BI28" s="1207"/>
      <c r="BJ28" s="1207"/>
      <c r="BK28" s="1212"/>
      <c r="BL28" s="103"/>
      <c r="BN28" s="1330" t="s">
        <v>98</v>
      </c>
      <c r="BO28" s="1331"/>
      <c r="BP28" s="1334" t="s">
        <v>99</v>
      </c>
      <c r="BQ28" s="1335"/>
      <c r="BR28" s="1335"/>
      <c r="BS28" s="1335"/>
      <c r="BT28" s="1335"/>
      <c r="BU28" s="1331"/>
      <c r="BV28" s="1300" t="s">
        <v>100</v>
      </c>
      <c r="BW28" s="1412"/>
      <c r="BX28" s="1412"/>
      <c r="BY28" s="1412"/>
      <c r="BZ28" s="1412"/>
      <c r="CA28" s="1412"/>
      <c r="CB28" s="1412"/>
      <c r="CC28" s="1413"/>
      <c r="CD28" s="1418" t="s">
        <v>105</v>
      </c>
      <c r="CE28" s="1419"/>
      <c r="CF28" s="1419"/>
      <c r="CG28" s="1419"/>
      <c r="CH28" s="1419"/>
      <c r="CI28" s="1419"/>
      <c r="CJ28" s="1419"/>
      <c r="CK28" s="1420"/>
      <c r="CL28" s="1285" t="s">
        <v>1657</v>
      </c>
      <c r="CM28" s="1286"/>
      <c r="CN28" s="1286"/>
      <c r="CO28" s="1286"/>
      <c r="CP28" s="1286"/>
      <c r="CQ28" s="1286"/>
      <c r="CR28" s="1286"/>
      <c r="CS28" s="1287"/>
    </row>
    <row r="29" spans="1:157" ht="30" customHeight="1" thickBot="1">
      <c r="A29" s="76"/>
      <c r="B29" s="1451"/>
      <c r="C29" s="1452"/>
      <c r="D29" s="1452"/>
      <c r="E29" s="1452"/>
      <c r="F29" s="1452"/>
      <c r="G29" s="1452"/>
      <c r="H29" s="1452"/>
      <c r="I29" s="1452"/>
      <c r="J29" s="1452"/>
      <c r="K29" s="1452"/>
      <c r="L29" s="1452"/>
      <c r="M29" s="1452"/>
      <c r="N29" s="1452"/>
      <c r="O29" s="1453"/>
      <c r="P29" s="1209"/>
      <c r="Q29" s="1210"/>
      <c r="R29" s="1210"/>
      <c r="S29" s="1210"/>
      <c r="T29" s="1210"/>
      <c r="U29" s="1210"/>
      <c r="V29" s="1210"/>
      <c r="W29" s="1210"/>
      <c r="X29" s="1210"/>
      <c r="Y29" s="1210"/>
      <c r="Z29" s="1210"/>
      <c r="AA29" s="1210"/>
      <c r="AB29" s="1210"/>
      <c r="AC29" s="1210"/>
      <c r="AD29" s="1210"/>
      <c r="AE29" s="1211"/>
      <c r="AF29" s="1209"/>
      <c r="AG29" s="1210"/>
      <c r="AH29" s="1210"/>
      <c r="AI29" s="1210"/>
      <c r="AJ29" s="1210"/>
      <c r="AK29" s="1210"/>
      <c r="AL29" s="1210"/>
      <c r="AM29" s="1210"/>
      <c r="AN29" s="1210"/>
      <c r="AO29" s="1210"/>
      <c r="AP29" s="1210"/>
      <c r="AQ29" s="1210"/>
      <c r="AR29" s="1210"/>
      <c r="AS29" s="1210"/>
      <c r="AT29" s="1210"/>
      <c r="AU29" s="1211"/>
      <c r="AV29" s="1209"/>
      <c r="AW29" s="1210"/>
      <c r="AX29" s="1210"/>
      <c r="AY29" s="1210"/>
      <c r="AZ29" s="1210"/>
      <c r="BA29" s="1210"/>
      <c r="BB29" s="1210"/>
      <c r="BC29" s="1210"/>
      <c r="BD29" s="1210"/>
      <c r="BE29" s="1210"/>
      <c r="BF29" s="1210"/>
      <c r="BG29" s="1210"/>
      <c r="BH29" s="1210"/>
      <c r="BI29" s="1210"/>
      <c r="BJ29" s="1210"/>
      <c r="BK29" s="1213"/>
      <c r="BL29" s="103"/>
      <c r="BN29" s="1274"/>
      <c r="BO29" s="1276"/>
      <c r="BP29" s="1336" t="s">
        <v>1489</v>
      </c>
      <c r="BQ29" s="1289"/>
      <c r="BR29" s="1289"/>
      <c r="BS29" s="1289"/>
      <c r="BT29" s="1289"/>
      <c r="BU29" s="1290"/>
      <c r="BV29" s="1271" t="s">
        <v>3438</v>
      </c>
      <c r="BW29" s="1272"/>
      <c r="BX29" s="1272"/>
      <c r="BY29" s="1272"/>
      <c r="BZ29" s="1272"/>
      <c r="CA29" s="1272"/>
      <c r="CB29" s="1272"/>
      <c r="CC29" s="1445"/>
      <c r="CD29" s="1400" t="s">
        <v>1484</v>
      </c>
      <c r="CE29" s="1401"/>
      <c r="CF29" s="1401"/>
      <c r="CG29" s="1401"/>
      <c r="CH29" s="1401"/>
      <c r="CI29" s="1401"/>
      <c r="CJ29" s="1401"/>
      <c r="CK29" s="1402"/>
      <c r="CL29" s="1271" t="s">
        <v>3041</v>
      </c>
      <c r="CM29" s="1272"/>
      <c r="CN29" s="1272"/>
      <c r="CO29" s="1272"/>
      <c r="CP29" s="1272"/>
      <c r="CQ29" s="1272"/>
      <c r="CR29" s="1272"/>
      <c r="CS29" s="1273"/>
    </row>
    <row r="30" spans="1:157" ht="30" customHeight="1" thickBot="1">
      <c r="A30" s="76"/>
      <c r="B30" s="1461" t="s">
        <v>1479</v>
      </c>
      <c r="C30" s="1462"/>
      <c r="D30" s="1462"/>
      <c r="E30" s="1462"/>
      <c r="F30" s="1462"/>
      <c r="G30" s="1462"/>
      <c r="H30" s="1462"/>
      <c r="I30" s="1462"/>
      <c r="J30" s="1462"/>
      <c r="K30" s="1462"/>
      <c r="L30" s="1462"/>
      <c r="M30" s="1462"/>
      <c r="N30" s="1462"/>
      <c r="O30" s="1463"/>
      <c r="P30" s="1214">
        <f>BV36</f>
        <v>0</v>
      </c>
      <c r="Q30" s="1215"/>
      <c r="R30" s="1215"/>
      <c r="S30" s="1215"/>
      <c r="T30" s="1215"/>
      <c r="U30" s="1215"/>
      <c r="V30" s="1215"/>
      <c r="W30" s="1215"/>
      <c r="X30" s="1215"/>
      <c r="Y30" s="1215"/>
      <c r="Z30" s="1215"/>
      <c r="AA30" s="1215"/>
      <c r="AB30" s="1215"/>
      <c r="AC30" s="1215"/>
      <c r="AD30" s="1215"/>
      <c r="AE30" s="1216"/>
      <c r="AF30" s="1214">
        <f>CD36</f>
        <v>0</v>
      </c>
      <c r="AG30" s="1215"/>
      <c r="AH30" s="1215"/>
      <c r="AI30" s="1215"/>
      <c r="AJ30" s="1215"/>
      <c r="AK30" s="1215"/>
      <c r="AL30" s="1215"/>
      <c r="AM30" s="1215"/>
      <c r="AN30" s="1215"/>
      <c r="AO30" s="1215"/>
      <c r="AP30" s="1215"/>
      <c r="AQ30" s="1215"/>
      <c r="AR30" s="1215"/>
      <c r="AS30" s="1215"/>
      <c r="AT30" s="1215"/>
      <c r="AU30" s="1216"/>
      <c r="AV30" s="1214">
        <f>CL36</f>
        <v>0</v>
      </c>
      <c r="AW30" s="1215"/>
      <c r="AX30" s="1215"/>
      <c r="AY30" s="1215"/>
      <c r="AZ30" s="1215"/>
      <c r="BA30" s="1215"/>
      <c r="BB30" s="1215"/>
      <c r="BC30" s="1215"/>
      <c r="BD30" s="1215"/>
      <c r="BE30" s="1215"/>
      <c r="BF30" s="1215"/>
      <c r="BG30" s="1215"/>
      <c r="BH30" s="1215"/>
      <c r="BI30" s="1215"/>
      <c r="BJ30" s="1215"/>
      <c r="BK30" s="1216"/>
      <c r="BL30" s="103"/>
      <c r="BN30" s="1332"/>
      <c r="BO30" s="1333"/>
      <c r="BP30" s="1337" t="s">
        <v>1485</v>
      </c>
      <c r="BQ30" s="1338"/>
      <c r="BR30" s="1338"/>
      <c r="BS30" s="1338"/>
      <c r="BT30" s="1338"/>
      <c r="BU30" s="1339"/>
      <c r="BV30" s="1407" t="s">
        <v>2105</v>
      </c>
      <c r="BW30" s="1408"/>
      <c r="BX30" s="1408"/>
      <c r="BY30" s="1408"/>
      <c r="BZ30" s="1408"/>
      <c r="CA30" s="1408"/>
      <c r="CB30" s="1408"/>
      <c r="CC30" s="1408"/>
      <c r="CD30" s="1408"/>
      <c r="CE30" s="1408"/>
      <c r="CF30" s="1408"/>
      <c r="CG30" s="1408"/>
      <c r="CH30" s="1408"/>
      <c r="CI30" s="1408"/>
      <c r="CJ30" s="1408"/>
      <c r="CK30" s="1408"/>
      <c r="CL30" s="1408"/>
      <c r="CM30" s="1408"/>
      <c r="CN30" s="1408"/>
      <c r="CO30" s="1408"/>
      <c r="CP30" s="1408"/>
      <c r="CQ30" s="1408"/>
      <c r="CR30" s="1408"/>
      <c r="CS30" s="1409"/>
    </row>
    <row r="31" spans="1:157" ht="33" customHeight="1" thickBot="1">
      <c r="A31" s="76"/>
      <c r="B31" s="1460" t="s">
        <v>3354</v>
      </c>
      <c r="C31" s="1460"/>
      <c r="D31" s="1460"/>
      <c r="E31" s="1460"/>
      <c r="F31" s="1460"/>
      <c r="G31" s="1460"/>
      <c r="H31" s="1460"/>
      <c r="I31" s="1460"/>
      <c r="J31" s="1460"/>
      <c r="K31" s="1460"/>
      <c r="L31" s="1460"/>
      <c r="M31" s="1460"/>
      <c r="N31" s="1460"/>
      <c r="O31" s="1460"/>
      <c r="P31" s="1460"/>
      <c r="Q31" s="1460"/>
      <c r="R31" s="1460"/>
      <c r="S31" s="1460"/>
      <c r="T31" s="1460"/>
      <c r="U31" s="1460"/>
      <c r="V31" s="1460"/>
      <c r="W31" s="1460"/>
      <c r="X31" s="1460"/>
      <c r="Y31" s="1460"/>
      <c r="Z31" s="1460"/>
      <c r="AA31" s="1460"/>
      <c r="AB31" s="1460"/>
      <c r="AC31" s="1460"/>
      <c r="AD31" s="1460"/>
      <c r="AE31" s="1460"/>
      <c r="AF31" s="1460"/>
      <c r="AG31" s="1460"/>
      <c r="AH31" s="1460"/>
      <c r="AI31" s="1460"/>
      <c r="AJ31" s="1460"/>
      <c r="AK31" s="1460"/>
      <c r="AL31" s="1460"/>
      <c r="AM31" s="1460"/>
      <c r="AN31" s="1460"/>
      <c r="AO31" s="1460"/>
      <c r="AP31" s="1460"/>
      <c r="AQ31" s="1460"/>
      <c r="AR31" s="1460"/>
      <c r="AS31" s="1460"/>
      <c r="AT31" s="1460"/>
      <c r="AU31" s="1460"/>
      <c r="AV31" s="1460"/>
      <c r="AW31" s="1460"/>
      <c r="AX31" s="1460"/>
      <c r="AY31" s="1460"/>
      <c r="AZ31" s="1460"/>
      <c r="BA31" s="1460"/>
      <c r="BB31" s="1460"/>
      <c r="BC31" s="1460"/>
      <c r="BD31" s="1460"/>
      <c r="BE31" s="1460"/>
      <c r="BF31" s="1460"/>
      <c r="BG31" s="1460"/>
      <c r="BH31" s="1460"/>
      <c r="BI31" s="1460"/>
      <c r="BJ31" s="1460"/>
      <c r="BK31" s="1460"/>
      <c r="BL31" s="103"/>
      <c r="BN31" s="109"/>
      <c r="BO31" s="109"/>
      <c r="BP31" s="109"/>
      <c r="BQ31" s="109"/>
      <c r="BR31" s="109"/>
      <c r="BS31" s="109"/>
      <c r="BT31" s="109"/>
      <c r="BU31" s="109"/>
      <c r="BV31" s="109" t="str">
        <f>IF(BV37=1,"수수료율 한도 초과(10%)","")</f>
        <v/>
      </c>
      <c r="BW31" s="109"/>
      <c r="BX31" s="109"/>
      <c r="BY31" s="109"/>
      <c r="BZ31" s="109"/>
      <c r="CA31" s="109"/>
      <c r="CB31" s="109"/>
      <c r="CC31" s="109"/>
      <c r="CD31" s="109" t="str">
        <f>IF(CD37=1,"수수료율 한도 초과(10%)","")</f>
        <v/>
      </c>
      <c r="CE31" s="109"/>
      <c r="CF31" s="109"/>
      <c r="CG31" s="109"/>
      <c r="CH31" s="109"/>
      <c r="CI31" s="109"/>
      <c r="CJ31" s="109"/>
      <c r="CK31" s="109"/>
      <c r="CL31" s="109" t="str">
        <f>IF(CL37=1,"수수료율 한도 초과(10%)","")</f>
        <v/>
      </c>
      <c r="CM31" s="109"/>
      <c r="CN31" s="109"/>
      <c r="CO31" s="109"/>
      <c r="CP31" s="109"/>
      <c r="CQ31" s="109"/>
      <c r="CR31" s="109"/>
      <c r="CS31" s="109"/>
    </row>
    <row r="32" spans="1:157" ht="18" customHeight="1" thickBot="1">
      <c r="A32" s="76"/>
      <c r="B32" s="89" t="s">
        <v>1483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103"/>
      <c r="BN32" s="1219" t="s">
        <v>111</v>
      </c>
      <c r="BO32" s="1220"/>
      <c r="BP32" s="1220"/>
      <c r="BQ32" s="1220"/>
      <c r="BR32" s="1270" t="s">
        <v>113</v>
      </c>
      <c r="BS32" s="1270"/>
      <c r="BT32" s="1270"/>
      <c r="BU32" s="1270"/>
      <c r="BV32" s="1325">
        <v>0.04</v>
      </c>
      <c r="BW32" s="1325"/>
      <c r="BX32" s="1325"/>
      <c r="BY32" s="1325"/>
      <c r="BZ32" s="1326">
        <f>BV32*$BV$14</f>
        <v>1854000</v>
      </c>
      <c r="CA32" s="1326"/>
      <c r="CB32" s="1326"/>
      <c r="CC32" s="1326"/>
      <c r="CD32" s="1325">
        <v>0.04</v>
      </c>
      <c r="CE32" s="1325"/>
      <c r="CF32" s="1325"/>
      <c r="CG32" s="1325"/>
      <c r="CH32" s="1326">
        <f>CD32*$BV$14</f>
        <v>1854000</v>
      </c>
      <c r="CI32" s="1326"/>
      <c r="CJ32" s="1326"/>
      <c r="CK32" s="1326"/>
      <c r="CL32" s="1325">
        <v>0.04</v>
      </c>
      <c r="CM32" s="1325"/>
      <c r="CN32" s="1325"/>
      <c r="CO32" s="1325"/>
      <c r="CP32" s="1326">
        <f>CL32*$BV$14</f>
        <v>1854000</v>
      </c>
      <c r="CQ32" s="1326"/>
      <c r="CR32" s="1326"/>
      <c r="CS32" s="1417"/>
    </row>
    <row r="33" spans="1:97" ht="18" customHeight="1">
      <c r="A33" s="76"/>
      <c r="B33" s="1096" t="s">
        <v>1487</v>
      </c>
      <c r="C33" s="1097"/>
      <c r="D33" s="1097"/>
      <c r="E33" s="1097"/>
      <c r="F33" s="1097"/>
      <c r="G33" s="1098"/>
      <c r="H33" s="1134" t="s">
        <v>1492</v>
      </c>
      <c r="I33" s="1135"/>
      <c r="J33" s="1135"/>
      <c r="K33" s="1135"/>
      <c r="L33" s="1135"/>
      <c r="M33" s="1135"/>
      <c r="N33" s="1135"/>
      <c r="O33" s="1132" t="s">
        <v>1493</v>
      </c>
      <c r="P33" s="1132"/>
      <c r="Q33" s="1132"/>
      <c r="R33" s="1132"/>
      <c r="S33" s="1132"/>
      <c r="T33" s="1132"/>
      <c r="U33" s="1132"/>
      <c r="V33" s="1135" t="s">
        <v>1488</v>
      </c>
      <c r="W33" s="1135"/>
      <c r="X33" s="1135"/>
      <c r="Y33" s="1135"/>
      <c r="Z33" s="1135"/>
      <c r="AA33" s="1135"/>
      <c r="AB33" s="1135"/>
      <c r="AC33" s="1132" t="str">
        <f>BV28</f>
        <v>1억</v>
      </c>
      <c r="AD33" s="1132"/>
      <c r="AE33" s="1132"/>
      <c r="AF33" s="1132"/>
      <c r="AG33" s="1132"/>
      <c r="AH33" s="1132"/>
      <c r="AI33" s="1132"/>
      <c r="AJ33" s="1135" t="s">
        <v>1494</v>
      </c>
      <c r="AK33" s="1135"/>
      <c r="AL33" s="1135"/>
      <c r="AM33" s="1135"/>
      <c r="AN33" s="1135"/>
      <c r="AO33" s="1135"/>
      <c r="AP33" s="1135"/>
      <c r="AQ33" s="1132" t="s">
        <v>1495</v>
      </c>
      <c r="AR33" s="1132"/>
      <c r="AS33" s="1132"/>
      <c r="AT33" s="1132"/>
      <c r="AU33" s="1132"/>
      <c r="AV33" s="1132"/>
      <c r="AW33" s="1132"/>
      <c r="AX33" s="1135" t="s">
        <v>1496</v>
      </c>
      <c r="AY33" s="1135"/>
      <c r="AZ33" s="1135"/>
      <c r="BA33" s="1135"/>
      <c r="BB33" s="1135"/>
      <c r="BC33" s="1135"/>
      <c r="BD33" s="1135"/>
      <c r="BE33" s="1132" t="s">
        <v>1497</v>
      </c>
      <c r="BF33" s="1132"/>
      <c r="BG33" s="1132"/>
      <c r="BH33" s="1132"/>
      <c r="BI33" s="1132"/>
      <c r="BJ33" s="1132"/>
      <c r="BK33" s="1133"/>
      <c r="BL33" s="103"/>
      <c r="BN33" s="1192" t="s">
        <v>112</v>
      </c>
      <c r="BO33" s="1193"/>
      <c r="BP33" s="1193"/>
      <c r="BQ33" s="1193"/>
      <c r="BR33" s="1349" t="s">
        <v>113</v>
      </c>
      <c r="BS33" s="1349"/>
      <c r="BT33" s="1349"/>
      <c r="BU33" s="1349"/>
      <c r="BV33" s="1396">
        <v>0</v>
      </c>
      <c r="BW33" s="1396"/>
      <c r="BX33" s="1396"/>
      <c r="BY33" s="1396"/>
      <c r="BZ33" s="1326">
        <f>BV33*$BV$14</f>
        <v>0</v>
      </c>
      <c r="CA33" s="1326"/>
      <c r="CB33" s="1326"/>
      <c r="CC33" s="1326"/>
      <c r="CD33" s="1396">
        <v>0</v>
      </c>
      <c r="CE33" s="1396"/>
      <c r="CF33" s="1396"/>
      <c r="CG33" s="1396"/>
      <c r="CH33" s="1326">
        <f>CD33*$BV$14</f>
        <v>0</v>
      </c>
      <c r="CI33" s="1326"/>
      <c r="CJ33" s="1326"/>
      <c r="CK33" s="1326"/>
      <c r="CL33" s="1396">
        <v>0</v>
      </c>
      <c r="CM33" s="1396"/>
      <c r="CN33" s="1396"/>
      <c r="CO33" s="1396"/>
      <c r="CP33" s="1410">
        <f>CL33*$BV$14</f>
        <v>0</v>
      </c>
      <c r="CQ33" s="1410"/>
      <c r="CR33" s="1410"/>
      <c r="CS33" s="1411"/>
    </row>
    <row r="34" spans="1:97" ht="18" customHeight="1" thickBot="1">
      <c r="A34" s="76"/>
      <c r="B34" s="1102"/>
      <c r="C34" s="1103"/>
      <c r="D34" s="1103"/>
      <c r="E34" s="1103"/>
      <c r="F34" s="1103"/>
      <c r="G34" s="1104"/>
      <c r="H34" s="1105" t="s">
        <v>1498</v>
      </c>
      <c r="I34" s="1095"/>
      <c r="J34" s="1095"/>
      <c r="K34" s="1095"/>
      <c r="L34" s="1095"/>
      <c r="M34" s="1095"/>
      <c r="N34" s="1095"/>
      <c r="O34" s="1138" t="s">
        <v>1499</v>
      </c>
      <c r="P34" s="1138"/>
      <c r="Q34" s="1138"/>
      <c r="R34" s="1138"/>
      <c r="S34" s="1138"/>
      <c r="T34" s="1138"/>
      <c r="U34" s="1138"/>
      <c r="V34" s="1095" t="s">
        <v>1490</v>
      </c>
      <c r="W34" s="1095"/>
      <c r="X34" s="1095"/>
      <c r="Y34" s="1095"/>
      <c r="Z34" s="1095"/>
      <c r="AA34" s="1095"/>
      <c r="AB34" s="1095"/>
      <c r="AC34" s="1138" t="str">
        <f>IF($BV$2="개인","미가입",BV29)</f>
        <v>미가입</v>
      </c>
      <c r="AD34" s="1138"/>
      <c r="AE34" s="1138"/>
      <c r="AF34" s="1138"/>
      <c r="AG34" s="1138"/>
      <c r="AH34" s="1138"/>
      <c r="AI34" s="1138"/>
      <c r="AJ34" s="1095" t="s">
        <v>1486</v>
      </c>
      <c r="AK34" s="1095"/>
      <c r="AL34" s="1095"/>
      <c r="AM34" s="1095"/>
      <c r="AN34" s="1095"/>
      <c r="AO34" s="1095"/>
      <c r="AP34" s="1095"/>
      <c r="AQ34" s="1138" t="str">
        <f>CL28</f>
        <v>만26세이상</v>
      </c>
      <c r="AR34" s="1138"/>
      <c r="AS34" s="1138"/>
      <c r="AT34" s="1138"/>
      <c r="AU34" s="1138"/>
      <c r="AV34" s="1138"/>
      <c r="AW34" s="1138"/>
      <c r="AX34" s="1095" t="s">
        <v>1491</v>
      </c>
      <c r="AY34" s="1095"/>
      <c r="AZ34" s="1095"/>
      <c r="BA34" s="1095"/>
      <c r="BB34" s="1095"/>
      <c r="BC34" s="1095"/>
      <c r="BD34" s="1095"/>
      <c r="BE34" s="1138" t="str">
        <f>CL29</f>
        <v>30만원</v>
      </c>
      <c r="BF34" s="1138"/>
      <c r="BG34" s="1138"/>
      <c r="BH34" s="1138"/>
      <c r="BI34" s="1138"/>
      <c r="BJ34" s="1138"/>
      <c r="BK34" s="1139"/>
      <c r="BL34" s="103"/>
      <c r="BN34" s="1181" t="s">
        <v>116</v>
      </c>
      <c r="BO34" s="1182"/>
      <c r="BP34" s="1182"/>
      <c r="BQ34" s="1182"/>
      <c r="BR34" s="1182"/>
      <c r="BS34" s="1182"/>
      <c r="BT34" s="1182"/>
      <c r="BU34" s="1182"/>
      <c r="BV34" s="1397">
        <f>SUM(BZ32:CC33)</f>
        <v>1854000</v>
      </c>
      <c r="BW34" s="1182"/>
      <c r="BX34" s="1182"/>
      <c r="BY34" s="1182"/>
      <c r="BZ34" s="1182"/>
      <c r="CA34" s="1182"/>
      <c r="CB34" s="1182"/>
      <c r="CC34" s="1182"/>
      <c r="CD34" s="1397">
        <f>SUM(CH32:CK33)</f>
        <v>1854000</v>
      </c>
      <c r="CE34" s="1182"/>
      <c r="CF34" s="1182"/>
      <c r="CG34" s="1182"/>
      <c r="CH34" s="1182"/>
      <c r="CI34" s="1182"/>
      <c r="CJ34" s="1182"/>
      <c r="CK34" s="1182"/>
      <c r="CL34" s="1397">
        <f>SUM(CP32:CS33)</f>
        <v>1854000</v>
      </c>
      <c r="CM34" s="1182"/>
      <c r="CN34" s="1182"/>
      <c r="CO34" s="1182"/>
      <c r="CP34" s="1182"/>
      <c r="CQ34" s="1182"/>
      <c r="CR34" s="1182"/>
      <c r="CS34" s="1398"/>
    </row>
    <row r="35" spans="1:97" ht="18" customHeight="1">
      <c r="A35" s="76"/>
      <c r="B35" s="1096" t="s">
        <v>1500</v>
      </c>
      <c r="C35" s="1097"/>
      <c r="D35" s="1097"/>
      <c r="E35" s="1097"/>
      <c r="F35" s="1097"/>
      <c r="G35" s="1098"/>
      <c r="H35" s="1231" t="s">
        <v>1501</v>
      </c>
      <c r="I35" s="1097"/>
      <c r="J35" s="1097"/>
      <c r="K35" s="1097"/>
      <c r="L35" s="1097"/>
      <c r="M35" s="1097"/>
      <c r="N35" s="1097"/>
      <c r="O35" s="1225" t="s">
        <v>1508</v>
      </c>
      <c r="P35" s="1225"/>
      <c r="Q35" s="1225"/>
      <c r="R35" s="1225"/>
      <c r="S35" s="1225"/>
      <c r="T35" s="1225"/>
      <c r="U35" s="1225"/>
      <c r="V35" s="1228" t="s">
        <v>1506</v>
      </c>
      <c r="W35" s="1228"/>
      <c r="X35" s="1228"/>
      <c r="Y35" s="1228"/>
      <c r="Z35" s="1228"/>
      <c r="AA35" s="1228"/>
      <c r="AB35" s="1228"/>
      <c r="AC35" s="1134" t="s">
        <v>1501</v>
      </c>
      <c r="AD35" s="1135"/>
      <c r="AE35" s="1135"/>
      <c r="AF35" s="1132" t="s">
        <v>1503</v>
      </c>
      <c r="AG35" s="1132"/>
      <c r="AH35" s="1132"/>
      <c r="AI35" s="1132"/>
      <c r="AJ35" s="1132"/>
      <c r="AK35" s="1132"/>
      <c r="AL35" s="1132"/>
      <c r="AM35" s="1132"/>
      <c r="AN35" s="1132"/>
      <c r="AO35" s="1132"/>
      <c r="AP35" s="1132"/>
      <c r="AQ35" s="1228" t="s">
        <v>1507</v>
      </c>
      <c r="AR35" s="1228"/>
      <c r="AS35" s="1228"/>
      <c r="AT35" s="1228"/>
      <c r="AU35" s="1228"/>
      <c r="AV35" s="1228"/>
      <c r="AW35" s="1228"/>
      <c r="AX35" s="1134" t="s">
        <v>1501</v>
      </c>
      <c r="AY35" s="1135"/>
      <c r="AZ35" s="1135"/>
      <c r="BA35" s="1132" t="s">
        <v>1505</v>
      </c>
      <c r="BB35" s="1132"/>
      <c r="BC35" s="1132"/>
      <c r="BD35" s="1132"/>
      <c r="BE35" s="1132"/>
      <c r="BF35" s="1132"/>
      <c r="BG35" s="1132"/>
      <c r="BH35" s="1132"/>
      <c r="BI35" s="1132"/>
      <c r="BJ35" s="1132"/>
      <c r="BK35" s="1133"/>
      <c r="BL35" s="103"/>
      <c r="BN35" s="1219" t="s">
        <v>1437</v>
      </c>
      <c r="BO35" s="1220"/>
      <c r="BP35" s="1220"/>
      <c r="BQ35" s="1220"/>
      <c r="BR35" s="1220"/>
      <c r="BS35" s="1220"/>
      <c r="BT35" s="1220"/>
      <c r="BU35" s="1220"/>
      <c r="BV35" s="1393">
        <f ca="1">IF($BL$6=0,견적정보!D45,"Error")</f>
        <v>1011010</v>
      </c>
      <c r="BW35" s="1394"/>
      <c r="BX35" s="1394"/>
      <c r="BY35" s="1394"/>
      <c r="BZ35" s="1394"/>
      <c r="CA35" s="1394"/>
      <c r="CB35" s="1394"/>
      <c r="CC35" s="1395"/>
      <c r="CD35" s="1393">
        <f ca="1">IF($BL$6=0,견적정보!I45,"Error")</f>
        <v>894520</v>
      </c>
      <c r="CE35" s="1394"/>
      <c r="CF35" s="1394"/>
      <c r="CG35" s="1394"/>
      <c r="CH35" s="1394"/>
      <c r="CI35" s="1394"/>
      <c r="CJ35" s="1394"/>
      <c r="CK35" s="1394"/>
      <c r="CL35" s="1393">
        <f ca="1">IF($BL$6=0,견적정보!N45,"Error")</f>
        <v>835450</v>
      </c>
      <c r="CM35" s="1394"/>
      <c r="CN35" s="1394"/>
      <c r="CO35" s="1394"/>
      <c r="CP35" s="1394"/>
      <c r="CQ35" s="1394"/>
      <c r="CR35" s="1394"/>
      <c r="CS35" s="1444"/>
    </row>
    <row r="36" spans="1:97" ht="18" customHeight="1" thickBot="1">
      <c r="A36" s="76"/>
      <c r="B36" s="1099"/>
      <c r="C36" s="1100"/>
      <c r="D36" s="1100"/>
      <c r="E36" s="1100"/>
      <c r="F36" s="1100"/>
      <c r="G36" s="1101"/>
      <c r="H36" s="1232"/>
      <c r="I36" s="1100"/>
      <c r="J36" s="1100"/>
      <c r="K36" s="1100"/>
      <c r="L36" s="1100"/>
      <c r="M36" s="1100"/>
      <c r="N36" s="1100"/>
      <c r="O36" s="1226"/>
      <c r="P36" s="1226"/>
      <c r="Q36" s="1226"/>
      <c r="R36" s="1226"/>
      <c r="S36" s="1226"/>
      <c r="T36" s="1226"/>
      <c r="U36" s="1226"/>
      <c r="V36" s="1229"/>
      <c r="W36" s="1229"/>
      <c r="X36" s="1229"/>
      <c r="Y36" s="1229"/>
      <c r="Z36" s="1229"/>
      <c r="AA36" s="1229"/>
      <c r="AB36" s="1229"/>
      <c r="AC36" s="1217" t="s">
        <v>1502</v>
      </c>
      <c r="AD36" s="1218"/>
      <c r="AE36" s="1218"/>
      <c r="AF36" s="1234" t="s">
        <v>1504</v>
      </c>
      <c r="AG36" s="1234"/>
      <c r="AH36" s="1234"/>
      <c r="AI36" s="1234"/>
      <c r="AJ36" s="1234"/>
      <c r="AK36" s="1234"/>
      <c r="AL36" s="1234"/>
      <c r="AM36" s="1234"/>
      <c r="AN36" s="1234"/>
      <c r="AO36" s="1234"/>
      <c r="AP36" s="1234"/>
      <c r="AQ36" s="1229"/>
      <c r="AR36" s="1229"/>
      <c r="AS36" s="1229"/>
      <c r="AT36" s="1229"/>
      <c r="AU36" s="1229"/>
      <c r="AV36" s="1229"/>
      <c r="AW36" s="1229"/>
      <c r="AX36" s="1217" t="s">
        <v>1502</v>
      </c>
      <c r="AY36" s="1218"/>
      <c r="AZ36" s="1218"/>
      <c r="BA36" s="1136" t="s">
        <v>1505</v>
      </c>
      <c r="BB36" s="1136"/>
      <c r="BC36" s="1136"/>
      <c r="BD36" s="1136"/>
      <c r="BE36" s="1136"/>
      <c r="BF36" s="1136"/>
      <c r="BG36" s="1136"/>
      <c r="BH36" s="1136"/>
      <c r="BI36" s="1136"/>
      <c r="BJ36" s="1136"/>
      <c r="BK36" s="1137"/>
      <c r="BL36" s="103"/>
      <c r="BN36" s="1181" t="s">
        <v>1438</v>
      </c>
      <c r="BO36" s="1182"/>
      <c r="BP36" s="1182"/>
      <c r="BQ36" s="1182"/>
      <c r="BR36" s="1182"/>
      <c r="BS36" s="1182"/>
      <c r="BT36" s="1182"/>
      <c r="BU36" s="1182"/>
      <c r="BV36" s="1383">
        <f>견적정보!D46</f>
        <v>0</v>
      </c>
      <c r="BW36" s="1384"/>
      <c r="BX36" s="1384"/>
      <c r="BY36" s="1384"/>
      <c r="BZ36" s="1384"/>
      <c r="CA36" s="1384"/>
      <c r="CB36" s="1384"/>
      <c r="CC36" s="1385"/>
      <c r="CD36" s="1383">
        <f>견적정보!I46</f>
        <v>0</v>
      </c>
      <c r="CE36" s="1384"/>
      <c r="CF36" s="1384"/>
      <c r="CG36" s="1384"/>
      <c r="CH36" s="1384"/>
      <c r="CI36" s="1384"/>
      <c r="CJ36" s="1384"/>
      <c r="CK36" s="1384"/>
      <c r="CL36" s="1383">
        <f>견적정보!N46</f>
        <v>0</v>
      </c>
      <c r="CM36" s="1384"/>
      <c r="CN36" s="1384"/>
      <c r="CO36" s="1384"/>
      <c r="CP36" s="1384"/>
      <c r="CQ36" s="1384"/>
      <c r="CR36" s="1384"/>
      <c r="CS36" s="1399"/>
    </row>
    <row r="37" spans="1:97" ht="18" customHeight="1">
      <c r="A37" s="76"/>
      <c r="B37" s="1102"/>
      <c r="C37" s="1103"/>
      <c r="D37" s="1103"/>
      <c r="E37" s="1103"/>
      <c r="F37" s="1103"/>
      <c r="G37" s="1104"/>
      <c r="H37" s="1233"/>
      <c r="I37" s="1103"/>
      <c r="J37" s="1103"/>
      <c r="K37" s="1103"/>
      <c r="L37" s="1103"/>
      <c r="M37" s="1103"/>
      <c r="N37" s="1103"/>
      <c r="O37" s="1227"/>
      <c r="P37" s="1227"/>
      <c r="Q37" s="1227"/>
      <c r="R37" s="1227"/>
      <c r="S37" s="1227"/>
      <c r="T37" s="1227"/>
      <c r="U37" s="1227"/>
      <c r="V37" s="1230"/>
      <c r="W37" s="1230"/>
      <c r="X37" s="1230"/>
      <c r="Y37" s="1230"/>
      <c r="Z37" s="1230"/>
      <c r="AA37" s="1230"/>
      <c r="AB37" s="1230"/>
      <c r="AC37" s="1223" t="s">
        <v>1511</v>
      </c>
      <c r="AD37" s="1223"/>
      <c r="AE37" s="1223"/>
      <c r="AF37" s="1223"/>
      <c r="AG37" s="1223"/>
      <c r="AH37" s="1223"/>
      <c r="AI37" s="1223"/>
      <c r="AJ37" s="1223"/>
      <c r="AK37" s="1223"/>
      <c r="AL37" s="1223"/>
      <c r="AM37" s="1223"/>
      <c r="AN37" s="1223"/>
      <c r="AO37" s="1223"/>
      <c r="AP37" s="1223"/>
      <c r="AQ37" s="1230"/>
      <c r="AR37" s="1230"/>
      <c r="AS37" s="1230"/>
      <c r="AT37" s="1230"/>
      <c r="AU37" s="1230"/>
      <c r="AV37" s="1230"/>
      <c r="AW37" s="1230"/>
      <c r="AX37" s="1223" t="s">
        <v>1509</v>
      </c>
      <c r="AY37" s="1223"/>
      <c r="AZ37" s="1223"/>
      <c r="BA37" s="1223"/>
      <c r="BB37" s="1223"/>
      <c r="BC37" s="1223"/>
      <c r="BD37" s="1223"/>
      <c r="BE37" s="1223"/>
      <c r="BF37" s="1223"/>
      <c r="BG37" s="1223"/>
      <c r="BH37" s="1223"/>
      <c r="BI37" s="1223"/>
      <c r="BJ37" s="1223"/>
      <c r="BK37" s="1224"/>
      <c r="BL37" s="103"/>
      <c r="BN37" s="175"/>
      <c r="BO37" s="175"/>
      <c r="BP37" s="175"/>
      <c r="BQ37" s="175"/>
      <c r="BR37" s="175"/>
      <c r="BS37" s="175"/>
      <c r="BT37" s="175"/>
      <c r="BU37" s="175"/>
      <c r="BV37" s="524">
        <f>IF(BV32+BV33&gt;0.1,1,0)</f>
        <v>0</v>
      </c>
      <c r="BW37" s="524">
        <f>IF(BV22+BV24+BV25&gt;=100%,1,0)</f>
        <v>0</v>
      </c>
      <c r="BX37" s="525"/>
      <c r="BY37" s="525"/>
      <c r="BZ37" s="525"/>
      <c r="CA37" s="525"/>
      <c r="CB37" s="525"/>
      <c r="CC37" s="525" t="str">
        <f>견적정보!E27</f>
        <v>T</v>
      </c>
      <c r="CD37" s="524">
        <f>IF(CD32+CD33&gt;0.1,1,0)</f>
        <v>0</v>
      </c>
      <c r="CE37" s="524">
        <f>IF(CD22+CD24+CD25&gt;=100%,1,0)</f>
        <v>0</v>
      </c>
      <c r="CF37" s="525"/>
      <c r="CG37" s="525"/>
      <c r="CH37" s="525"/>
      <c r="CI37" s="525"/>
      <c r="CJ37" s="525"/>
      <c r="CK37" s="525" t="str">
        <f>견적정보!J27</f>
        <v>T</v>
      </c>
      <c r="CL37" s="524">
        <f>IF(CL32+CL33&gt;0.1,1,0)</f>
        <v>0</v>
      </c>
      <c r="CM37" s="524">
        <f>IF(CL22+CL24+CL25&gt;=100%,1,0)</f>
        <v>0</v>
      </c>
      <c r="CN37" s="525"/>
      <c r="CO37" s="525"/>
      <c r="CP37" s="525"/>
      <c r="CQ37" s="525"/>
      <c r="CR37" s="525"/>
      <c r="CS37" s="525" t="str">
        <f>견적정보!O27</f>
        <v>T</v>
      </c>
    </row>
    <row r="38" spans="1:97" ht="18" customHeight="1" thickBot="1">
      <c r="A38" s="76"/>
      <c r="B38" s="96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76"/>
      <c r="P38" s="76"/>
      <c r="Q38" s="76"/>
      <c r="R38" s="76"/>
      <c r="S38" s="76"/>
      <c r="T38" s="76"/>
      <c r="U38" s="76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103"/>
      <c r="BN38" s="110"/>
      <c r="BO38" s="110"/>
      <c r="BP38" s="110"/>
      <c r="BQ38" s="110"/>
      <c r="BR38" s="110"/>
      <c r="BS38" s="110"/>
      <c r="BT38" s="110"/>
      <c r="BU38" s="110"/>
      <c r="BV38" s="110">
        <f>IF(BV24+BV25&gt;0.4,1,0)</f>
        <v>0</v>
      </c>
      <c r="BW38" s="110"/>
      <c r="BY38" s="110"/>
      <c r="BZ38" s="110"/>
      <c r="CA38" s="110"/>
      <c r="CB38" s="110"/>
      <c r="CC38" s="110"/>
      <c r="CD38" s="110">
        <f>IF(CD24+CD25&gt;0.4,1,0)</f>
        <v>0</v>
      </c>
      <c r="CE38" s="110"/>
      <c r="CG38" s="110"/>
      <c r="CH38" s="110"/>
      <c r="CI38" s="110"/>
      <c r="CJ38" s="110"/>
      <c r="CK38" s="110"/>
      <c r="CL38" s="110">
        <f>IF(CL24+CL25&gt;0.4,1,0)</f>
        <v>0</v>
      </c>
      <c r="CM38" s="110"/>
      <c r="CO38" s="110"/>
      <c r="CP38" s="110"/>
      <c r="CQ38" s="110"/>
      <c r="CR38" s="110"/>
      <c r="CS38" s="110"/>
    </row>
    <row r="39" spans="1:97" ht="18" customHeight="1" thickTop="1" thickBot="1">
      <c r="A39" s="76"/>
      <c r="B39" s="89" t="s">
        <v>1510</v>
      </c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76"/>
      <c r="P39" s="76"/>
      <c r="Q39" s="76"/>
      <c r="R39" s="76"/>
      <c r="S39" s="76"/>
      <c r="T39" s="76"/>
      <c r="U39" s="76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N39" s="1343" t="s">
        <v>3178</v>
      </c>
      <c r="BO39" s="1344"/>
      <c r="BP39" s="1344"/>
      <c r="BQ39" s="1344"/>
      <c r="BR39" s="1344"/>
      <c r="BS39" s="1344"/>
      <c r="BT39" s="1344"/>
      <c r="BU39" s="1345"/>
      <c r="BV39" s="1440" t="s">
        <v>3173</v>
      </c>
      <c r="BW39" s="1441"/>
      <c r="BX39" s="1441"/>
      <c r="BY39" s="1441"/>
      <c r="BZ39" s="1441"/>
      <c r="CA39" s="1441"/>
      <c r="CB39" s="1441"/>
      <c r="CC39" s="1441"/>
      <c r="CD39" s="1442" t="s">
        <v>3153</v>
      </c>
      <c r="CE39" s="1441"/>
      <c r="CF39" s="1441"/>
      <c r="CG39" s="1441"/>
      <c r="CH39" s="1441"/>
      <c r="CI39" s="1441"/>
      <c r="CJ39" s="1441"/>
      <c r="CK39" s="1443"/>
      <c r="CL39" s="1321"/>
      <c r="CM39" s="1321"/>
      <c r="CN39" s="1321"/>
      <c r="CO39" s="1321"/>
      <c r="CP39" s="1321"/>
      <c r="CQ39" s="1321"/>
      <c r="CR39" s="1321"/>
      <c r="CS39" s="1321"/>
    </row>
    <row r="40" spans="1:97" ht="18" customHeight="1" thickBot="1">
      <c r="A40" s="76"/>
      <c r="B40" s="1154" t="s">
        <v>1512</v>
      </c>
      <c r="C40" s="1147"/>
      <c r="D40" s="1147"/>
      <c r="E40" s="1147"/>
      <c r="F40" s="1147"/>
      <c r="G40" s="1147"/>
      <c r="H40" s="1147"/>
      <c r="I40" s="1147"/>
      <c r="J40" s="1147"/>
      <c r="K40" s="1147"/>
      <c r="L40" s="1147"/>
      <c r="M40" s="1147"/>
      <c r="N40" s="1148"/>
      <c r="O40" s="1146" t="s">
        <v>1513</v>
      </c>
      <c r="P40" s="1147"/>
      <c r="Q40" s="1147"/>
      <c r="R40" s="1147"/>
      <c r="S40" s="1147"/>
      <c r="T40" s="1147"/>
      <c r="U40" s="1147"/>
      <c r="V40" s="1147"/>
      <c r="W40" s="1147"/>
      <c r="X40" s="1147"/>
      <c r="Y40" s="1147"/>
      <c r="Z40" s="1147"/>
      <c r="AA40" s="1147"/>
      <c r="AB40" s="1148"/>
      <c r="AC40" s="1146" t="s">
        <v>1518</v>
      </c>
      <c r="AD40" s="1147"/>
      <c r="AE40" s="1147"/>
      <c r="AF40" s="1147"/>
      <c r="AG40" s="1147"/>
      <c r="AH40" s="1147"/>
      <c r="AI40" s="1148"/>
      <c r="AJ40" s="1146" t="s">
        <v>1519</v>
      </c>
      <c r="AK40" s="1147"/>
      <c r="AL40" s="1147"/>
      <c r="AM40" s="1147"/>
      <c r="AN40" s="1147"/>
      <c r="AO40" s="1147"/>
      <c r="AP40" s="1148"/>
      <c r="AQ40" s="1146" t="s">
        <v>1520</v>
      </c>
      <c r="AR40" s="1147"/>
      <c r="AS40" s="1147"/>
      <c r="AT40" s="1147"/>
      <c r="AU40" s="1147"/>
      <c r="AV40" s="1147"/>
      <c r="AW40" s="1148"/>
      <c r="AX40" s="1146" t="s">
        <v>1521</v>
      </c>
      <c r="AY40" s="1147"/>
      <c r="AZ40" s="1147"/>
      <c r="BA40" s="1147"/>
      <c r="BB40" s="1147"/>
      <c r="BC40" s="1147"/>
      <c r="BD40" s="1148"/>
      <c r="BE40" s="1146" t="s">
        <v>1522</v>
      </c>
      <c r="BF40" s="1147"/>
      <c r="BG40" s="1147"/>
      <c r="BH40" s="1147"/>
      <c r="BI40" s="1147"/>
      <c r="BJ40" s="1147"/>
      <c r="BK40" s="1222"/>
      <c r="BL40" s="84"/>
      <c r="BN40" s="1346"/>
      <c r="BO40" s="1347"/>
      <c r="BP40" s="1347"/>
      <c r="BQ40" s="1347"/>
      <c r="BR40" s="1347"/>
      <c r="BS40" s="1347"/>
      <c r="BT40" s="1347"/>
      <c r="BU40" s="1348"/>
      <c r="BV40" s="1176" t="s">
        <v>3298</v>
      </c>
      <c r="BW40" s="1177"/>
      <c r="BX40" s="1177"/>
      <c r="BY40" s="1177"/>
      <c r="BZ40" s="1177"/>
      <c r="CA40" s="1177"/>
      <c r="CB40" s="1177"/>
      <c r="CC40" s="1177"/>
      <c r="CD40" s="1178">
        <v>2958465</v>
      </c>
      <c r="CE40" s="1179"/>
      <c r="CF40" s="1179"/>
      <c r="CG40" s="1179"/>
      <c r="CH40" s="1179"/>
      <c r="CI40" s="1179"/>
      <c r="CJ40" s="1179"/>
      <c r="CK40" s="1180"/>
      <c r="CL40" s="1321">
        <v>99</v>
      </c>
      <c r="CM40" s="1321"/>
      <c r="CN40" s="1321"/>
      <c r="CO40" s="1321"/>
      <c r="CP40" s="1321"/>
      <c r="CQ40" s="1321"/>
      <c r="CR40" s="1321"/>
      <c r="CS40" s="1321"/>
    </row>
    <row r="41" spans="1:97" ht="18" customHeight="1">
      <c r="A41" s="76"/>
      <c r="B41" s="1235" t="s">
        <v>1514</v>
      </c>
      <c r="C41" s="1236"/>
      <c r="D41" s="1236"/>
      <c r="E41" s="1236"/>
      <c r="F41" s="1236"/>
      <c r="G41" s="1236"/>
      <c r="H41" s="1236"/>
      <c r="I41" s="1236"/>
      <c r="J41" s="1236"/>
      <c r="K41" s="1236"/>
      <c r="L41" s="1236"/>
      <c r="M41" s="1236"/>
      <c r="N41" s="1237"/>
      <c r="O41" s="1238" t="s">
        <v>1532</v>
      </c>
      <c r="P41" s="1236"/>
      <c r="Q41" s="1236"/>
      <c r="R41" s="1236"/>
      <c r="S41" s="1236"/>
      <c r="T41" s="1236"/>
      <c r="U41" s="1236"/>
      <c r="V41" s="1236"/>
      <c r="W41" s="1236"/>
      <c r="X41" s="1236"/>
      <c r="Y41" s="1236"/>
      <c r="Z41" s="1236"/>
      <c r="AA41" s="1236"/>
      <c r="AB41" s="1237"/>
      <c r="AC41" s="1140" t="s">
        <v>1523</v>
      </c>
      <c r="AD41" s="1141"/>
      <c r="AE41" s="1141"/>
      <c r="AF41" s="1141"/>
      <c r="AG41" s="1141"/>
      <c r="AH41" s="1141"/>
      <c r="AI41" s="1142"/>
      <c r="AJ41" s="1140" t="s">
        <v>1526</v>
      </c>
      <c r="AK41" s="1141"/>
      <c r="AL41" s="1141"/>
      <c r="AM41" s="1141"/>
      <c r="AN41" s="1141"/>
      <c r="AO41" s="1141"/>
      <c r="AP41" s="1142"/>
      <c r="AQ41" s="1140" t="s">
        <v>1528</v>
      </c>
      <c r="AR41" s="1141"/>
      <c r="AS41" s="1141"/>
      <c r="AT41" s="1141"/>
      <c r="AU41" s="1141"/>
      <c r="AV41" s="1141"/>
      <c r="AW41" s="1142"/>
      <c r="AX41" s="1140" t="s">
        <v>1530</v>
      </c>
      <c r="AY41" s="1141"/>
      <c r="AZ41" s="1141"/>
      <c r="BA41" s="1141"/>
      <c r="BB41" s="1141"/>
      <c r="BC41" s="1141"/>
      <c r="BD41" s="1142"/>
      <c r="BE41" s="1140" t="s">
        <v>1530</v>
      </c>
      <c r="BF41" s="1141"/>
      <c r="BG41" s="1141"/>
      <c r="BH41" s="1141"/>
      <c r="BI41" s="1141"/>
      <c r="BJ41" s="1141"/>
      <c r="BK41" s="1239"/>
      <c r="BL41" s="84"/>
      <c r="BN41" s="522"/>
      <c r="BO41" s="522"/>
      <c r="BP41" s="522"/>
      <c r="BQ41" s="522"/>
      <c r="BR41" s="522"/>
      <c r="BS41" s="522"/>
      <c r="BT41" s="522"/>
      <c r="BU41" s="522"/>
      <c r="BV41" s="521">
        <f>IF(AND($BV$6="대리점/지점",$BV$40=""),1,0)</f>
        <v>0</v>
      </c>
      <c r="BW41" s="521"/>
      <c r="BX41" s="521"/>
      <c r="BY41" s="521"/>
      <c r="BZ41" s="521"/>
      <c r="CA41" s="521"/>
      <c r="CB41" s="521"/>
      <c r="CC41" s="521"/>
      <c r="CD41" s="235">
        <f>IF(AND($BV$6="대리점/지점",$CD$40=""),1,0)</f>
        <v>0</v>
      </c>
      <c r="CE41" s="235"/>
      <c r="CF41" s="235"/>
      <c r="CG41" s="235"/>
      <c r="CH41" s="235"/>
      <c r="CI41" s="235"/>
      <c r="CJ41" s="235"/>
      <c r="CK41" s="235"/>
      <c r="CL41" s="523"/>
      <c r="CM41" s="523"/>
      <c r="CN41" s="523"/>
      <c r="CO41" s="523"/>
      <c r="CP41" s="523"/>
      <c r="CQ41" s="523"/>
      <c r="CR41" s="523"/>
      <c r="CS41" s="523"/>
    </row>
    <row r="42" spans="1:97" ht="18" customHeight="1">
      <c r="A42" s="76"/>
      <c r="B42" s="1143" t="s">
        <v>1515</v>
      </c>
      <c r="C42" s="1144"/>
      <c r="D42" s="1144"/>
      <c r="E42" s="1144"/>
      <c r="F42" s="1144"/>
      <c r="G42" s="1144"/>
      <c r="H42" s="1144"/>
      <c r="I42" s="1144"/>
      <c r="J42" s="1144"/>
      <c r="K42" s="1144"/>
      <c r="L42" s="1144"/>
      <c r="M42" s="1144"/>
      <c r="N42" s="1145"/>
      <c r="O42" s="1221" t="s">
        <v>1531</v>
      </c>
      <c r="P42" s="1144"/>
      <c r="Q42" s="1144"/>
      <c r="R42" s="1144"/>
      <c r="S42" s="1144"/>
      <c r="T42" s="1144"/>
      <c r="U42" s="1144"/>
      <c r="V42" s="1144"/>
      <c r="W42" s="1144"/>
      <c r="X42" s="1144"/>
      <c r="Y42" s="1144"/>
      <c r="Z42" s="1144"/>
      <c r="AA42" s="1144"/>
      <c r="AB42" s="1145"/>
      <c r="AC42" s="1150" t="s">
        <v>1525</v>
      </c>
      <c r="AD42" s="1151"/>
      <c r="AE42" s="1151"/>
      <c r="AF42" s="1151"/>
      <c r="AG42" s="1151"/>
      <c r="AH42" s="1151"/>
      <c r="AI42" s="1153"/>
      <c r="AJ42" s="1150" t="s">
        <v>1527</v>
      </c>
      <c r="AK42" s="1151"/>
      <c r="AL42" s="1151"/>
      <c r="AM42" s="1151"/>
      <c r="AN42" s="1151"/>
      <c r="AO42" s="1151"/>
      <c r="AP42" s="1153"/>
      <c r="AQ42" s="1150" t="s">
        <v>1529</v>
      </c>
      <c r="AR42" s="1151"/>
      <c r="AS42" s="1151"/>
      <c r="AT42" s="1151"/>
      <c r="AU42" s="1151"/>
      <c r="AV42" s="1151"/>
      <c r="AW42" s="1153"/>
      <c r="AX42" s="1150" t="s">
        <v>1524</v>
      </c>
      <c r="AY42" s="1151"/>
      <c r="AZ42" s="1151"/>
      <c r="BA42" s="1151"/>
      <c r="BB42" s="1151"/>
      <c r="BC42" s="1151"/>
      <c r="BD42" s="1153"/>
      <c r="BE42" s="1150" t="s">
        <v>1530</v>
      </c>
      <c r="BF42" s="1151"/>
      <c r="BG42" s="1151"/>
      <c r="BH42" s="1151"/>
      <c r="BI42" s="1151"/>
      <c r="BJ42" s="1151"/>
      <c r="BK42" s="1152"/>
      <c r="BL42" s="84"/>
      <c r="CD42" s="509"/>
      <c r="CE42" s="509"/>
      <c r="CF42" s="509"/>
      <c r="CG42" s="509"/>
      <c r="CH42" s="509"/>
      <c r="CI42" s="509"/>
      <c r="CJ42" s="175"/>
      <c r="CK42" s="175"/>
      <c r="CL42" s="175"/>
      <c r="CM42" s="175"/>
      <c r="CN42" s="175"/>
      <c r="CO42" s="175"/>
      <c r="CP42" s="175"/>
      <c r="CQ42" s="175"/>
      <c r="CR42" s="175"/>
      <c r="CS42" s="175"/>
    </row>
    <row r="43" spans="1:97" ht="18" customHeight="1">
      <c r="A43" s="76"/>
      <c r="B43" s="1094" t="s">
        <v>1516</v>
      </c>
      <c r="C43" s="1095"/>
      <c r="D43" s="1095"/>
      <c r="E43" s="1095"/>
      <c r="F43" s="1095"/>
      <c r="G43" s="1095"/>
      <c r="H43" s="1095"/>
      <c r="I43" s="1095"/>
      <c r="J43" s="1095"/>
      <c r="K43" s="1095"/>
      <c r="L43" s="1095"/>
      <c r="M43" s="1095"/>
      <c r="N43" s="1149"/>
      <c r="O43" s="1105" t="s">
        <v>1517</v>
      </c>
      <c r="P43" s="1095"/>
      <c r="Q43" s="1095"/>
      <c r="R43" s="1095"/>
      <c r="S43" s="1095"/>
      <c r="T43" s="1095"/>
      <c r="U43" s="1095"/>
      <c r="V43" s="1095"/>
      <c r="W43" s="1095"/>
      <c r="X43" s="1095"/>
      <c r="Y43" s="1095"/>
      <c r="Z43" s="1095"/>
      <c r="AA43" s="1095"/>
      <c r="AB43" s="1149"/>
      <c r="AC43" s="1204" t="s">
        <v>1524</v>
      </c>
      <c r="AD43" s="1138"/>
      <c r="AE43" s="1138"/>
      <c r="AF43" s="1138"/>
      <c r="AG43" s="1138"/>
      <c r="AH43" s="1138"/>
      <c r="AI43" s="1205"/>
      <c r="AJ43" s="1204" t="s">
        <v>1524</v>
      </c>
      <c r="AK43" s="1138"/>
      <c r="AL43" s="1138"/>
      <c r="AM43" s="1138"/>
      <c r="AN43" s="1138"/>
      <c r="AO43" s="1138"/>
      <c r="AP43" s="1205"/>
      <c r="AQ43" s="1204" t="s">
        <v>1524</v>
      </c>
      <c r="AR43" s="1138"/>
      <c r="AS43" s="1138"/>
      <c r="AT43" s="1138"/>
      <c r="AU43" s="1138"/>
      <c r="AV43" s="1138"/>
      <c r="AW43" s="1205"/>
      <c r="AX43" s="1204" t="s">
        <v>1524</v>
      </c>
      <c r="AY43" s="1138"/>
      <c r="AZ43" s="1138"/>
      <c r="BA43" s="1138"/>
      <c r="BB43" s="1138"/>
      <c r="BC43" s="1138"/>
      <c r="BD43" s="1205"/>
      <c r="BE43" s="1204" t="s">
        <v>1530</v>
      </c>
      <c r="BF43" s="1138"/>
      <c r="BG43" s="1138"/>
      <c r="BH43" s="1138"/>
      <c r="BI43" s="1138"/>
      <c r="BJ43" s="1138"/>
      <c r="BK43" s="1139"/>
      <c r="BL43" s="84"/>
      <c r="CD43" s="509"/>
      <c r="CE43" s="509"/>
      <c r="CF43" s="509"/>
      <c r="CG43" s="509"/>
      <c r="CH43" s="509"/>
      <c r="CI43" s="509"/>
      <c r="CJ43" s="175"/>
      <c r="CK43" s="175"/>
      <c r="CL43" s="175"/>
      <c r="CM43" s="175"/>
      <c r="CN43" s="175"/>
      <c r="CO43" s="175"/>
      <c r="CP43" s="175"/>
      <c r="CQ43" s="175"/>
      <c r="CR43" s="175"/>
      <c r="CS43" s="175"/>
    </row>
    <row r="44" spans="1:97" ht="9" customHeight="1">
      <c r="A44" s="76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N44" s="198"/>
      <c r="BO44" s="198"/>
      <c r="BP44" s="198"/>
      <c r="BQ44" s="198"/>
      <c r="BR44" s="198"/>
      <c r="BS44" s="198"/>
      <c r="BT44" s="198"/>
      <c r="BU44" s="198"/>
      <c r="BV44" s="198"/>
      <c r="BW44" s="198"/>
      <c r="BX44" s="198"/>
      <c r="BY44" s="198"/>
      <c r="BZ44" s="198"/>
      <c r="CA44" s="198"/>
      <c r="CB44" s="198"/>
      <c r="CC44" s="198"/>
      <c r="CD44" s="198"/>
      <c r="CE44" s="198"/>
      <c r="CF44" s="198"/>
      <c r="CG44" s="198"/>
      <c r="CH44" s="198"/>
      <c r="CI44" s="198"/>
      <c r="CJ44" s="198"/>
      <c r="CK44" s="198"/>
      <c r="CL44" s="198"/>
      <c r="CM44" s="198"/>
      <c r="CN44" s="198"/>
      <c r="CO44" s="198"/>
      <c r="CP44" s="198"/>
      <c r="CQ44" s="198"/>
      <c r="CR44" s="198"/>
      <c r="CS44" s="198"/>
    </row>
    <row r="45" spans="1:97" ht="18" customHeight="1">
      <c r="A45" s="76"/>
      <c r="B45" s="89" t="s">
        <v>1533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N45" s="171"/>
      <c r="BO45" s="171"/>
      <c r="BP45" s="171"/>
      <c r="BQ45" s="171"/>
      <c r="BR45" s="171"/>
      <c r="BS45" s="171"/>
      <c r="BT45" s="171"/>
      <c r="BU45" s="171"/>
      <c r="BV45" s="171"/>
      <c r="BW45" s="171"/>
      <c r="BX45" s="171"/>
      <c r="BY45" s="171"/>
      <c r="BZ45" s="171"/>
      <c r="CA45" s="171"/>
      <c r="CB45" s="171"/>
      <c r="CC45" s="171"/>
      <c r="CD45" s="171"/>
      <c r="CE45" s="171"/>
      <c r="CF45" s="171"/>
      <c r="CG45" s="171"/>
      <c r="CH45" s="171"/>
      <c r="CI45" s="171"/>
      <c r="CJ45" s="171"/>
      <c r="CK45" s="171"/>
      <c r="CL45" s="171"/>
      <c r="CM45" s="171"/>
      <c r="CN45" s="171"/>
      <c r="CO45" s="171"/>
      <c r="CP45" s="171"/>
      <c r="CQ45" s="171"/>
      <c r="CR45" s="171"/>
      <c r="CS45" s="171"/>
    </row>
    <row r="46" spans="1:97" ht="18" customHeight="1">
      <c r="A46" s="76"/>
      <c r="B46" s="97" t="s">
        <v>1535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N46" s="171"/>
      <c r="BO46" s="171"/>
      <c r="BP46" s="171"/>
      <c r="BQ46" s="171"/>
      <c r="BR46" s="171"/>
      <c r="BS46" s="171"/>
      <c r="BT46" s="171"/>
      <c r="BU46" s="171"/>
      <c r="BV46" s="171"/>
      <c r="BW46" s="171"/>
      <c r="BX46" s="171"/>
      <c r="BY46" s="171"/>
      <c r="BZ46" s="171"/>
      <c r="CA46" s="171"/>
      <c r="CB46" s="171"/>
      <c r="CC46" s="171"/>
      <c r="CD46" s="171"/>
      <c r="CE46" s="171"/>
      <c r="CF46" s="171"/>
      <c r="CG46" s="171"/>
      <c r="CH46" s="171"/>
      <c r="CI46" s="171"/>
      <c r="CJ46" s="171"/>
      <c r="CK46" s="171"/>
      <c r="CL46" s="171"/>
      <c r="CM46" s="171"/>
      <c r="CN46" s="171"/>
      <c r="CO46" s="171"/>
      <c r="CP46" s="171"/>
      <c r="CQ46" s="171"/>
      <c r="CR46" s="171"/>
      <c r="CS46" s="171"/>
    </row>
    <row r="47" spans="1:97" ht="18" customHeight="1">
      <c r="A47" s="76"/>
      <c r="B47" s="97" t="s">
        <v>1536</v>
      </c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N47" s="171"/>
      <c r="BO47" s="171"/>
      <c r="BP47" s="171"/>
      <c r="BQ47" s="171"/>
      <c r="BR47" s="171"/>
      <c r="BS47" s="171"/>
      <c r="BT47" s="171"/>
      <c r="BU47" s="171"/>
      <c r="BV47" s="171"/>
      <c r="BW47" s="171"/>
      <c r="BX47" s="171"/>
      <c r="BY47" s="171"/>
      <c r="BZ47" s="171"/>
      <c r="CA47" s="171"/>
      <c r="CB47" s="171"/>
      <c r="CC47" s="171"/>
      <c r="CD47" s="171"/>
      <c r="CE47" s="171"/>
      <c r="CF47" s="171"/>
      <c r="CG47" s="171"/>
      <c r="CH47" s="171"/>
      <c r="CI47" s="171"/>
      <c r="CJ47" s="171"/>
      <c r="CK47" s="171"/>
      <c r="CL47" s="171"/>
      <c r="CM47" s="171"/>
      <c r="CN47" s="171"/>
      <c r="CO47" s="171"/>
      <c r="CP47" s="171"/>
      <c r="CQ47" s="171"/>
      <c r="CR47" s="171"/>
      <c r="CS47" s="171"/>
    </row>
    <row r="48" spans="1:97" ht="18" customHeight="1">
      <c r="A48" s="76"/>
      <c r="B48" s="97" t="s">
        <v>1537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N48" s="171"/>
      <c r="BO48" s="171"/>
      <c r="BP48" s="171"/>
      <c r="BQ48" s="171"/>
      <c r="BR48" s="171"/>
      <c r="BS48" s="171"/>
      <c r="BT48" s="171"/>
      <c r="BU48" s="171"/>
      <c r="BV48" s="171"/>
      <c r="BW48" s="171"/>
      <c r="BX48" s="171"/>
      <c r="BY48" s="171"/>
      <c r="BZ48" s="171"/>
      <c r="CA48" s="171"/>
      <c r="CB48" s="171"/>
      <c r="CC48" s="171"/>
      <c r="CD48" s="171"/>
      <c r="CE48" s="171"/>
      <c r="CF48" s="171"/>
      <c r="CG48" s="171"/>
      <c r="CH48" s="171"/>
      <c r="CI48" s="171"/>
      <c r="CJ48" s="171"/>
      <c r="CK48" s="171"/>
      <c r="CL48" s="171"/>
      <c r="CM48" s="171"/>
      <c r="CN48" s="171"/>
      <c r="CO48" s="171"/>
      <c r="CP48" s="171"/>
      <c r="CQ48" s="171"/>
      <c r="CR48" s="171"/>
      <c r="CS48" s="171"/>
    </row>
    <row r="49" spans="1:97" ht="18" customHeight="1">
      <c r="A49" s="76"/>
      <c r="B49" s="97" t="s">
        <v>1624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N49" s="171"/>
      <c r="BO49" s="171"/>
      <c r="BP49" s="171"/>
      <c r="BQ49" s="171"/>
      <c r="BR49" s="171"/>
      <c r="BS49" s="171"/>
      <c r="BT49" s="171"/>
      <c r="BU49" s="171"/>
      <c r="BV49" s="171"/>
      <c r="BW49" s="171"/>
      <c r="BX49" s="171"/>
      <c r="BY49" s="171"/>
      <c r="BZ49" s="171"/>
      <c r="CA49" s="171"/>
      <c r="CB49" s="171"/>
      <c r="CC49" s="171"/>
      <c r="CD49" s="171"/>
      <c r="CE49" s="171"/>
      <c r="CF49" s="171"/>
      <c r="CG49" s="171"/>
      <c r="CH49" s="171"/>
      <c r="CI49" s="171"/>
      <c r="CJ49" s="171"/>
      <c r="CK49" s="171"/>
      <c r="CL49" s="171"/>
      <c r="CM49" s="171"/>
      <c r="CN49" s="171"/>
      <c r="CO49" s="171"/>
      <c r="CP49" s="171"/>
      <c r="CQ49" s="171"/>
      <c r="CR49" s="171"/>
      <c r="CS49" s="171"/>
    </row>
    <row r="50" spans="1:97" ht="9" customHeight="1">
      <c r="A50" s="76"/>
      <c r="B50" s="97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N50" s="171"/>
      <c r="BO50" s="171"/>
      <c r="BP50" s="171"/>
      <c r="BQ50" s="171"/>
      <c r="BR50" s="171"/>
      <c r="BS50" s="171"/>
      <c r="BT50" s="171"/>
      <c r="BU50" s="171"/>
      <c r="BV50" s="171"/>
      <c r="BW50" s="171"/>
      <c r="BX50" s="171"/>
      <c r="BY50" s="171"/>
      <c r="BZ50" s="171"/>
      <c r="CA50" s="171"/>
      <c r="CB50" s="171"/>
      <c r="CC50" s="171"/>
      <c r="CD50" s="171"/>
      <c r="CE50" s="171"/>
      <c r="CF50" s="171"/>
      <c r="CG50" s="171"/>
      <c r="CH50" s="171"/>
      <c r="CI50" s="171"/>
      <c r="CJ50" s="171"/>
      <c r="CK50" s="171"/>
      <c r="CL50" s="171"/>
      <c r="CM50" s="171"/>
      <c r="CN50" s="171"/>
      <c r="CO50" s="171"/>
      <c r="CP50" s="171"/>
      <c r="CQ50" s="171"/>
      <c r="CR50" s="171"/>
      <c r="CS50" s="171"/>
    </row>
    <row r="51" spans="1:97" ht="18" customHeight="1">
      <c r="A51" s="76"/>
      <c r="B51" s="89" t="s">
        <v>1534</v>
      </c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</row>
    <row r="52" spans="1:97" ht="18" customHeight="1">
      <c r="A52" s="76"/>
      <c r="B52" s="1168" t="s">
        <v>64</v>
      </c>
      <c r="C52" s="1168"/>
      <c r="D52" s="1168"/>
      <c r="E52" s="1168"/>
      <c r="F52" s="1168"/>
      <c r="G52" s="1168"/>
      <c r="H52" s="1168"/>
      <c r="I52" s="1168"/>
      <c r="J52" s="1168"/>
      <c r="K52" s="1169"/>
      <c r="L52" s="1164" t="s">
        <v>2102</v>
      </c>
      <c r="M52" s="1165"/>
      <c r="N52" s="1165"/>
      <c r="O52" s="1165"/>
      <c r="P52" s="1165"/>
      <c r="Q52" s="1165"/>
      <c r="R52" s="1165"/>
      <c r="S52" s="1165"/>
      <c r="T52" s="1165"/>
      <c r="U52" s="1165"/>
      <c r="V52" s="1165"/>
      <c r="W52" s="1165"/>
      <c r="X52" s="1165"/>
      <c r="Y52" s="1165"/>
      <c r="Z52" s="1165"/>
      <c r="AA52" s="1165"/>
      <c r="AB52" s="1165"/>
      <c r="AC52" s="1165"/>
      <c r="AD52" s="1165"/>
      <c r="AE52" s="1165"/>
      <c r="AF52" s="1165"/>
      <c r="AG52" s="1165"/>
      <c r="AH52" s="1165"/>
      <c r="AI52" s="1165"/>
      <c r="AJ52" s="1165"/>
      <c r="AK52" s="1165"/>
      <c r="AL52" s="1165"/>
      <c r="AM52" s="1165"/>
      <c r="AN52" s="1165"/>
      <c r="AO52" s="1165"/>
      <c r="AP52" s="1165"/>
      <c r="AQ52" s="1165"/>
      <c r="AR52" s="1165"/>
      <c r="AS52" s="1165"/>
      <c r="AT52" s="1165"/>
      <c r="AU52" s="1165"/>
      <c r="AV52" s="1165"/>
      <c r="AW52" s="1165"/>
      <c r="AX52" s="1165"/>
      <c r="AY52" s="1165"/>
      <c r="AZ52" s="1165"/>
      <c r="BA52" s="1165"/>
      <c r="BB52" s="1165"/>
      <c r="BC52" s="1165"/>
      <c r="BD52" s="1165"/>
      <c r="BE52" s="1165"/>
      <c r="BF52" s="1165"/>
      <c r="BG52" s="1165"/>
      <c r="BH52" s="1165"/>
      <c r="BI52" s="1165"/>
      <c r="BJ52" s="1165"/>
      <c r="BK52" s="1165"/>
      <c r="BL52" s="84"/>
      <c r="BN52" s="171"/>
      <c r="BO52" s="171"/>
      <c r="BP52" s="171"/>
      <c r="BQ52" s="171"/>
      <c r="BR52" s="171"/>
      <c r="BS52" s="171"/>
      <c r="BT52" s="171"/>
      <c r="BU52" s="171"/>
      <c r="BV52" s="171"/>
      <c r="BW52" s="171"/>
      <c r="BX52" s="171"/>
      <c r="BY52" s="171"/>
      <c r="BZ52" s="171"/>
      <c r="CA52" s="171"/>
      <c r="CB52" s="171"/>
      <c r="CC52" s="171"/>
      <c r="CD52" s="171"/>
      <c r="CE52" s="171"/>
      <c r="CF52" s="171"/>
      <c r="CG52" s="171"/>
      <c r="CH52" s="171"/>
      <c r="CI52" s="171"/>
      <c r="CJ52" s="171"/>
      <c r="CK52" s="171"/>
      <c r="CL52" s="171"/>
      <c r="CM52" s="171"/>
      <c r="CN52" s="171"/>
      <c r="CO52" s="171"/>
      <c r="CP52" s="171"/>
      <c r="CQ52" s="171"/>
      <c r="CR52" s="171"/>
      <c r="CS52" s="171"/>
    </row>
    <row r="53" spans="1:97" ht="18" customHeight="1">
      <c r="A53" s="76"/>
      <c r="B53" s="1170" t="s">
        <v>65</v>
      </c>
      <c r="C53" s="1170"/>
      <c r="D53" s="1170"/>
      <c r="E53" s="1170"/>
      <c r="F53" s="1170"/>
      <c r="G53" s="1170"/>
      <c r="H53" s="1170"/>
      <c r="I53" s="1170"/>
      <c r="J53" s="1170"/>
      <c r="K53" s="1171"/>
      <c r="L53" s="1162" t="s">
        <v>2101</v>
      </c>
      <c r="M53" s="1163"/>
      <c r="N53" s="1163"/>
      <c r="O53" s="1163"/>
      <c r="P53" s="1163"/>
      <c r="Q53" s="1163"/>
      <c r="R53" s="1163"/>
      <c r="S53" s="1163"/>
      <c r="T53" s="1163"/>
      <c r="U53" s="1163"/>
      <c r="V53" s="1163"/>
      <c r="W53" s="1163"/>
      <c r="X53" s="1163"/>
      <c r="Y53" s="1163"/>
      <c r="Z53" s="1163"/>
      <c r="AA53" s="1163"/>
      <c r="AB53" s="1163"/>
      <c r="AC53" s="1163"/>
      <c r="AD53" s="1163"/>
      <c r="AE53" s="1163"/>
      <c r="AF53" s="1163"/>
      <c r="AG53" s="1163"/>
      <c r="AH53" s="1163"/>
      <c r="AI53" s="1163"/>
      <c r="AJ53" s="1163"/>
      <c r="AK53" s="1163"/>
      <c r="AL53" s="1163"/>
      <c r="AM53" s="1163"/>
      <c r="AN53" s="1163"/>
      <c r="AO53" s="1163"/>
      <c r="AP53" s="1163"/>
      <c r="AQ53" s="1163"/>
      <c r="AR53" s="1163"/>
      <c r="AS53" s="1163"/>
      <c r="AT53" s="1163"/>
      <c r="AU53" s="1163"/>
      <c r="AV53" s="1163"/>
      <c r="AW53" s="1163"/>
      <c r="AX53" s="1163"/>
      <c r="AY53" s="1163"/>
      <c r="AZ53" s="1163"/>
      <c r="BA53" s="1163"/>
      <c r="BB53" s="1163"/>
      <c r="BC53" s="1163"/>
      <c r="BD53" s="1163"/>
      <c r="BE53" s="1163"/>
      <c r="BF53" s="1163"/>
      <c r="BG53" s="1163"/>
      <c r="BH53" s="1163"/>
      <c r="BI53" s="1163"/>
      <c r="BJ53" s="1163"/>
      <c r="BK53" s="1163"/>
      <c r="BL53" s="84"/>
      <c r="BN53" s="171"/>
      <c r="BO53" s="171"/>
      <c r="BP53" s="171"/>
      <c r="BQ53" s="171"/>
      <c r="BR53" s="171"/>
      <c r="BS53" s="171"/>
      <c r="BT53" s="171"/>
      <c r="BU53" s="171"/>
      <c r="BV53" s="171"/>
      <c r="BW53" s="171"/>
      <c r="BX53" s="171"/>
      <c r="BY53" s="171"/>
      <c r="BZ53" s="171"/>
      <c r="CA53" s="171"/>
      <c r="CB53" s="171"/>
      <c r="CC53" s="171"/>
      <c r="CD53" s="171"/>
      <c r="CE53" s="171"/>
      <c r="CF53" s="171"/>
      <c r="CG53" s="171"/>
      <c r="CH53" s="171"/>
      <c r="CI53" s="171"/>
      <c r="CJ53" s="171"/>
      <c r="CK53" s="171"/>
      <c r="CL53" s="171"/>
      <c r="CM53" s="171"/>
      <c r="CN53" s="171"/>
      <c r="CO53" s="171"/>
      <c r="CP53" s="171"/>
      <c r="CQ53" s="171"/>
      <c r="CR53" s="171"/>
      <c r="CS53" s="171"/>
    </row>
    <row r="54" spans="1:97" ht="18" customHeight="1">
      <c r="A54" s="76"/>
      <c r="B54" s="1170" t="s">
        <v>66</v>
      </c>
      <c r="C54" s="1170"/>
      <c r="D54" s="1170"/>
      <c r="E54" s="1170"/>
      <c r="F54" s="1170"/>
      <c r="G54" s="1170"/>
      <c r="H54" s="1170"/>
      <c r="I54" s="1170"/>
      <c r="J54" s="1170"/>
      <c r="K54" s="1171"/>
      <c r="L54" s="1162" t="s">
        <v>2103</v>
      </c>
      <c r="M54" s="1163"/>
      <c r="N54" s="1163"/>
      <c r="O54" s="1163"/>
      <c r="P54" s="1163"/>
      <c r="Q54" s="1163"/>
      <c r="R54" s="1163"/>
      <c r="S54" s="1163"/>
      <c r="T54" s="1163"/>
      <c r="U54" s="1163"/>
      <c r="V54" s="1163"/>
      <c r="W54" s="1163"/>
      <c r="X54" s="1163"/>
      <c r="Y54" s="1163"/>
      <c r="Z54" s="1163"/>
      <c r="AA54" s="1163"/>
      <c r="AB54" s="1163"/>
      <c r="AC54" s="1163"/>
      <c r="AD54" s="1163"/>
      <c r="AE54" s="1163"/>
      <c r="AF54" s="1163"/>
      <c r="AG54" s="1163"/>
      <c r="AH54" s="1163"/>
      <c r="AI54" s="1163"/>
      <c r="AJ54" s="1163"/>
      <c r="AK54" s="1163"/>
      <c r="AL54" s="1163"/>
      <c r="AM54" s="1163"/>
      <c r="AN54" s="1163"/>
      <c r="AO54" s="1163"/>
      <c r="AP54" s="1163"/>
      <c r="AQ54" s="1163"/>
      <c r="AR54" s="1163"/>
      <c r="AS54" s="1163"/>
      <c r="AT54" s="1163"/>
      <c r="AU54" s="1163"/>
      <c r="AV54" s="1163"/>
      <c r="AW54" s="1163"/>
      <c r="AX54" s="1163"/>
      <c r="AY54" s="1163"/>
      <c r="AZ54" s="1163"/>
      <c r="BA54" s="1163"/>
      <c r="BB54" s="1163"/>
      <c r="BC54" s="1163"/>
      <c r="BD54" s="1163"/>
      <c r="BE54" s="1163"/>
      <c r="BF54" s="1163"/>
      <c r="BG54" s="1163"/>
      <c r="BH54" s="1163"/>
      <c r="BI54" s="1163"/>
      <c r="BJ54" s="1163"/>
      <c r="BK54" s="1163"/>
      <c r="BL54" s="84"/>
      <c r="BN54" s="171"/>
      <c r="BO54" s="171"/>
      <c r="BP54" s="171"/>
      <c r="BQ54" s="171"/>
      <c r="BR54" s="171"/>
      <c r="BS54" s="171"/>
      <c r="BT54" s="171"/>
      <c r="BU54" s="171"/>
      <c r="BV54" s="171"/>
      <c r="BW54" s="171"/>
      <c r="BX54" s="171"/>
      <c r="BY54" s="171"/>
      <c r="BZ54" s="171"/>
      <c r="CA54" s="171"/>
      <c r="CB54" s="171"/>
      <c r="CC54" s="171"/>
      <c r="CD54" s="171"/>
      <c r="CE54" s="171"/>
      <c r="CF54" s="171"/>
      <c r="CG54" s="171"/>
      <c r="CH54" s="171"/>
      <c r="CI54" s="171"/>
      <c r="CJ54" s="171"/>
      <c r="CK54" s="171"/>
      <c r="CL54" s="171"/>
      <c r="CM54" s="171"/>
      <c r="CN54" s="171"/>
      <c r="CO54" s="171"/>
      <c r="CP54" s="171"/>
      <c r="CQ54" s="171"/>
      <c r="CR54" s="171"/>
      <c r="CS54" s="171"/>
    </row>
    <row r="55" spans="1:97" ht="18" customHeight="1">
      <c r="A55" s="76"/>
      <c r="B55" s="1172" t="s">
        <v>1538</v>
      </c>
      <c r="C55" s="1172"/>
      <c r="D55" s="1172"/>
      <c r="E55" s="1172"/>
      <c r="F55" s="1172"/>
      <c r="G55" s="1172"/>
      <c r="H55" s="1172"/>
      <c r="I55" s="1172"/>
      <c r="J55" s="1172"/>
      <c r="K55" s="1173"/>
      <c r="L55" s="1166" t="s">
        <v>1557</v>
      </c>
      <c r="M55" s="1167"/>
      <c r="N55" s="1167"/>
      <c r="O55" s="1167"/>
      <c r="P55" s="1167"/>
      <c r="Q55" s="1167"/>
      <c r="R55" s="1167"/>
      <c r="S55" s="1167"/>
      <c r="T55" s="1167"/>
      <c r="U55" s="1167"/>
      <c r="V55" s="1167"/>
      <c r="W55" s="1167"/>
      <c r="X55" s="1167"/>
      <c r="Y55" s="1167"/>
      <c r="Z55" s="1167"/>
      <c r="AA55" s="1167"/>
      <c r="AB55" s="1167"/>
      <c r="AC55" s="1167"/>
      <c r="AD55" s="1167"/>
      <c r="AE55" s="1167"/>
      <c r="AF55" s="1167"/>
      <c r="AG55" s="1167"/>
      <c r="AH55" s="1167"/>
      <c r="AI55" s="1167"/>
      <c r="AJ55" s="1167"/>
      <c r="AK55" s="1167"/>
      <c r="AL55" s="1167"/>
      <c r="AM55" s="1167"/>
      <c r="AN55" s="1167"/>
      <c r="AO55" s="1167"/>
      <c r="AP55" s="1167"/>
      <c r="AQ55" s="1167"/>
      <c r="AR55" s="1167"/>
      <c r="AS55" s="1167"/>
      <c r="AT55" s="1167"/>
      <c r="AU55" s="1167"/>
      <c r="AV55" s="1167"/>
      <c r="AW55" s="1167"/>
      <c r="AX55" s="1167"/>
      <c r="AY55" s="1167"/>
      <c r="AZ55" s="1167"/>
      <c r="BA55" s="1167"/>
      <c r="BB55" s="1167"/>
      <c r="BC55" s="1167"/>
      <c r="BD55" s="1167"/>
      <c r="BE55" s="1167"/>
      <c r="BF55" s="1167"/>
      <c r="BG55" s="1167"/>
      <c r="BH55" s="1167"/>
      <c r="BI55" s="1167"/>
      <c r="BJ55" s="1167"/>
      <c r="BK55" s="1167"/>
      <c r="BL55" s="84"/>
      <c r="BN55" s="1329"/>
      <c r="BO55" s="1329"/>
      <c r="BP55" s="1329"/>
      <c r="BQ55" s="1329"/>
      <c r="BR55" s="1329"/>
      <c r="BS55" s="1329"/>
      <c r="BT55" s="1329"/>
      <c r="BU55" s="1329"/>
      <c r="BV55" s="1439"/>
      <c r="BW55" s="1439"/>
      <c r="BX55" s="1439"/>
      <c r="BY55" s="1437"/>
      <c r="BZ55" s="1437"/>
      <c r="CA55" s="1437"/>
      <c r="CB55" s="1437"/>
      <c r="CC55" s="1437"/>
      <c r="CD55" s="1439"/>
      <c r="CE55" s="1439"/>
      <c r="CF55" s="1439"/>
      <c r="CG55" s="1437"/>
      <c r="CH55" s="1437"/>
      <c r="CI55" s="1437"/>
      <c r="CJ55" s="1437"/>
      <c r="CK55" s="1437"/>
      <c r="CL55" s="1439"/>
      <c r="CM55" s="1439"/>
      <c r="CN55" s="1439"/>
      <c r="CO55" s="1437"/>
      <c r="CP55" s="1437"/>
      <c r="CQ55" s="1437"/>
      <c r="CR55" s="1437"/>
      <c r="CS55" s="1437"/>
    </row>
    <row r="56" spans="1:97" ht="18" customHeight="1">
      <c r="A56" s="76"/>
      <c r="B56" s="891" t="s">
        <v>3154</v>
      </c>
      <c r="C56" s="891"/>
      <c r="D56" s="891"/>
      <c r="E56" s="891"/>
      <c r="F56" s="891"/>
      <c r="G56" s="891"/>
      <c r="H56" s="891"/>
      <c r="I56" s="891"/>
      <c r="J56" s="891"/>
      <c r="K56" s="892"/>
      <c r="L56" s="1159" t="str">
        <f>BV39</f>
        <v>대리점/지점명</v>
      </c>
      <c r="M56" s="1160"/>
      <c r="N56" s="1160"/>
      <c r="O56" s="1160"/>
      <c r="P56" s="1160"/>
      <c r="Q56" s="1160"/>
      <c r="R56" s="1160"/>
      <c r="S56" s="1160"/>
      <c r="T56" s="1160"/>
      <c r="U56" s="1160"/>
      <c r="V56" s="1161"/>
      <c r="W56" s="890" t="str">
        <f>BV40</f>
        <v>역삼</v>
      </c>
      <c r="X56" s="891"/>
      <c r="Y56" s="891"/>
      <c r="Z56" s="891"/>
      <c r="AA56" s="891"/>
      <c r="AB56" s="891"/>
      <c r="AC56" s="891"/>
      <c r="AD56" s="891"/>
      <c r="AE56" s="891"/>
      <c r="AF56" s="891"/>
      <c r="AG56" s="892"/>
      <c r="AH56" s="1156">
        <f>CD40</f>
        <v>2958465</v>
      </c>
      <c r="AI56" s="1157"/>
      <c r="AJ56" s="1157"/>
      <c r="AK56" s="1157"/>
      <c r="AL56" s="1157"/>
      <c r="AM56" s="1157"/>
      <c r="AN56" s="1157"/>
      <c r="AO56" s="1157"/>
      <c r="AP56" s="1157"/>
      <c r="AQ56" s="1158"/>
      <c r="AR56" s="510"/>
      <c r="AS56" s="510"/>
      <c r="AT56" s="510"/>
      <c r="AU56" s="510"/>
      <c r="AV56" s="510"/>
      <c r="AW56" s="510"/>
      <c r="AX56" s="510"/>
      <c r="AY56" s="510"/>
      <c r="AZ56" s="510"/>
      <c r="BA56" s="510"/>
      <c r="BB56" s="510"/>
      <c r="BC56" s="510"/>
      <c r="BD56" s="510"/>
      <c r="BE56" s="510"/>
      <c r="BF56" s="510"/>
      <c r="BG56" s="510"/>
      <c r="BH56" s="510"/>
      <c r="BI56" s="510"/>
      <c r="BJ56" s="510"/>
      <c r="BK56" s="510"/>
      <c r="BL56" s="84"/>
      <c r="BN56" s="172"/>
      <c r="BO56" s="172"/>
      <c r="BP56" s="172"/>
      <c r="BQ56" s="172"/>
      <c r="BR56" s="172"/>
      <c r="BS56" s="172"/>
      <c r="BT56" s="172"/>
      <c r="BU56" s="172"/>
      <c r="BV56" s="173"/>
      <c r="BW56" s="173"/>
      <c r="BX56" s="173"/>
      <c r="BY56" s="174"/>
      <c r="BZ56" s="174"/>
      <c r="CA56" s="174"/>
      <c r="CB56" s="174"/>
      <c r="CC56" s="174"/>
      <c r="CD56" s="173"/>
      <c r="CE56" s="173"/>
      <c r="CF56" s="173"/>
      <c r="CG56" s="174"/>
      <c r="CH56" s="174"/>
      <c r="CI56" s="174"/>
      <c r="CJ56" s="174"/>
      <c r="CK56" s="174"/>
      <c r="CL56" s="173"/>
      <c r="CM56" s="173"/>
      <c r="CN56" s="173"/>
      <c r="CO56" s="174"/>
      <c r="CP56" s="174"/>
      <c r="CQ56" s="174"/>
      <c r="CR56" s="174"/>
      <c r="CS56" s="174"/>
    </row>
    <row r="57" spans="1:97" ht="18" customHeight="1">
      <c r="A57" s="76"/>
      <c r="B57" s="1155" t="s">
        <v>1550</v>
      </c>
      <c r="C57" s="1155"/>
      <c r="D57" s="1155"/>
      <c r="E57" s="1155"/>
      <c r="F57" s="1155"/>
      <c r="G57" s="1155"/>
      <c r="H57" s="1155"/>
      <c r="I57" s="1155"/>
      <c r="J57" s="1155"/>
      <c r="K57" s="1155"/>
      <c r="L57" s="1155"/>
      <c r="M57" s="1155"/>
      <c r="N57" s="1155"/>
      <c r="O57" s="1155"/>
      <c r="P57" s="1155"/>
      <c r="Q57" s="1155"/>
      <c r="R57" s="1155"/>
      <c r="S57" s="1155"/>
      <c r="T57" s="1155"/>
      <c r="U57" s="1155"/>
      <c r="V57" s="1155"/>
      <c r="W57" s="1155"/>
      <c r="X57" s="1155"/>
      <c r="Y57" s="1155"/>
      <c r="Z57" s="1155"/>
      <c r="AA57" s="1155"/>
      <c r="AB57" s="1155"/>
      <c r="AC57" s="1155"/>
      <c r="AD57" s="1155"/>
      <c r="AE57" s="1155"/>
      <c r="AF57" s="1155"/>
      <c r="AG57" s="1155"/>
      <c r="AH57" s="1155"/>
      <c r="AI57" s="1155"/>
      <c r="AJ57" s="1155"/>
      <c r="AK57" s="1155"/>
      <c r="AL57" s="1155"/>
      <c r="AM57" s="1155"/>
      <c r="AN57" s="1155"/>
      <c r="AO57" s="1155"/>
      <c r="AP57" s="1155"/>
      <c r="AQ57" s="1155"/>
      <c r="AR57" s="1155"/>
      <c r="AS57" s="1155"/>
      <c r="AT57" s="1155"/>
      <c r="AU57" s="1155"/>
      <c r="AV57" s="1155"/>
      <c r="AW57" s="1155"/>
      <c r="AX57" s="1155"/>
      <c r="AY57" s="1155"/>
      <c r="AZ57" s="1155"/>
      <c r="BA57" s="1155"/>
      <c r="BB57" s="1155"/>
      <c r="BC57" s="1155"/>
      <c r="BD57" s="1155"/>
      <c r="BE57" s="1155"/>
      <c r="BF57" s="1155"/>
      <c r="BG57" s="1155"/>
      <c r="BH57" s="1155"/>
      <c r="BI57" s="1155"/>
      <c r="BJ57" s="1155"/>
      <c r="BK57" s="1155"/>
      <c r="BL57" s="76"/>
      <c r="BN57" s="172"/>
      <c r="BO57" s="172"/>
      <c r="BP57" s="172"/>
      <c r="BQ57" s="172"/>
      <c r="BR57" s="172"/>
      <c r="BS57" s="172"/>
      <c r="BT57" s="172"/>
      <c r="BU57" s="172"/>
      <c r="BV57" s="173"/>
      <c r="BW57" s="173"/>
      <c r="BX57" s="173"/>
      <c r="BY57" s="174"/>
      <c r="BZ57" s="174"/>
      <c r="CA57" s="174"/>
      <c r="CB57" s="174"/>
      <c r="CC57" s="174"/>
      <c r="CD57" s="173"/>
      <c r="CE57" s="173"/>
      <c r="CF57" s="173"/>
      <c r="CG57" s="174"/>
      <c r="CH57" s="174"/>
      <c r="CI57" s="174"/>
      <c r="CJ57" s="174"/>
      <c r="CK57" s="174"/>
      <c r="CL57" s="173"/>
      <c r="CM57" s="173"/>
      <c r="CN57" s="173"/>
      <c r="CO57" s="174"/>
      <c r="CP57" s="174"/>
      <c r="CQ57" s="174"/>
      <c r="CR57" s="174"/>
      <c r="CS57" s="174"/>
    </row>
    <row r="58" spans="1:97" ht="18" customHeight="1">
      <c r="A58" s="76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76"/>
      <c r="BN58" s="175"/>
      <c r="BO58" s="175"/>
      <c r="BP58" s="175"/>
      <c r="BQ58" s="175"/>
      <c r="BR58" s="175"/>
      <c r="BS58" s="175"/>
      <c r="BT58" s="175"/>
      <c r="BU58" s="175"/>
      <c r="BV58" s="175"/>
      <c r="BW58" s="175"/>
      <c r="BX58" s="175"/>
      <c r="BY58" s="175"/>
      <c r="BZ58" s="175"/>
      <c r="CA58" s="175"/>
      <c r="CB58" s="175"/>
      <c r="CC58" s="175"/>
      <c r="CD58" s="175"/>
      <c r="CE58" s="175"/>
      <c r="CF58" s="175"/>
      <c r="CG58" s="175"/>
      <c r="CH58" s="175"/>
      <c r="CI58" s="175"/>
      <c r="CJ58" s="175"/>
      <c r="CK58" s="175"/>
      <c r="CL58" s="175"/>
      <c r="CM58" s="175"/>
      <c r="CN58" s="175"/>
      <c r="CO58" s="175"/>
      <c r="CP58" s="175"/>
      <c r="CQ58" s="175"/>
      <c r="CR58" s="175"/>
      <c r="CS58" s="175"/>
    </row>
    <row r="59" spans="1:97" ht="18" hidden="1" customHeight="1">
      <c r="A59" s="76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76"/>
      <c r="BL59" s="76"/>
      <c r="BN59" s="175"/>
      <c r="BO59" s="175"/>
      <c r="BP59" s="175"/>
      <c r="BQ59" s="175"/>
      <c r="BR59" s="175"/>
      <c r="BS59" s="175"/>
      <c r="BT59" s="175"/>
      <c r="BU59" s="175"/>
      <c r="BV59" s="175"/>
      <c r="BW59" s="175"/>
      <c r="BX59" s="175"/>
      <c r="BY59" s="175"/>
      <c r="BZ59" s="175"/>
      <c r="CA59" s="175"/>
      <c r="CB59" s="175"/>
      <c r="CC59" s="175"/>
      <c r="CD59" s="175"/>
      <c r="CE59" s="175"/>
      <c r="CF59" s="175"/>
      <c r="CG59" s="175"/>
      <c r="CH59" s="175"/>
      <c r="CI59" s="175"/>
      <c r="CJ59" s="175"/>
      <c r="CK59" s="175"/>
      <c r="CL59" s="175"/>
      <c r="CM59" s="175"/>
      <c r="CN59" s="175"/>
      <c r="CO59" s="175"/>
      <c r="CP59" s="175"/>
      <c r="CQ59" s="175"/>
      <c r="CR59" s="175"/>
      <c r="CS59" s="175"/>
    </row>
    <row r="60" spans="1:97" ht="18" hidden="1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N60" s="175"/>
      <c r="BO60" s="175"/>
      <c r="BP60" s="175"/>
      <c r="BQ60" s="175"/>
      <c r="BR60" s="175"/>
      <c r="BS60" s="175"/>
      <c r="BT60" s="175"/>
      <c r="BU60" s="175"/>
      <c r="BV60" s="175"/>
      <c r="BW60" s="175"/>
      <c r="BX60" s="175"/>
      <c r="BY60" s="175"/>
      <c r="BZ60" s="175"/>
      <c r="CA60" s="175"/>
      <c r="CB60" s="175"/>
      <c r="CC60" s="175"/>
      <c r="CD60" s="175"/>
      <c r="CE60" s="175"/>
      <c r="CF60" s="175"/>
      <c r="CG60" s="175"/>
      <c r="CH60" s="175"/>
      <c r="CI60" s="175"/>
      <c r="CJ60" s="175"/>
      <c r="CK60" s="175"/>
      <c r="CL60" s="175"/>
      <c r="CM60" s="175"/>
      <c r="CN60" s="175"/>
      <c r="CO60" s="175"/>
      <c r="CP60" s="175"/>
      <c r="CQ60" s="175"/>
      <c r="CR60" s="175"/>
      <c r="CS60" s="175"/>
    </row>
    <row r="61" spans="1:97" ht="18" hidden="1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N61" s="175"/>
      <c r="BO61" s="175"/>
      <c r="BP61" s="175"/>
      <c r="BQ61" s="175"/>
      <c r="BR61" s="175"/>
      <c r="BS61" s="175"/>
      <c r="BT61" s="175"/>
      <c r="BU61" s="175"/>
      <c r="BV61" s="175"/>
      <c r="BW61" s="175"/>
      <c r="BX61" s="175"/>
      <c r="BY61" s="175"/>
      <c r="BZ61" s="175"/>
      <c r="CA61" s="175"/>
      <c r="CB61" s="175"/>
      <c r="CC61" s="175"/>
      <c r="CD61" s="175"/>
      <c r="CE61" s="175"/>
      <c r="CF61" s="175"/>
      <c r="CG61" s="175"/>
      <c r="CH61" s="175"/>
      <c r="CI61" s="175"/>
      <c r="CJ61" s="175"/>
      <c r="CK61" s="175"/>
      <c r="CL61" s="175"/>
      <c r="CM61" s="175"/>
      <c r="CN61" s="175"/>
      <c r="CO61" s="175"/>
      <c r="CP61" s="175"/>
      <c r="CQ61" s="175"/>
      <c r="CR61" s="175"/>
      <c r="CS61" s="175"/>
    </row>
    <row r="62" spans="1:97" ht="18" hidden="1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N62" s="175"/>
      <c r="BO62" s="175"/>
      <c r="BP62" s="175"/>
      <c r="BQ62" s="175"/>
      <c r="BR62" s="175"/>
      <c r="BS62" s="175"/>
      <c r="BT62" s="175"/>
      <c r="BU62" s="175"/>
      <c r="BV62" s="175"/>
      <c r="BW62" s="175"/>
      <c r="BX62" s="175"/>
      <c r="BY62" s="175"/>
      <c r="BZ62" s="175"/>
      <c r="CA62" s="175"/>
      <c r="CB62" s="175"/>
      <c r="CC62" s="175"/>
      <c r="CD62" s="175"/>
      <c r="CE62" s="175"/>
      <c r="CF62" s="175"/>
      <c r="CG62" s="175"/>
      <c r="CH62" s="175"/>
      <c r="CI62" s="175"/>
      <c r="CJ62" s="175"/>
      <c r="CK62" s="175"/>
      <c r="CL62" s="175"/>
      <c r="CM62" s="175"/>
      <c r="CN62" s="175"/>
      <c r="CO62" s="175"/>
      <c r="CP62" s="175"/>
      <c r="CQ62" s="175"/>
      <c r="CR62" s="175"/>
      <c r="CS62" s="175"/>
    </row>
    <row r="63" spans="1:97" ht="18" hidden="1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N63" s="175"/>
      <c r="BO63" s="175"/>
      <c r="BP63" s="175"/>
      <c r="BQ63" s="175"/>
      <c r="BR63" s="175"/>
      <c r="BS63" s="175"/>
      <c r="BT63" s="175"/>
      <c r="BU63" s="175"/>
      <c r="BV63" s="175"/>
      <c r="BW63" s="175"/>
      <c r="BX63" s="175"/>
      <c r="BY63" s="175"/>
      <c r="BZ63" s="175"/>
      <c r="CA63" s="175"/>
      <c r="CB63" s="175"/>
      <c r="CC63" s="175"/>
      <c r="CD63" s="175"/>
      <c r="CE63" s="175"/>
      <c r="CF63" s="175"/>
      <c r="CG63" s="175"/>
      <c r="CH63" s="175"/>
      <c r="CI63" s="175"/>
      <c r="CJ63" s="175"/>
      <c r="CK63" s="175"/>
      <c r="CL63" s="175"/>
      <c r="CM63" s="175"/>
      <c r="CN63" s="175"/>
      <c r="CO63" s="175"/>
      <c r="CP63" s="175"/>
      <c r="CQ63" s="175"/>
      <c r="CR63" s="175"/>
      <c r="CS63" s="175"/>
    </row>
    <row r="64" spans="1:97" ht="18" hidden="1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N64" s="175"/>
      <c r="BO64" s="175"/>
      <c r="BP64" s="175"/>
      <c r="BQ64" s="175"/>
      <c r="BR64" s="175"/>
      <c r="BS64" s="175"/>
      <c r="BT64" s="175"/>
      <c r="BU64" s="175"/>
      <c r="BV64" s="175"/>
      <c r="BW64" s="175"/>
      <c r="BX64" s="175"/>
      <c r="BY64" s="175"/>
      <c r="BZ64" s="175"/>
      <c r="CA64" s="175"/>
      <c r="CB64" s="175"/>
      <c r="CC64" s="175"/>
      <c r="CD64" s="175"/>
      <c r="CE64" s="175"/>
      <c r="CF64" s="175"/>
      <c r="CG64" s="175"/>
      <c r="CH64" s="175"/>
      <c r="CI64" s="175"/>
      <c r="CJ64" s="175"/>
      <c r="CK64" s="175"/>
      <c r="CL64" s="175"/>
      <c r="CM64" s="175"/>
      <c r="CN64" s="175"/>
      <c r="CO64" s="175"/>
      <c r="CP64" s="175"/>
      <c r="CQ64" s="175"/>
      <c r="CR64" s="175"/>
      <c r="CS64" s="175"/>
    </row>
    <row r="65" spans="1:97" ht="18" hidden="1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N65" s="175"/>
      <c r="BO65" s="175"/>
      <c r="BP65" s="175"/>
      <c r="BQ65" s="175"/>
      <c r="BR65" s="175"/>
      <c r="BS65" s="175"/>
      <c r="BT65" s="175"/>
      <c r="BU65" s="175"/>
      <c r="BV65" s="175"/>
      <c r="BW65" s="175"/>
      <c r="BX65" s="175"/>
      <c r="BY65" s="175"/>
      <c r="BZ65" s="175"/>
      <c r="CA65" s="175"/>
      <c r="CB65" s="175"/>
      <c r="CC65" s="175"/>
      <c r="CD65" s="175"/>
      <c r="CE65" s="175"/>
      <c r="CF65" s="175"/>
      <c r="CG65" s="175"/>
      <c r="CH65" s="175"/>
      <c r="CI65" s="175"/>
      <c r="CJ65" s="175"/>
      <c r="CK65" s="175"/>
      <c r="CL65" s="175"/>
      <c r="CM65" s="175"/>
      <c r="CN65" s="175"/>
      <c r="CO65" s="175"/>
      <c r="CP65" s="175"/>
      <c r="CQ65" s="175"/>
      <c r="CR65" s="175"/>
      <c r="CS65" s="175"/>
    </row>
    <row r="66" spans="1:97" ht="18" hidden="1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N66" s="175"/>
      <c r="BO66" s="175"/>
      <c r="BP66" s="175"/>
      <c r="BQ66" s="175"/>
      <c r="BR66" s="175"/>
      <c r="BS66" s="175"/>
      <c r="BT66" s="175"/>
      <c r="BU66" s="175"/>
      <c r="BV66" s="175"/>
      <c r="BW66" s="175"/>
      <c r="BX66" s="175"/>
      <c r="BY66" s="175"/>
      <c r="BZ66" s="175"/>
      <c r="CA66" s="175"/>
      <c r="CB66" s="175"/>
      <c r="CC66" s="175"/>
      <c r="CD66" s="175"/>
      <c r="CE66" s="175"/>
      <c r="CF66" s="175"/>
      <c r="CG66" s="175"/>
      <c r="CH66" s="175"/>
      <c r="CI66" s="175"/>
      <c r="CJ66" s="175"/>
      <c r="CK66" s="175"/>
      <c r="CL66" s="175"/>
      <c r="CM66" s="175"/>
      <c r="CN66" s="175"/>
      <c r="CO66" s="175"/>
      <c r="CP66" s="175"/>
      <c r="CQ66" s="175"/>
      <c r="CR66" s="175"/>
      <c r="CS66" s="175"/>
    </row>
    <row r="67" spans="1:97" ht="18" hidden="1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N67" s="175"/>
      <c r="BO67" s="175"/>
      <c r="BP67" s="175"/>
      <c r="BQ67" s="175"/>
      <c r="BR67" s="175"/>
      <c r="BS67" s="175"/>
      <c r="BT67" s="175"/>
      <c r="BU67" s="175"/>
      <c r="BV67" s="175"/>
      <c r="BW67" s="175"/>
      <c r="BX67" s="175"/>
      <c r="BY67" s="175"/>
      <c r="BZ67" s="175"/>
      <c r="CA67" s="175"/>
      <c r="CB67" s="175"/>
      <c r="CC67" s="175"/>
      <c r="CD67" s="175"/>
      <c r="CE67" s="175"/>
      <c r="CF67" s="175"/>
      <c r="CG67" s="175"/>
      <c r="CH67" s="175"/>
      <c r="CI67" s="175"/>
      <c r="CJ67" s="175"/>
      <c r="CK67" s="175"/>
      <c r="CL67" s="175"/>
      <c r="CM67" s="175"/>
      <c r="CN67" s="175"/>
      <c r="CO67" s="175"/>
      <c r="CP67" s="175"/>
      <c r="CQ67" s="175"/>
      <c r="CR67" s="175"/>
      <c r="CS67" s="175"/>
    </row>
    <row r="68" spans="1:97" ht="18" hidden="1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N68" s="175"/>
      <c r="BO68" s="175"/>
      <c r="BP68" s="175"/>
      <c r="BQ68" s="175"/>
      <c r="BR68" s="175"/>
      <c r="BS68" s="175"/>
      <c r="BT68" s="175"/>
      <c r="BU68" s="175"/>
      <c r="BV68" s="175"/>
      <c r="BW68" s="175"/>
      <c r="BX68" s="175"/>
      <c r="BY68" s="175"/>
      <c r="BZ68" s="175"/>
      <c r="CA68" s="175"/>
      <c r="CB68" s="175"/>
      <c r="CC68" s="175"/>
      <c r="CD68" s="175"/>
      <c r="CE68" s="175"/>
      <c r="CF68" s="175"/>
      <c r="CG68" s="175"/>
      <c r="CH68" s="175"/>
      <c r="CI68" s="175"/>
      <c r="CJ68" s="175"/>
      <c r="CK68" s="175"/>
      <c r="CL68" s="175"/>
      <c r="CM68" s="175"/>
      <c r="CN68" s="175"/>
      <c r="CO68" s="175"/>
      <c r="CP68" s="175"/>
      <c r="CQ68" s="175"/>
      <c r="CR68" s="175"/>
      <c r="CS68" s="175"/>
    </row>
    <row r="69" spans="1:97" ht="18" hidden="1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N69" s="175"/>
      <c r="BO69" s="175"/>
      <c r="BP69" s="175"/>
      <c r="BQ69" s="175"/>
      <c r="BR69" s="175"/>
      <c r="BS69" s="175"/>
      <c r="BT69" s="175"/>
      <c r="BU69" s="175"/>
      <c r="BV69" s="175"/>
      <c r="BW69" s="175"/>
      <c r="BX69" s="175"/>
      <c r="BY69" s="175"/>
      <c r="BZ69" s="175"/>
      <c r="CA69" s="175"/>
      <c r="CB69" s="175"/>
      <c r="CC69" s="175"/>
      <c r="CD69" s="175"/>
      <c r="CE69" s="175"/>
      <c r="CF69" s="175"/>
      <c r="CG69" s="175"/>
      <c r="CH69" s="175"/>
      <c r="CI69" s="175"/>
      <c r="CJ69" s="175"/>
      <c r="CK69" s="175"/>
      <c r="CL69" s="175"/>
      <c r="CM69" s="175"/>
      <c r="CN69" s="175"/>
      <c r="CO69" s="175"/>
      <c r="CP69" s="175"/>
      <c r="CQ69" s="175"/>
      <c r="CR69" s="175"/>
      <c r="CS69" s="175"/>
    </row>
    <row r="70" spans="1:97" ht="18" hidden="1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N70" s="175"/>
      <c r="BO70" s="175"/>
      <c r="BP70" s="175"/>
      <c r="BQ70" s="175"/>
      <c r="BR70" s="175"/>
      <c r="BS70" s="175"/>
      <c r="BT70" s="175"/>
      <c r="BU70" s="175"/>
      <c r="BV70" s="175"/>
      <c r="BW70" s="175"/>
      <c r="BX70" s="175"/>
      <c r="BY70" s="175"/>
      <c r="BZ70" s="175"/>
      <c r="CA70" s="175"/>
      <c r="CB70" s="175"/>
      <c r="CC70" s="175"/>
      <c r="CD70" s="175"/>
      <c r="CE70" s="175"/>
      <c r="CF70" s="175"/>
      <c r="CG70" s="175"/>
      <c r="CH70" s="175"/>
      <c r="CI70" s="175"/>
      <c r="CJ70" s="175"/>
      <c r="CK70" s="175"/>
      <c r="CL70" s="175"/>
      <c r="CM70" s="175"/>
      <c r="CN70" s="175"/>
      <c r="CO70" s="175"/>
      <c r="CP70" s="175"/>
      <c r="CQ70" s="175"/>
      <c r="CR70" s="175"/>
      <c r="CS70" s="175"/>
    </row>
    <row r="71" spans="1:97" ht="18" hidden="1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N71" s="175"/>
      <c r="BO71" s="175"/>
      <c r="BP71" s="175"/>
      <c r="BQ71" s="175"/>
      <c r="BR71" s="175"/>
      <c r="BS71" s="175"/>
      <c r="BT71" s="175"/>
      <c r="BU71" s="175"/>
      <c r="BV71" s="175"/>
      <c r="BW71" s="175"/>
      <c r="BX71" s="175"/>
      <c r="BY71" s="175"/>
      <c r="BZ71" s="175"/>
      <c r="CA71" s="175"/>
      <c r="CB71" s="175"/>
      <c r="CC71" s="175"/>
      <c r="CD71" s="175"/>
      <c r="CE71" s="175"/>
      <c r="CF71" s="175"/>
      <c r="CG71" s="175"/>
      <c r="CH71" s="175"/>
      <c r="CI71" s="175"/>
      <c r="CJ71" s="175"/>
      <c r="CK71" s="175"/>
      <c r="CL71" s="175"/>
      <c r="CM71" s="175"/>
      <c r="CN71" s="175"/>
      <c r="CO71" s="175"/>
      <c r="CP71" s="175"/>
      <c r="CQ71" s="175"/>
      <c r="CR71" s="175"/>
      <c r="CS71" s="175"/>
    </row>
    <row r="72" spans="1:97" ht="18" hidden="1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N72" s="175"/>
      <c r="BO72" s="175"/>
      <c r="BP72" s="175"/>
      <c r="BQ72" s="175"/>
      <c r="BR72" s="175"/>
      <c r="BS72" s="175"/>
      <c r="BT72" s="175"/>
      <c r="BU72" s="175"/>
      <c r="BV72" s="175"/>
      <c r="BW72" s="175"/>
      <c r="BX72" s="175"/>
      <c r="BY72" s="175"/>
      <c r="BZ72" s="175"/>
      <c r="CA72" s="175"/>
      <c r="CB72" s="175"/>
      <c r="CC72" s="175"/>
      <c r="CD72" s="175"/>
      <c r="CE72" s="175"/>
      <c r="CF72" s="175"/>
      <c r="CG72" s="175"/>
      <c r="CH72" s="175"/>
      <c r="CI72" s="175"/>
      <c r="CJ72" s="175"/>
      <c r="CK72" s="175"/>
      <c r="CL72" s="175"/>
      <c r="CM72" s="175"/>
      <c r="CN72" s="175"/>
      <c r="CO72" s="175"/>
      <c r="CP72" s="175"/>
      <c r="CQ72" s="175"/>
      <c r="CR72" s="175"/>
      <c r="CS72" s="175"/>
    </row>
    <row r="73" spans="1:97" ht="18" hidden="1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N73" s="175"/>
      <c r="BO73" s="175"/>
      <c r="BP73" s="175"/>
      <c r="BQ73" s="175"/>
      <c r="BR73" s="175"/>
      <c r="BS73" s="175"/>
      <c r="BT73" s="175"/>
      <c r="BU73" s="175"/>
      <c r="BV73" s="175"/>
      <c r="BW73" s="175"/>
      <c r="BX73" s="175"/>
      <c r="BY73" s="175"/>
      <c r="BZ73" s="175"/>
      <c r="CA73" s="175"/>
      <c r="CB73" s="175"/>
      <c r="CC73" s="175"/>
      <c r="CD73" s="175"/>
      <c r="CE73" s="175"/>
      <c r="CF73" s="175"/>
      <c r="CG73" s="175"/>
      <c r="CH73" s="175"/>
      <c r="CI73" s="175"/>
      <c r="CJ73" s="175"/>
      <c r="CK73" s="175"/>
      <c r="CL73" s="175"/>
      <c r="CM73" s="175"/>
      <c r="CN73" s="175"/>
      <c r="CO73" s="175"/>
      <c r="CP73" s="175"/>
      <c r="CQ73" s="175"/>
      <c r="CR73" s="175"/>
      <c r="CS73" s="175"/>
    </row>
    <row r="74" spans="1:97" ht="18" hidden="1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N74" s="175"/>
      <c r="BO74" s="175"/>
      <c r="BP74" s="175"/>
      <c r="BQ74" s="175"/>
      <c r="BR74" s="175"/>
      <c r="BS74" s="175"/>
      <c r="BT74" s="175"/>
      <c r="BU74" s="175"/>
      <c r="BV74" s="175"/>
      <c r="BW74" s="175"/>
      <c r="BX74" s="175"/>
      <c r="BY74" s="175"/>
      <c r="BZ74" s="175"/>
      <c r="CA74" s="175"/>
      <c r="CB74" s="175"/>
      <c r="CC74" s="175"/>
      <c r="CD74" s="175"/>
      <c r="CE74" s="175"/>
      <c r="CF74" s="175"/>
      <c r="CG74" s="175"/>
      <c r="CH74" s="175"/>
      <c r="CI74" s="175"/>
      <c r="CJ74" s="175"/>
      <c r="CK74" s="175"/>
      <c r="CL74" s="175"/>
      <c r="CM74" s="175"/>
      <c r="CN74" s="175"/>
      <c r="CO74" s="175"/>
      <c r="CP74" s="175"/>
      <c r="CQ74" s="175"/>
      <c r="CR74" s="175"/>
      <c r="CS74" s="175"/>
    </row>
    <row r="75" spans="1:97" ht="18" hidden="1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N75" s="175"/>
      <c r="BO75" s="175"/>
      <c r="BP75" s="175"/>
      <c r="BQ75" s="175"/>
      <c r="BR75" s="175"/>
      <c r="BS75" s="175"/>
      <c r="BT75" s="175"/>
      <c r="BU75" s="175"/>
      <c r="BV75" s="175"/>
      <c r="BW75" s="175"/>
      <c r="BX75" s="175"/>
      <c r="BY75" s="175"/>
      <c r="BZ75" s="175"/>
      <c r="CA75" s="175"/>
      <c r="CB75" s="175"/>
      <c r="CC75" s="175"/>
      <c r="CD75" s="175"/>
      <c r="CE75" s="175"/>
      <c r="CF75" s="175"/>
      <c r="CG75" s="175"/>
      <c r="CH75" s="175"/>
      <c r="CI75" s="175"/>
      <c r="CJ75" s="175"/>
      <c r="CK75" s="175"/>
      <c r="CL75" s="175"/>
      <c r="CM75" s="175"/>
      <c r="CN75" s="175"/>
      <c r="CO75" s="175"/>
      <c r="CP75" s="175"/>
      <c r="CQ75" s="175"/>
      <c r="CR75" s="175"/>
      <c r="CS75" s="175"/>
    </row>
    <row r="76" spans="1:97" ht="18" hidden="1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N76" s="175"/>
      <c r="BO76" s="175"/>
      <c r="BP76" s="175"/>
      <c r="BQ76" s="175"/>
      <c r="BR76" s="175"/>
      <c r="BS76" s="175"/>
      <c r="BT76" s="175"/>
      <c r="BU76" s="175"/>
      <c r="BV76" s="175"/>
      <c r="BW76" s="175"/>
      <c r="BX76" s="175"/>
      <c r="BY76" s="175"/>
      <c r="BZ76" s="175"/>
      <c r="CA76" s="175"/>
      <c r="CB76" s="175"/>
      <c r="CC76" s="175"/>
      <c r="CD76" s="175"/>
      <c r="CE76" s="175"/>
      <c r="CF76" s="175"/>
      <c r="CG76" s="175"/>
      <c r="CH76" s="175"/>
      <c r="CI76" s="175"/>
      <c r="CJ76" s="175"/>
      <c r="CK76" s="175"/>
      <c r="CL76" s="175"/>
      <c r="CM76" s="175"/>
      <c r="CN76" s="175"/>
      <c r="CO76" s="175"/>
      <c r="CP76" s="175"/>
      <c r="CQ76" s="175"/>
      <c r="CR76" s="175"/>
      <c r="CS76" s="175"/>
    </row>
    <row r="77" spans="1:97" ht="18" hidden="1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N77" s="175"/>
      <c r="BO77" s="175"/>
      <c r="BP77" s="175"/>
      <c r="BQ77" s="175"/>
      <c r="BR77" s="175"/>
      <c r="BS77" s="175"/>
      <c r="BT77" s="175"/>
      <c r="BU77" s="175"/>
      <c r="BV77" s="175"/>
      <c r="BW77" s="175"/>
      <c r="BX77" s="175"/>
      <c r="BY77" s="175"/>
      <c r="BZ77" s="175"/>
      <c r="CA77" s="175"/>
      <c r="CB77" s="175"/>
      <c r="CC77" s="175"/>
      <c r="CD77" s="175"/>
      <c r="CE77" s="175"/>
      <c r="CF77" s="175"/>
      <c r="CG77" s="175"/>
      <c r="CH77" s="175"/>
      <c r="CI77" s="175"/>
      <c r="CJ77" s="175"/>
      <c r="CK77" s="175"/>
      <c r="CL77" s="175"/>
      <c r="CM77" s="175"/>
      <c r="CN77" s="175"/>
      <c r="CO77" s="175"/>
      <c r="CP77" s="175"/>
      <c r="CQ77" s="175"/>
      <c r="CR77" s="175"/>
      <c r="CS77" s="175"/>
    </row>
    <row r="78" spans="1:97" ht="18" hidden="1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N78" s="175"/>
      <c r="BO78" s="175"/>
      <c r="BP78" s="175"/>
      <c r="BQ78" s="175"/>
      <c r="BR78" s="175"/>
      <c r="BS78" s="175"/>
      <c r="BT78" s="175"/>
      <c r="BU78" s="175"/>
      <c r="BV78" s="175"/>
      <c r="BW78" s="175"/>
      <c r="BX78" s="175"/>
      <c r="BY78" s="175"/>
      <c r="BZ78" s="175"/>
      <c r="CA78" s="175"/>
      <c r="CB78" s="175"/>
      <c r="CC78" s="175"/>
      <c r="CD78" s="175"/>
      <c r="CE78" s="175"/>
      <c r="CF78" s="175"/>
      <c r="CG78" s="175"/>
      <c r="CH78" s="175"/>
      <c r="CI78" s="175"/>
      <c r="CJ78" s="175"/>
      <c r="CK78" s="175"/>
      <c r="CL78" s="175"/>
      <c r="CM78" s="175"/>
      <c r="CN78" s="175"/>
      <c r="CO78" s="175"/>
      <c r="CP78" s="175"/>
      <c r="CQ78" s="175"/>
      <c r="CR78" s="175"/>
      <c r="CS78" s="175"/>
    </row>
    <row r="79" spans="1:97" ht="18" hidden="1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N79" s="175"/>
      <c r="BO79" s="175"/>
      <c r="BP79" s="175"/>
      <c r="BQ79" s="175"/>
      <c r="BR79" s="175"/>
      <c r="BS79" s="175"/>
      <c r="BT79" s="175"/>
      <c r="BU79" s="175"/>
      <c r="BV79" s="175"/>
      <c r="BW79" s="175"/>
      <c r="BX79" s="175"/>
      <c r="BY79" s="175"/>
      <c r="BZ79" s="175"/>
      <c r="CA79" s="175"/>
      <c r="CB79" s="175"/>
      <c r="CC79" s="175"/>
      <c r="CD79" s="175"/>
      <c r="CE79" s="175"/>
      <c r="CF79" s="175"/>
      <c r="CG79" s="175"/>
      <c r="CH79" s="175"/>
      <c r="CI79" s="175"/>
      <c r="CJ79" s="175"/>
      <c r="CK79" s="175"/>
      <c r="CL79" s="175"/>
      <c r="CM79" s="175"/>
      <c r="CN79" s="175"/>
      <c r="CO79" s="175"/>
      <c r="CP79" s="175"/>
      <c r="CQ79" s="175"/>
      <c r="CR79" s="175"/>
      <c r="CS79" s="175"/>
    </row>
    <row r="80" spans="1:97" ht="18" hidden="1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N80" s="175"/>
      <c r="BO80" s="175"/>
      <c r="BP80" s="175"/>
      <c r="BQ80" s="175"/>
      <c r="BR80" s="175"/>
      <c r="BS80" s="175"/>
      <c r="BT80" s="175"/>
      <c r="BU80" s="175"/>
      <c r="BV80" s="175"/>
      <c r="BW80" s="175"/>
      <c r="BX80" s="175"/>
      <c r="BY80" s="175"/>
      <c r="BZ80" s="175"/>
      <c r="CA80" s="175"/>
      <c r="CB80" s="175"/>
      <c r="CC80" s="175"/>
      <c r="CD80" s="175"/>
      <c r="CE80" s="175"/>
      <c r="CF80" s="175"/>
      <c r="CG80" s="175"/>
      <c r="CH80" s="175"/>
      <c r="CI80" s="175"/>
      <c r="CJ80" s="175"/>
      <c r="CK80" s="175"/>
      <c r="CL80" s="175"/>
      <c r="CM80" s="175"/>
      <c r="CN80" s="175"/>
      <c r="CO80" s="175"/>
      <c r="CP80" s="175"/>
      <c r="CQ80" s="175"/>
      <c r="CR80" s="175"/>
      <c r="CS80" s="175"/>
    </row>
    <row r="81" spans="1:97" ht="18" hidden="1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N81" s="175"/>
      <c r="BO81" s="175"/>
      <c r="BP81" s="175"/>
      <c r="BQ81" s="175"/>
      <c r="BR81" s="175"/>
      <c r="BS81" s="175"/>
      <c r="BT81" s="175"/>
      <c r="BU81" s="175"/>
      <c r="BV81" s="175"/>
      <c r="BW81" s="175"/>
      <c r="BX81" s="175"/>
      <c r="BY81" s="175"/>
      <c r="BZ81" s="175"/>
      <c r="CA81" s="175"/>
      <c r="CB81" s="175"/>
      <c r="CC81" s="175"/>
      <c r="CD81" s="175"/>
      <c r="CE81" s="175"/>
      <c r="CF81" s="175"/>
      <c r="CG81" s="175"/>
      <c r="CH81" s="175"/>
      <c r="CI81" s="175"/>
      <c r="CJ81" s="175"/>
      <c r="CK81" s="175"/>
      <c r="CL81" s="175"/>
      <c r="CM81" s="175"/>
      <c r="CN81" s="175"/>
      <c r="CO81" s="175"/>
      <c r="CP81" s="175"/>
      <c r="CQ81" s="175"/>
      <c r="CR81" s="175"/>
      <c r="CS81" s="175"/>
    </row>
    <row r="82" spans="1:97" ht="18" hidden="1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N82" s="175"/>
      <c r="BO82" s="175"/>
      <c r="BP82" s="175"/>
      <c r="BQ82" s="175"/>
      <c r="BR82" s="175"/>
      <c r="BS82" s="175"/>
      <c r="BT82" s="175"/>
      <c r="BU82" s="175"/>
      <c r="BV82" s="175"/>
      <c r="BW82" s="175"/>
      <c r="BX82" s="175"/>
      <c r="BY82" s="175"/>
      <c r="BZ82" s="175"/>
      <c r="CA82" s="175"/>
      <c r="CB82" s="175"/>
      <c r="CC82" s="175"/>
      <c r="CD82" s="175"/>
      <c r="CE82" s="175"/>
      <c r="CF82" s="175"/>
      <c r="CG82" s="175"/>
      <c r="CH82" s="175"/>
      <c r="CI82" s="175"/>
      <c r="CJ82" s="175"/>
      <c r="CK82" s="175"/>
      <c r="CL82" s="175"/>
      <c r="CM82" s="175"/>
      <c r="CN82" s="175"/>
      <c r="CO82" s="175"/>
      <c r="CP82" s="175"/>
      <c r="CQ82" s="175"/>
      <c r="CR82" s="175"/>
      <c r="CS82" s="175"/>
    </row>
    <row r="83" spans="1:97" ht="18" hidden="1" customHeight="1">
      <c r="BN83" s="175"/>
      <c r="BO83" s="175"/>
      <c r="BP83" s="175"/>
      <c r="BQ83" s="175"/>
      <c r="BR83" s="175"/>
      <c r="BS83" s="175"/>
      <c r="BT83" s="175"/>
      <c r="BU83" s="175"/>
      <c r="BV83" s="175"/>
      <c r="BW83" s="175"/>
      <c r="BX83" s="175"/>
      <c r="BY83" s="175"/>
      <c r="BZ83" s="175"/>
      <c r="CA83" s="175"/>
      <c r="CB83" s="175"/>
      <c r="CC83" s="175"/>
      <c r="CD83" s="175"/>
      <c r="CE83" s="175"/>
      <c r="CF83" s="175"/>
      <c r="CG83" s="175"/>
      <c r="CH83" s="175"/>
      <c r="CI83" s="175"/>
      <c r="CJ83" s="175"/>
      <c r="CK83" s="175"/>
      <c r="CL83" s="175"/>
      <c r="CM83" s="175"/>
      <c r="CN83" s="175"/>
      <c r="CO83" s="175"/>
      <c r="CP83" s="175"/>
      <c r="CQ83" s="175"/>
      <c r="CR83" s="175"/>
      <c r="CS83" s="175"/>
    </row>
    <row r="84" spans="1:97" ht="18" hidden="1" customHeight="1">
      <c r="BN84" s="175"/>
      <c r="BO84" s="175"/>
      <c r="BP84" s="175"/>
      <c r="BQ84" s="175"/>
      <c r="BR84" s="175"/>
      <c r="BS84" s="175"/>
      <c r="BT84" s="175"/>
      <c r="BU84" s="175"/>
      <c r="BV84" s="175"/>
      <c r="BW84" s="175"/>
      <c r="BX84" s="175"/>
      <c r="BY84" s="175"/>
      <c r="BZ84" s="175"/>
      <c r="CA84" s="175"/>
      <c r="CB84" s="175"/>
      <c r="CC84" s="175"/>
      <c r="CD84" s="175"/>
      <c r="CE84" s="175"/>
      <c r="CF84" s="175"/>
      <c r="CG84" s="175"/>
      <c r="CH84" s="175"/>
      <c r="CI84" s="175"/>
      <c r="CJ84" s="175"/>
      <c r="CK84" s="175"/>
      <c r="CL84" s="175"/>
      <c r="CM84" s="175"/>
      <c r="CN84" s="175"/>
      <c r="CO84" s="175"/>
      <c r="CP84" s="175"/>
      <c r="CQ84" s="175"/>
      <c r="CR84" s="175"/>
      <c r="CS84" s="175"/>
    </row>
    <row r="85" spans="1:97" ht="18" hidden="1" customHeight="1">
      <c r="BN85" s="175"/>
      <c r="BO85" s="175"/>
      <c r="BP85" s="175"/>
      <c r="BQ85" s="175"/>
      <c r="BR85" s="175"/>
      <c r="BS85" s="175"/>
      <c r="BT85" s="175"/>
      <c r="BU85" s="175"/>
      <c r="BV85" s="175"/>
      <c r="BW85" s="175"/>
      <c r="BX85" s="175"/>
      <c r="BY85" s="175"/>
      <c r="BZ85" s="175"/>
      <c r="CA85" s="175"/>
      <c r="CB85" s="175"/>
      <c r="CC85" s="175"/>
      <c r="CD85" s="175"/>
      <c r="CE85" s="175"/>
      <c r="CF85" s="175"/>
      <c r="CG85" s="175"/>
      <c r="CH85" s="175"/>
      <c r="CI85" s="175"/>
      <c r="CJ85" s="175"/>
      <c r="CK85" s="175"/>
      <c r="CL85" s="175"/>
      <c r="CM85" s="175"/>
      <c r="CN85" s="175"/>
      <c r="CO85" s="175"/>
      <c r="CP85" s="175"/>
      <c r="CQ85" s="175"/>
      <c r="CR85" s="175"/>
      <c r="CS85" s="175"/>
    </row>
    <row r="86" spans="1:97" ht="18" hidden="1" customHeight="1">
      <c r="BN86" s="175"/>
      <c r="BO86" s="175"/>
      <c r="BP86" s="175"/>
      <c r="BQ86" s="175"/>
      <c r="BR86" s="175"/>
      <c r="BS86" s="175"/>
      <c r="BT86" s="175"/>
      <c r="BU86" s="175"/>
      <c r="BV86" s="175"/>
      <c r="BW86" s="175"/>
      <c r="BX86" s="175"/>
      <c r="BY86" s="175"/>
      <c r="BZ86" s="175"/>
      <c r="CA86" s="175"/>
      <c r="CB86" s="175"/>
      <c r="CC86" s="175"/>
      <c r="CD86" s="175"/>
      <c r="CE86" s="175"/>
      <c r="CF86" s="175"/>
      <c r="CG86" s="175"/>
      <c r="CH86" s="175"/>
      <c r="CI86" s="175"/>
      <c r="CJ86" s="175"/>
      <c r="CK86" s="175"/>
      <c r="CL86" s="175"/>
      <c r="CM86" s="175"/>
      <c r="CN86" s="175"/>
      <c r="CO86" s="175"/>
      <c r="CP86" s="175"/>
      <c r="CQ86" s="175"/>
      <c r="CR86" s="175"/>
      <c r="CS86" s="175"/>
    </row>
    <row r="87" spans="1:97" ht="18" hidden="1" customHeight="1">
      <c r="BN87" s="175"/>
      <c r="BO87" s="175"/>
      <c r="BP87" s="175"/>
      <c r="BQ87" s="175"/>
      <c r="BR87" s="175"/>
      <c r="BS87" s="175"/>
      <c r="BT87" s="175"/>
      <c r="BU87" s="175"/>
      <c r="BV87" s="175"/>
      <c r="BW87" s="175"/>
      <c r="BX87" s="175"/>
      <c r="BY87" s="175"/>
      <c r="BZ87" s="175"/>
      <c r="CA87" s="175"/>
      <c r="CB87" s="175"/>
      <c r="CC87" s="175"/>
      <c r="CD87" s="175"/>
      <c r="CE87" s="175"/>
      <c r="CF87" s="175"/>
      <c r="CG87" s="175"/>
      <c r="CH87" s="175"/>
      <c r="CI87" s="175"/>
      <c r="CJ87" s="175"/>
      <c r="CK87" s="175"/>
      <c r="CL87" s="175"/>
      <c r="CM87" s="175"/>
      <c r="CN87" s="175"/>
      <c r="CO87" s="175"/>
      <c r="CP87" s="175"/>
      <c r="CQ87" s="175"/>
      <c r="CR87" s="175"/>
      <c r="CS87" s="175"/>
    </row>
    <row r="88" spans="1:97" ht="18" hidden="1" customHeight="1">
      <c r="BN88" s="175"/>
      <c r="BO88" s="175"/>
      <c r="BP88" s="175"/>
      <c r="BQ88" s="175"/>
      <c r="BR88" s="175"/>
      <c r="BS88" s="175"/>
      <c r="BT88" s="175"/>
      <c r="BU88" s="175"/>
      <c r="BV88" s="175"/>
      <c r="BW88" s="175"/>
      <c r="BX88" s="175"/>
      <c r="BY88" s="175"/>
      <c r="BZ88" s="175"/>
      <c r="CA88" s="175"/>
      <c r="CB88" s="175"/>
      <c r="CC88" s="175"/>
      <c r="CD88" s="175"/>
      <c r="CE88" s="175"/>
      <c r="CF88" s="175"/>
      <c r="CG88" s="175"/>
      <c r="CH88" s="175"/>
      <c r="CI88" s="175"/>
      <c r="CJ88" s="175"/>
      <c r="CK88" s="175"/>
      <c r="CL88" s="175"/>
      <c r="CM88" s="175"/>
      <c r="CN88" s="175"/>
      <c r="CO88" s="175"/>
      <c r="CP88" s="175"/>
      <c r="CQ88" s="175"/>
      <c r="CR88" s="175"/>
      <c r="CS88" s="175"/>
    </row>
    <row r="89" spans="1:97" ht="18" hidden="1" customHeight="1">
      <c r="BN89" s="175"/>
      <c r="BO89" s="175"/>
      <c r="BP89" s="175"/>
      <c r="BQ89" s="175"/>
      <c r="BR89" s="175"/>
      <c r="BS89" s="175"/>
      <c r="BT89" s="175"/>
      <c r="BU89" s="175"/>
      <c r="BV89" s="175"/>
      <c r="BW89" s="175"/>
      <c r="BX89" s="175"/>
      <c r="BY89" s="175"/>
      <c r="BZ89" s="175"/>
      <c r="CA89" s="175"/>
      <c r="CB89" s="175"/>
      <c r="CC89" s="175"/>
      <c r="CD89" s="175"/>
      <c r="CE89" s="175"/>
      <c r="CF89" s="175"/>
      <c r="CG89" s="175"/>
      <c r="CH89" s="175"/>
      <c r="CI89" s="175"/>
      <c r="CJ89" s="175"/>
      <c r="CK89" s="175"/>
      <c r="CL89" s="175"/>
      <c r="CM89" s="175"/>
      <c r="CN89" s="175"/>
      <c r="CO89" s="175"/>
      <c r="CP89" s="175"/>
      <c r="CQ89" s="175"/>
      <c r="CR89" s="175"/>
      <c r="CS89" s="175"/>
    </row>
    <row r="90" spans="1:97" ht="18" hidden="1" customHeight="1">
      <c r="BN90" s="175"/>
      <c r="BO90" s="175"/>
      <c r="BP90" s="175"/>
      <c r="BQ90" s="175"/>
      <c r="BR90" s="175"/>
      <c r="BS90" s="175"/>
      <c r="BT90" s="175"/>
      <c r="BU90" s="175"/>
      <c r="BV90" s="175"/>
      <c r="BW90" s="175"/>
      <c r="BX90" s="175"/>
      <c r="BY90" s="175"/>
      <c r="BZ90" s="175"/>
      <c r="CA90" s="175"/>
      <c r="CB90" s="175"/>
      <c r="CC90" s="175"/>
      <c r="CD90" s="175"/>
      <c r="CE90" s="175"/>
      <c r="CF90" s="175"/>
      <c r="CG90" s="175"/>
      <c r="CH90" s="175"/>
      <c r="CI90" s="175"/>
      <c r="CJ90" s="175"/>
      <c r="CK90" s="175"/>
      <c r="CL90" s="175"/>
      <c r="CM90" s="175"/>
      <c r="CN90" s="175"/>
      <c r="CO90" s="175"/>
      <c r="CP90" s="175"/>
      <c r="CQ90" s="175"/>
      <c r="CR90" s="175"/>
      <c r="CS90" s="175"/>
    </row>
    <row r="91" spans="1:97" ht="18" hidden="1" customHeight="1"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75"/>
      <c r="BY91" s="175"/>
      <c r="BZ91" s="175"/>
      <c r="CA91" s="175"/>
      <c r="CB91" s="175"/>
      <c r="CC91" s="175"/>
      <c r="CD91" s="175"/>
      <c r="CE91" s="175"/>
      <c r="CF91" s="175"/>
      <c r="CG91" s="175"/>
      <c r="CH91" s="175"/>
      <c r="CI91" s="175"/>
      <c r="CJ91" s="175"/>
      <c r="CK91" s="175"/>
      <c r="CL91" s="175"/>
      <c r="CM91" s="175"/>
      <c r="CN91" s="175"/>
      <c r="CO91" s="175"/>
      <c r="CP91" s="175"/>
      <c r="CQ91" s="175"/>
      <c r="CR91" s="175"/>
      <c r="CS91" s="175"/>
    </row>
    <row r="92" spans="1:97" ht="18" hidden="1" customHeight="1">
      <c r="BN92" s="175"/>
      <c r="BO92" s="175"/>
      <c r="BP92" s="175"/>
      <c r="BQ92" s="175"/>
      <c r="BR92" s="175"/>
      <c r="BS92" s="175"/>
      <c r="BT92" s="175"/>
      <c r="BU92" s="175"/>
      <c r="BV92" s="175"/>
      <c r="BW92" s="175"/>
      <c r="BX92" s="175"/>
      <c r="BY92" s="175"/>
      <c r="BZ92" s="175"/>
      <c r="CA92" s="175"/>
      <c r="CB92" s="175"/>
      <c r="CC92" s="175"/>
      <c r="CD92" s="175"/>
      <c r="CE92" s="175"/>
      <c r="CF92" s="175"/>
      <c r="CG92" s="175"/>
      <c r="CH92" s="175"/>
      <c r="CI92" s="175"/>
      <c r="CJ92" s="175"/>
      <c r="CK92" s="175"/>
      <c r="CL92" s="175"/>
      <c r="CM92" s="175"/>
      <c r="CN92" s="175"/>
      <c r="CO92" s="175"/>
      <c r="CP92" s="175"/>
      <c r="CQ92" s="175"/>
      <c r="CR92" s="175"/>
      <c r="CS92" s="175"/>
    </row>
    <row r="93" spans="1:97" ht="18" hidden="1" customHeight="1">
      <c r="BN93" s="175"/>
      <c r="BO93" s="175"/>
      <c r="BP93" s="175"/>
      <c r="BQ93" s="175"/>
      <c r="BR93" s="175"/>
      <c r="BS93" s="175"/>
      <c r="BT93" s="175"/>
      <c r="BU93" s="175"/>
      <c r="BV93" s="175"/>
      <c r="BW93" s="175"/>
      <c r="BX93" s="175"/>
      <c r="BY93" s="175"/>
      <c r="BZ93" s="175"/>
      <c r="CA93" s="175"/>
      <c r="CB93" s="175"/>
      <c r="CC93" s="175"/>
      <c r="CD93" s="175"/>
      <c r="CE93" s="175"/>
      <c r="CF93" s="175"/>
      <c r="CG93" s="175"/>
      <c r="CH93" s="175"/>
      <c r="CI93" s="175"/>
      <c r="CJ93" s="175"/>
      <c r="CK93" s="175"/>
      <c r="CL93" s="175"/>
      <c r="CM93" s="175"/>
      <c r="CN93" s="175"/>
      <c r="CO93" s="175"/>
      <c r="CP93" s="175"/>
      <c r="CQ93" s="175"/>
      <c r="CR93" s="175"/>
      <c r="CS93" s="175"/>
    </row>
    <row r="94" spans="1:97" ht="18" hidden="1" customHeight="1">
      <c r="BN94" s="175"/>
      <c r="BO94" s="175"/>
      <c r="BP94" s="175"/>
      <c r="BQ94" s="175"/>
      <c r="BR94" s="175"/>
      <c r="BS94" s="175"/>
      <c r="BT94" s="175"/>
      <c r="BU94" s="175"/>
      <c r="BV94" s="175"/>
      <c r="BW94" s="175"/>
      <c r="BX94" s="175"/>
      <c r="BY94" s="175"/>
      <c r="BZ94" s="175"/>
      <c r="CA94" s="175"/>
      <c r="CB94" s="175"/>
      <c r="CC94" s="175"/>
      <c r="CD94" s="175"/>
      <c r="CE94" s="175"/>
      <c r="CF94" s="175"/>
      <c r="CG94" s="175"/>
      <c r="CH94" s="175"/>
      <c r="CI94" s="175"/>
      <c r="CJ94" s="175"/>
      <c r="CK94" s="175"/>
      <c r="CL94" s="175"/>
      <c r="CM94" s="175"/>
      <c r="CN94" s="175"/>
      <c r="CO94" s="175"/>
      <c r="CP94" s="175"/>
      <c r="CQ94" s="175"/>
      <c r="CR94" s="175"/>
      <c r="CS94" s="175"/>
    </row>
    <row r="95" spans="1:97" ht="18" hidden="1" customHeight="1">
      <c r="BN95" s="175"/>
      <c r="BO95" s="175"/>
      <c r="BP95" s="175"/>
      <c r="BQ95" s="175"/>
      <c r="BR95" s="175"/>
      <c r="BS95" s="175"/>
      <c r="BT95" s="175"/>
      <c r="BU95" s="175"/>
      <c r="BV95" s="175"/>
      <c r="BW95" s="175"/>
      <c r="BX95" s="175"/>
      <c r="BY95" s="175"/>
      <c r="BZ95" s="175"/>
      <c r="CA95" s="175"/>
      <c r="CB95" s="175"/>
      <c r="CC95" s="175"/>
      <c r="CD95" s="175"/>
      <c r="CE95" s="175"/>
      <c r="CF95" s="175"/>
      <c r="CG95" s="175"/>
      <c r="CH95" s="175"/>
      <c r="CI95" s="175"/>
      <c r="CJ95" s="175"/>
      <c r="CK95" s="175"/>
      <c r="CL95" s="175"/>
      <c r="CM95" s="175"/>
      <c r="CN95" s="175"/>
      <c r="CO95" s="175"/>
      <c r="CP95" s="175"/>
      <c r="CQ95" s="175"/>
      <c r="CR95" s="175"/>
      <c r="CS95" s="175"/>
    </row>
    <row r="96" spans="1:97" ht="18" hidden="1" customHeight="1">
      <c r="BN96" s="175"/>
      <c r="BO96" s="175"/>
      <c r="BP96" s="175"/>
      <c r="BQ96" s="175"/>
      <c r="BR96" s="175"/>
      <c r="BS96" s="175"/>
      <c r="BT96" s="175"/>
      <c r="BU96" s="175"/>
      <c r="BV96" s="175"/>
      <c r="BW96" s="175"/>
      <c r="BX96" s="175"/>
      <c r="BY96" s="175"/>
      <c r="BZ96" s="175"/>
      <c r="CA96" s="175"/>
      <c r="CB96" s="175"/>
      <c r="CC96" s="175"/>
      <c r="CD96" s="175"/>
      <c r="CE96" s="175"/>
      <c r="CF96" s="175"/>
      <c r="CG96" s="175"/>
      <c r="CH96" s="175"/>
      <c r="CI96" s="175"/>
      <c r="CJ96" s="175"/>
      <c r="CK96" s="175"/>
      <c r="CL96" s="175"/>
      <c r="CM96" s="175"/>
      <c r="CN96" s="175"/>
      <c r="CO96" s="175"/>
      <c r="CP96" s="175"/>
      <c r="CQ96" s="175"/>
      <c r="CR96" s="175"/>
      <c r="CS96" s="175"/>
    </row>
    <row r="97" spans="66:97" ht="18" hidden="1" customHeight="1">
      <c r="BN97" s="175"/>
      <c r="BO97" s="175"/>
      <c r="BP97" s="175"/>
      <c r="BQ97" s="175"/>
      <c r="BR97" s="175"/>
      <c r="BS97" s="175"/>
      <c r="BT97" s="175"/>
      <c r="BU97" s="175"/>
      <c r="BV97" s="175"/>
      <c r="BW97" s="175"/>
      <c r="BX97" s="175"/>
      <c r="BY97" s="175"/>
      <c r="BZ97" s="175"/>
      <c r="CA97" s="175"/>
      <c r="CB97" s="175"/>
      <c r="CC97" s="175"/>
      <c r="CD97" s="175"/>
      <c r="CE97" s="175"/>
      <c r="CF97" s="175"/>
      <c r="CG97" s="175"/>
      <c r="CH97" s="175"/>
      <c r="CI97" s="175"/>
      <c r="CJ97" s="175"/>
      <c r="CK97" s="175"/>
      <c r="CL97" s="175"/>
      <c r="CM97" s="175"/>
      <c r="CN97" s="175"/>
      <c r="CO97" s="175"/>
      <c r="CP97" s="175"/>
      <c r="CQ97" s="175"/>
      <c r="CR97" s="175"/>
      <c r="CS97" s="175"/>
    </row>
    <row r="98" spans="66:97" ht="18" hidden="1" customHeight="1">
      <c r="BN98" s="175"/>
      <c r="BO98" s="175"/>
      <c r="BP98" s="175"/>
      <c r="BQ98" s="175"/>
      <c r="BR98" s="175"/>
      <c r="BS98" s="175"/>
      <c r="BT98" s="175"/>
      <c r="BU98" s="175"/>
      <c r="BV98" s="175"/>
      <c r="BW98" s="175"/>
      <c r="BX98" s="175"/>
      <c r="BY98" s="175"/>
      <c r="BZ98" s="175"/>
      <c r="CA98" s="175"/>
      <c r="CB98" s="175"/>
      <c r="CC98" s="175"/>
      <c r="CD98" s="175"/>
      <c r="CE98" s="175"/>
      <c r="CF98" s="175"/>
      <c r="CG98" s="175"/>
      <c r="CH98" s="175"/>
      <c r="CI98" s="175"/>
      <c r="CJ98" s="175"/>
      <c r="CK98" s="175"/>
      <c r="CL98" s="175"/>
      <c r="CM98" s="175"/>
      <c r="CN98" s="175"/>
      <c r="CO98" s="175"/>
      <c r="CP98" s="175"/>
      <c r="CQ98" s="175"/>
      <c r="CR98" s="175"/>
      <c r="CS98" s="175"/>
    </row>
    <row r="99" spans="66:97" ht="18" hidden="1" customHeight="1">
      <c r="BN99" s="175"/>
      <c r="BO99" s="175"/>
      <c r="BP99" s="175"/>
      <c r="BQ99" s="175"/>
      <c r="BR99" s="175"/>
      <c r="BS99" s="175"/>
      <c r="BT99" s="175"/>
      <c r="BU99" s="175"/>
      <c r="BV99" s="175"/>
      <c r="BW99" s="175"/>
      <c r="BX99" s="175"/>
      <c r="BY99" s="175"/>
      <c r="BZ99" s="175"/>
      <c r="CA99" s="175"/>
      <c r="CB99" s="175"/>
      <c r="CC99" s="175"/>
      <c r="CD99" s="175"/>
      <c r="CE99" s="175"/>
      <c r="CF99" s="175"/>
      <c r="CG99" s="175"/>
      <c r="CH99" s="175"/>
      <c r="CI99" s="175"/>
      <c r="CJ99" s="175"/>
      <c r="CK99" s="175"/>
      <c r="CL99" s="175"/>
      <c r="CM99" s="175"/>
      <c r="CN99" s="175"/>
      <c r="CO99" s="175"/>
      <c r="CP99" s="175"/>
      <c r="CQ99" s="175"/>
      <c r="CR99" s="175"/>
      <c r="CS99" s="175"/>
    </row>
    <row r="100" spans="66:97" ht="18" hidden="1" customHeight="1">
      <c r="BN100" s="175"/>
      <c r="BO100" s="175"/>
      <c r="BP100" s="175"/>
      <c r="BQ100" s="175"/>
      <c r="BR100" s="175"/>
      <c r="BS100" s="175"/>
      <c r="BT100" s="175"/>
      <c r="BU100" s="175"/>
      <c r="BV100" s="175"/>
      <c r="BW100" s="175"/>
      <c r="BX100" s="175"/>
      <c r="BY100" s="175"/>
      <c r="BZ100" s="175"/>
      <c r="CA100" s="175"/>
      <c r="CB100" s="175"/>
      <c r="CC100" s="175"/>
      <c r="CD100" s="175"/>
      <c r="CE100" s="175"/>
      <c r="CF100" s="175"/>
      <c r="CG100" s="175"/>
      <c r="CH100" s="175"/>
      <c r="CI100" s="175"/>
      <c r="CJ100" s="175"/>
      <c r="CK100" s="175"/>
      <c r="CL100" s="175"/>
      <c r="CM100" s="175"/>
      <c r="CN100" s="175"/>
      <c r="CO100" s="175"/>
      <c r="CP100" s="175"/>
      <c r="CQ100" s="175"/>
      <c r="CR100" s="175"/>
      <c r="CS100" s="175"/>
    </row>
    <row r="101" spans="66:97" ht="18" hidden="1" customHeight="1">
      <c r="BN101" s="175"/>
      <c r="BO101" s="175"/>
      <c r="BP101" s="175"/>
      <c r="BQ101" s="175"/>
      <c r="BR101" s="175"/>
      <c r="BS101" s="175"/>
      <c r="BT101" s="175"/>
      <c r="BU101" s="175"/>
      <c r="BV101" s="175"/>
      <c r="BW101" s="175"/>
      <c r="BX101" s="175"/>
      <c r="BY101" s="175"/>
      <c r="BZ101" s="175"/>
      <c r="CA101" s="175"/>
      <c r="CB101" s="175"/>
      <c r="CC101" s="175"/>
      <c r="CD101" s="175"/>
      <c r="CE101" s="175"/>
      <c r="CF101" s="175"/>
      <c r="CG101" s="175"/>
      <c r="CH101" s="175"/>
      <c r="CI101" s="175"/>
      <c r="CJ101" s="175"/>
      <c r="CK101" s="175"/>
      <c r="CL101" s="175"/>
      <c r="CM101" s="175"/>
      <c r="CN101" s="175"/>
      <c r="CO101" s="175"/>
      <c r="CP101" s="175"/>
      <c r="CQ101" s="175"/>
      <c r="CR101" s="175"/>
      <c r="CS101" s="175"/>
    </row>
    <row r="102" spans="66:97" ht="18" hidden="1" customHeight="1">
      <c r="BN102" s="175"/>
      <c r="BO102" s="175"/>
      <c r="BP102" s="175"/>
      <c r="BQ102" s="175"/>
      <c r="BR102" s="175"/>
      <c r="BS102" s="175"/>
      <c r="BT102" s="175"/>
      <c r="BU102" s="175"/>
      <c r="BV102" s="175"/>
      <c r="BW102" s="175"/>
      <c r="BX102" s="175"/>
      <c r="BY102" s="175"/>
      <c r="BZ102" s="175"/>
      <c r="CA102" s="175"/>
      <c r="CB102" s="175"/>
      <c r="CC102" s="175"/>
      <c r="CD102" s="175"/>
      <c r="CE102" s="175"/>
      <c r="CF102" s="175"/>
      <c r="CG102" s="175"/>
      <c r="CH102" s="175"/>
      <c r="CI102" s="175"/>
      <c r="CJ102" s="175"/>
      <c r="CK102" s="175"/>
      <c r="CL102" s="175"/>
      <c r="CM102" s="175"/>
      <c r="CN102" s="175"/>
      <c r="CO102" s="175"/>
      <c r="CP102" s="175"/>
      <c r="CQ102" s="175"/>
      <c r="CR102" s="175"/>
      <c r="CS102" s="175"/>
    </row>
    <row r="103" spans="66:97" ht="20.100000000000001" hidden="1" customHeight="1">
      <c r="BN103" s="175"/>
      <c r="BO103" s="175"/>
      <c r="BP103" s="175"/>
      <c r="BQ103" s="175"/>
      <c r="BR103" s="175"/>
      <c r="BS103" s="175"/>
      <c r="BT103" s="175"/>
      <c r="BU103" s="175"/>
      <c r="BV103" s="175"/>
      <c r="BW103" s="175"/>
      <c r="BX103" s="175"/>
      <c r="BY103" s="175"/>
      <c r="BZ103" s="175"/>
      <c r="CA103" s="175"/>
      <c r="CB103" s="175"/>
      <c r="CC103" s="175"/>
      <c r="CD103" s="175"/>
      <c r="CE103" s="175"/>
      <c r="CF103" s="175"/>
      <c r="CG103" s="175"/>
      <c r="CH103" s="175"/>
      <c r="CI103" s="175"/>
      <c r="CJ103" s="175"/>
      <c r="CK103" s="175"/>
      <c r="CL103" s="175"/>
      <c r="CM103" s="175"/>
      <c r="CN103" s="175"/>
      <c r="CO103" s="175"/>
      <c r="CP103" s="175"/>
      <c r="CQ103" s="175"/>
      <c r="CR103" s="175"/>
      <c r="CS103" s="175"/>
    </row>
    <row r="104" spans="66:97" ht="18.95" hidden="1" customHeight="1">
      <c r="BN104" s="175"/>
      <c r="BO104" s="175"/>
      <c r="BP104" s="175"/>
      <c r="BQ104" s="175"/>
      <c r="BR104" s="175"/>
      <c r="BS104" s="175"/>
      <c r="BT104" s="175"/>
      <c r="BU104" s="175"/>
      <c r="BV104" s="175"/>
      <c r="BW104" s="175"/>
      <c r="BX104" s="175"/>
      <c r="BY104" s="175"/>
      <c r="BZ104" s="175"/>
      <c r="CA104" s="175"/>
      <c r="CB104" s="175"/>
      <c r="CC104" s="175"/>
      <c r="CD104" s="175"/>
      <c r="CE104" s="175"/>
      <c r="CF104" s="175"/>
      <c r="CG104" s="175"/>
      <c r="CH104" s="175"/>
      <c r="CI104" s="175"/>
      <c r="CJ104" s="175"/>
      <c r="CK104" s="175"/>
      <c r="CL104" s="175"/>
      <c r="CM104" s="175"/>
      <c r="CN104" s="175"/>
      <c r="CO104" s="175"/>
      <c r="CP104" s="175"/>
      <c r="CQ104" s="175"/>
      <c r="CR104" s="175"/>
      <c r="CS104" s="175"/>
    </row>
    <row r="105" spans="66:97" ht="18.95" hidden="1" customHeight="1">
      <c r="BN105" s="175"/>
      <c r="BO105" s="175"/>
      <c r="BP105" s="175"/>
      <c r="BQ105" s="175"/>
      <c r="BR105" s="175"/>
      <c r="BS105" s="175"/>
      <c r="BT105" s="175"/>
      <c r="BU105" s="175"/>
      <c r="BV105" s="175"/>
      <c r="BW105" s="175"/>
      <c r="BX105" s="175"/>
      <c r="BY105" s="175"/>
      <c r="BZ105" s="175"/>
      <c r="CA105" s="175"/>
      <c r="CB105" s="175"/>
      <c r="CC105" s="175"/>
      <c r="CD105" s="175"/>
      <c r="CE105" s="175"/>
      <c r="CF105" s="175"/>
      <c r="CG105" s="175"/>
      <c r="CH105" s="175"/>
      <c r="CI105" s="175"/>
      <c r="CJ105" s="175"/>
      <c r="CK105" s="175"/>
      <c r="CL105" s="175"/>
      <c r="CM105" s="175"/>
      <c r="CN105" s="175"/>
      <c r="CO105" s="175"/>
      <c r="CP105" s="175"/>
      <c r="CQ105" s="175"/>
      <c r="CR105" s="175"/>
      <c r="CS105" s="175"/>
    </row>
    <row r="106" spans="66:97" ht="18.95" hidden="1" customHeight="1">
      <c r="BN106" s="175"/>
      <c r="BO106" s="175"/>
      <c r="BP106" s="175"/>
      <c r="BQ106" s="175"/>
      <c r="BR106" s="175"/>
      <c r="BS106" s="175"/>
      <c r="BT106" s="175"/>
      <c r="BU106" s="175"/>
      <c r="BV106" s="175"/>
      <c r="BW106" s="175"/>
      <c r="BX106" s="175"/>
      <c r="BY106" s="175"/>
      <c r="BZ106" s="175"/>
      <c r="CA106" s="175"/>
      <c r="CB106" s="175"/>
      <c r="CC106" s="175"/>
      <c r="CD106" s="175"/>
      <c r="CE106" s="175"/>
      <c r="CF106" s="175"/>
      <c r="CG106" s="175"/>
      <c r="CH106" s="175"/>
      <c r="CI106" s="175"/>
      <c r="CJ106" s="175"/>
      <c r="CK106" s="175"/>
      <c r="CL106" s="175"/>
      <c r="CM106" s="175"/>
      <c r="CN106" s="175"/>
      <c r="CO106" s="175"/>
      <c r="CP106" s="175"/>
      <c r="CQ106" s="175"/>
      <c r="CR106" s="175"/>
      <c r="CS106" s="175"/>
    </row>
    <row r="107" spans="66:97" ht="18.95" hidden="1" customHeight="1">
      <c r="BN107" s="175"/>
      <c r="BO107" s="175"/>
      <c r="BP107" s="175"/>
      <c r="BQ107" s="175"/>
      <c r="BR107" s="175"/>
      <c r="BS107" s="175"/>
      <c r="BT107" s="175"/>
      <c r="BU107" s="175"/>
      <c r="BV107" s="175"/>
      <c r="BW107" s="175"/>
      <c r="BX107" s="175"/>
      <c r="BY107" s="175"/>
      <c r="BZ107" s="175"/>
      <c r="CA107" s="175"/>
      <c r="CB107" s="175"/>
      <c r="CC107" s="175"/>
      <c r="CD107" s="175"/>
      <c r="CE107" s="175"/>
      <c r="CF107" s="175"/>
      <c r="CG107" s="175"/>
      <c r="CH107" s="175"/>
      <c r="CI107" s="175"/>
      <c r="CJ107" s="175"/>
      <c r="CK107" s="175"/>
      <c r="CL107" s="175"/>
      <c r="CM107" s="175"/>
      <c r="CN107" s="175"/>
      <c r="CO107" s="175"/>
      <c r="CP107" s="175"/>
      <c r="CQ107" s="175"/>
      <c r="CR107" s="175"/>
      <c r="CS107" s="175"/>
    </row>
    <row r="108" spans="66:97" ht="18.95" hidden="1" customHeight="1">
      <c r="BN108" s="175"/>
      <c r="BO108" s="175"/>
      <c r="BP108" s="175"/>
      <c r="BQ108" s="175"/>
      <c r="BR108" s="175"/>
      <c r="BS108" s="175"/>
      <c r="BT108" s="175"/>
      <c r="BU108" s="175"/>
      <c r="BV108" s="175"/>
      <c r="BW108" s="175"/>
      <c r="BX108" s="175"/>
      <c r="BY108" s="175"/>
      <c r="BZ108" s="175"/>
      <c r="CA108" s="175"/>
      <c r="CB108" s="175"/>
      <c r="CC108" s="175"/>
      <c r="CD108" s="175"/>
      <c r="CE108" s="175"/>
      <c r="CF108" s="175"/>
      <c r="CG108" s="175"/>
      <c r="CH108" s="175"/>
      <c r="CI108" s="175"/>
      <c r="CJ108" s="175"/>
      <c r="CK108" s="175"/>
      <c r="CL108" s="175"/>
      <c r="CM108" s="175"/>
      <c r="CN108" s="175"/>
      <c r="CO108" s="175"/>
      <c r="CP108" s="175"/>
      <c r="CQ108" s="175"/>
      <c r="CR108" s="175"/>
      <c r="CS108" s="175"/>
    </row>
    <row r="109" spans="66:97" ht="18.95" hidden="1" customHeight="1">
      <c r="BN109" s="175"/>
      <c r="BO109" s="175"/>
      <c r="BP109" s="175"/>
      <c r="BQ109" s="175"/>
      <c r="BR109" s="175"/>
      <c r="BS109" s="175"/>
      <c r="BT109" s="175"/>
      <c r="BU109" s="175"/>
      <c r="BV109" s="175"/>
      <c r="BW109" s="175"/>
      <c r="BX109" s="175"/>
      <c r="BY109" s="175"/>
      <c r="BZ109" s="175"/>
      <c r="CA109" s="175"/>
      <c r="CB109" s="175"/>
      <c r="CC109" s="175"/>
      <c r="CD109" s="175"/>
      <c r="CE109" s="175"/>
      <c r="CF109" s="175"/>
      <c r="CG109" s="175"/>
      <c r="CH109" s="175"/>
      <c r="CI109" s="175"/>
      <c r="CJ109" s="175"/>
      <c r="CK109" s="175"/>
      <c r="CL109" s="175"/>
      <c r="CM109" s="175"/>
      <c r="CN109" s="175"/>
      <c r="CO109" s="175"/>
      <c r="CP109" s="175"/>
      <c r="CQ109" s="175"/>
      <c r="CR109" s="175"/>
      <c r="CS109" s="175"/>
    </row>
    <row r="110" spans="66:97" ht="18.95" hidden="1" customHeight="1">
      <c r="BN110" s="175"/>
      <c r="BO110" s="175"/>
      <c r="BP110" s="175"/>
      <c r="BQ110" s="175"/>
      <c r="BR110" s="175"/>
      <c r="BS110" s="175"/>
      <c r="BT110" s="175"/>
      <c r="BU110" s="175"/>
      <c r="BV110" s="175"/>
      <c r="BW110" s="175"/>
      <c r="BX110" s="175"/>
      <c r="BY110" s="175"/>
      <c r="BZ110" s="175"/>
      <c r="CA110" s="175"/>
      <c r="CB110" s="175"/>
      <c r="CC110" s="175"/>
      <c r="CD110" s="175"/>
      <c r="CE110" s="175"/>
      <c r="CF110" s="175"/>
      <c r="CG110" s="175"/>
      <c r="CH110" s="175"/>
      <c r="CI110" s="175"/>
      <c r="CJ110" s="175"/>
      <c r="CK110" s="175"/>
      <c r="CL110" s="175"/>
      <c r="CM110" s="175"/>
      <c r="CN110" s="175"/>
      <c r="CO110" s="175"/>
      <c r="CP110" s="175"/>
      <c r="CQ110" s="175"/>
      <c r="CR110" s="175"/>
      <c r="CS110" s="175"/>
    </row>
    <row r="111" spans="66:97" ht="18.95" hidden="1" customHeight="1">
      <c r="BN111" s="175"/>
      <c r="BO111" s="175"/>
      <c r="BP111" s="175"/>
      <c r="BQ111" s="175"/>
      <c r="BR111" s="175"/>
      <c r="BS111" s="175"/>
      <c r="BT111" s="175"/>
      <c r="BU111" s="175"/>
      <c r="BV111" s="175"/>
      <c r="BW111" s="175"/>
      <c r="BX111" s="175"/>
      <c r="BY111" s="175"/>
      <c r="BZ111" s="175"/>
      <c r="CA111" s="175"/>
      <c r="CB111" s="175"/>
      <c r="CC111" s="175"/>
      <c r="CD111" s="175"/>
      <c r="CE111" s="175"/>
      <c r="CF111" s="175"/>
      <c r="CG111" s="175"/>
      <c r="CH111" s="175"/>
      <c r="CI111" s="175"/>
      <c r="CJ111" s="175"/>
      <c r="CK111" s="175"/>
      <c r="CL111" s="175"/>
      <c r="CM111" s="175"/>
      <c r="CN111" s="175"/>
      <c r="CO111" s="175"/>
      <c r="CP111" s="175"/>
      <c r="CQ111" s="175"/>
      <c r="CR111" s="175"/>
      <c r="CS111" s="175"/>
    </row>
    <row r="112" spans="66:97" ht="18.95" hidden="1" customHeight="1">
      <c r="BN112" s="175"/>
      <c r="BO112" s="175"/>
      <c r="BP112" s="175"/>
      <c r="BQ112" s="175"/>
      <c r="BR112" s="175"/>
      <c r="BS112" s="175"/>
      <c r="BT112" s="175"/>
      <c r="BU112" s="175"/>
      <c r="BV112" s="175"/>
      <c r="BW112" s="175"/>
      <c r="BX112" s="175"/>
      <c r="BY112" s="175"/>
      <c r="BZ112" s="175"/>
      <c r="CA112" s="175"/>
      <c r="CB112" s="175"/>
      <c r="CC112" s="175"/>
      <c r="CD112" s="175"/>
      <c r="CE112" s="175"/>
      <c r="CF112" s="175"/>
      <c r="CG112" s="175"/>
      <c r="CH112" s="175"/>
      <c r="CI112" s="175"/>
      <c r="CJ112" s="175"/>
      <c r="CK112" s="175"/>
      <c r="CL112" s="175"/>
      <c r="CM112" s="175"/>
      <c r="CN112" s="175"/>
      <c r="CO112" s="175"/>
      <c r="CP112" s="175"/>
      <c r="CQ112" s="175"/>
      <c r="CR112" s="175"/>
      <c r="CS112" s="175"/>
    </row>
    <row r="113" spans="66:97" ht="18.95" hidden="1" customHeight="1">
      <c r="BN113" s="175"/>
      <c r="BO113" s="175"/>
      <c r="BP113" s="175"/>
      <c r="BQ113" s="175"/>
      <c r="BR113" s="175"/>
      <c r="BS113" s="175"/>
      <c r="BT113" s="175"/>
      <c r="BU113" s="175"/>
      <c r="BV113" s="175"/>
      <c r="BW113" s="175"/>
      <c r="BX113" s="175"/>
      <c r="BY113" s="175"/>
      <c r="BZ113" s="175"/>
      <c r="CA113" s="175"/>
      <c r="CB113" s="175"/>
      <c r="CC113" s="175"/>
      <c r="CD113" s="175"/>
      <c r="CE113" s="175"/>
      <c r="CF113" s="175"/>
      <c r="CG113" s="175"/>
      <c r="CH113" s="175"/>
      <c r="CI113" s="175"/>
      <c r="CJ113" s="175"/>
      <c r="CK113" s="175"/>
      <c r="CL113" s="175"/>
      <c r="CM113" s="175"/>
      <c r="CN113" s="175"/>
      <c r="CO113" s="175"/>
      <c r="CP113" s="175"/>
      <c r="CQ113" s="175"/>
      <c r="CR113" s="175"/>
      <c r="CS113" s="175"/>
    </row>
    <row r="114" spans="66:97" ht="18.95" hidden="1" customHeight="1">
      <c r="BN114" s="175"/>
      <c r="BO114" s="175"/>
      <c r="BP114" s="175"/>
      <c r="BQ114" s="175"/>
      <c r="BR114" s="175"/>
      <c r="BS114" s="175"/>
      <c r="BT114" s="175"/>
      <c r="BU114" s="175"/>
      <c r="BV114" s="175"/>
      <c r="BW114" s="175"/>
      <c r="BX114" s="175"/>
      <c r="BY114" s="175"/>
      <c r="BZ114" s="175"/>
      <c r="CA114" s="175"/>
      <c r="CB114" s="175"/>
      <c r="CC114" s="175"/>
      <c r="CD114" s="175"/>
      <c r="CE114" s="175"/>
      <c r="CF114" s="175"/>
      <c r="CG114" s="175"/>
      <c r="CH114" s="175"/>
      <c r="CI114" s="175"/>
      <c r="CJ114" s="175"/>
      <c r="CK114" s="175"/>
      <c r="CL114" s="175"/>
      <c r="CM114" s="175"/>
      <c r="CN114" s="175"/>
      <c r="CO114" s="175"/>
      <c r="CP114" s="175"/>
      <c r="CQ114" s="175"/>
      <c r="CR114" s="175"/>
      <c r="CS114" s="175"/>
    </row>
    <row r="115" spans="66:97" hidden="1">
      <c r="BN115" s="175"/>
      <c r="BO115" s="175"/>
      <c r="BP115" s="175"/>
      <c r="BQ115" s="175"/>
      <c r="BR115" s="175"/>
      <c r="BS115" s="175"/>
      <c r="BT115" s="175"/>
      <c r="BU115" s="175"/>
      <c r="BV115" s="175"/>
      <c r="BW115" s="175"/>
      <c r="BX115" s="175"/>
      <c r="BY115" s="175"/>
      <c r="BZ115" s="175"/>
      <c r="CA115" s="175"/>
      <c r="CB115" s="175"/>
      <c r="CC115" s="175"/>
      <c r="CD115" s="175"/>
      <c r="CE115" s="175"/>
      <c r="CF115" s="175"/>
      <c r="CG115" s="175"/>
      <c r="CH115" s="175"/>
      <c r="CI115" s="175"/>
      <c r="CJ115" s="175"/>
      <c r="CK115" s="175"/>
      <c r="CL115" s="175"/>
      <c r="CM115" s="175"/>
      <c r="CN115" s="175"/>
      <c r="CO115" s="175"/>
      <c r="CP115" s="175"/>
      <c r="CQ115" s="175"/>
      <c r="CR115" s="175"/>
      <c r="CS115" s="175"/>
    </row>
    <row r="116" spans="66:97" hidden="1">
      <c r="BN116" s="175"/>
      <c r="BO116" s="175"/>
      <c r="BP116" s="175"/>
      <c r="BQ116" s="175"/>
      <c r="BR116" s="175"/>
      <c r="BS116" s="175"/>
      <c r="BT116" s="175"/>
      <c r="BU116" s="175"/>
      <c r="BV116" s="175"/>
      <c r="BW116" s="175"/>
      <c r="BX116" s="175"/>
      <c r="BY116" s="175"/>
      <c r="BZ116" s="175"/>
      <c r="CA116" s="175"/>
      <c r="CB116" s="175"/>
      <c r="CC116" s="175"/>
      <c r="CD116" s="175"/>
      <c r="CE116" s="175"/>
      <c r="CF116" s="175"/>
      <c r="CG116" s="175"/>
      <c r="CH116" s="175"/>
      <c r="CI116" s="175"/>
      <c r="CJ116" s="175"/>
      <c r="CK116" s="175"/>
      <c r="CL116" s="175"/>
      <c r="CM116" s="175"/>
      <c r="CN116" s="175"/>
      <c r="CO116" s="175"/>
      <c r="CP116" s="175"/>
      <c r="CQ116" s="175"/>
      <c r="CR116" s="175"/>
      <c r="CS116" s="175"/>
    </row>
    <row r="117" spans="66:97" hidden="1">
      <c r="BN117" s="175"/>
      <c r="BO117" s="175"/>
      <c r="BP117" s="175"/>
      <c r="BQ117" s="175"/>
      <c r="BR117" s="175"/>
      <c r="BS117" s="175"/>
      <c r="BT117" s="175"/>
      <c r="BU117" s="175"/>
      <c r="BV117" s="175"/>
      <c r="BW117" s="175"/>
      <c r="BX117" s="175"/>
      <c r="BY117" s="175"/>
      <c r="BZ117" s="175"/>
      <c r="CA117" s="175"/>
      <c r="CB117" s="175"/>
      <c r="CC117" s="175"/>
      <c r="CD117" s="175"/>
      <c r="CE117" s="175"/>
      <c r="CF117" s="175"/>
      <c r="CG117" s="175"/>
      <c r="CH117" s="175"/>
      <c r="CI117" s="175"/>
      <c r="CJ117" s="175"/>
      <c r="CK117" s="175"/>
      <c r="CL117" s="175"/>
      <c r="CM117" s="175"/>
      <c r="CN117" s="175"/>
      <c r="CO117" s="175"/>
      <c r="CP117" s="175"/>
      <c r="CQ117" s="175"/>
      <c r="CR117" s="175"/>
      <c r="CS117" s="175"/>
    </row>
    <row r="118" spans="66:97" hidden="1">
      <c r="BN118" s="175"/>
      <c r="BO118" s="175"/>
      <c r="BP118" s="175"/>
      <c r="BQ118" s="175"/>
      <c r="BR118" s="175"/>
      <c r="BS118" s="175"/>
      <c r="BT118" s="175"/>
      <c r="BU118" s="175"/>
      <c r="BV118" s="175"/>
      <c r="BW118" s="175"/>
      <c r="BX118" s="175"/>
      <c r="BY118" s="175"/>
      <c r="BZ118" s="175"/>
      <c r="CA118" s="175"/>
      <c r="CB118" s="175"/>
      <c r="CC118" s="175"/>
      <c r="CD118" s="175"/>
      <c r="CE118" s="175"/>
      <c r="CF118" s="175"/>
      <c r="CG118" s="175"/>
      <c r="CH118" s="175"/>
      <c r="CI118" s="175"/>
      <c r="CJ118" s="175"/>
      <c r="CK118" s="175"/>
      <c r="CL118" s="175"/>
      <c r="CM118" s="175"/>
      <c r="CN118" s="175"/>
      <c r="CO118" s="175"/>
      <c r="CP118" s="175"/>
      <c r="CQ118" s="175"/>
      <c r="CR118" s="175"/>
      <c r="CS118" s="175"/>
    </row>
  </sheetData>
  <mergeCells count="340">
    <mergeCell ref="B30:O30"/>
    <mergeCell ref="EY2:FB3"/>
    <mergeCell ref="EX4:FA6"/>
    <mergeCell ref="EX9:FA14"/>
    <mergeCell ref="EX7:FA8"/>
    <mergeCell ref="EX17:FA21"/>
    <mergeCell ref="BV25:BX25"/>
    <mergeCell ref="BY24:CC24"/>
    <mergeCell ref="BY25:CC25"/>
    <mergeCell ref="BN26:BU26"/>
    <mergeCell ref="BV26:BX26"/>
    <mergeCell ref="BY26:CC26"/>
    <mergeCell ref="CG22:CK22"/>
    <mergeCell ref="CG55:CK55"/>
    <mergeCell ref="CL24:CN24"/>
    <mergeCell ref="CG25:CK25"/>
    <mergeCell ref="CL33:CO33"/>
    <mergeCell ref="CO55:CS55"/>
    <mergeCell ref="CL55:CN55"/>
    <mergeCell ref="BV39:CC39"/>
    <mergeCell ref="CD39:CK39"/>
    <mergeCell ref="CL39:CS39"/>
    <mergeCell ref="BV55:BX55"/>
    <mergeCell ref="BY55:CC55"/>
    <mergeCell ref="CD55:CF55"/>
    <mergeCell ref="CL35:CS35"/>
    <mergeCell ref="BV29:CC29"/>
    <mergeCell ref="BV34:CC34"/>
    <mergeCell ref="BV24:BX24"/>
    <mergeCell ref="CH32:CK32"/>
    <mergeCell ref="CL32:CO32"/>
    <mergeCell ref="AF30:AU30"/>
    <mergeCell ref="BN12:BU12"/>
    <mergeCell ref="V21:AE21"/>
    <mergeCell ref="AF21:AK21"/>
    <mergeCell ref="AL21:AU21"/>
    <mergeCell ref="AV21:BA21"/>
    <mergeCell ref="BB21:BK21"/>
    <mergeCell ref="BN21:BU21"/>
    <mergeCell ref="H12:S12"/>
    <mergeCell ref="T12:Y12"/>
    <mergeCell ref="Z12:AK12"/>
    <mergeCell ref="P21:U21"/>
    <mergeCell ref="V22:AE22"/>
    <mergeCell ref="AL22:AU22"/>
    <mergeCell ref="AL12:AT12"/>
    <mergeCell ref="AU12:BK12"/>
    <mergeCell ref="AV17:BK17"/>
    <mergeCell ref="P25:AE25"/>
    <mergeCell ref="V24:AE24"/>
    <mergeCell ref="P26:AE26"/>
    <mergeCell ref="P27:AE27"/>
    <mergeCell ref="P30:AE30"/>
    <mergeCell ref="AF27:AU27"/>
    <mergeCell ref="AF26:AU26"/>
    <mergeCell ref="CL25:CN25"/>
    <mergeCell ref="CD18:CK18"/>
    <mergeCell ref="CD34:CK34"/>
    <mergeCell ref="CD32:CG32"/>
    <mergeCell ref="CP32:CS32"/>
    <mergeCell ref="CD28:CK28"/>
    <mergeCell ref="BN14:BU15"/>
    <mergeCell ref="BV14:CC15"/>
    <mergeCell ref="CD14:CK14"/>
    <mergeCell ref="CD36:CK36"/>
    <mergeCell ref="BV36:CC36"/>
    <mergeCell ref="CD23:CF23"/>
    <mergeCell ref="BV21:CC21"/>
    <mergeCell ref="CD26:CF26"/>
    <mergeCell ref="CL26:CN26"/>
    <mergeCell ref="CG26:CK26"/>
    <mergeCell ref="CO26:CS26"/>
    <mergeCell ref="CG23:CK23"/>
    <mergeCell ref="BV35:CC35"/>
    <mergeCell ref="BV33:BY33"/>
    <mergeCell ref="BZ33:CC33"/>
    <mergeCell ref="CD33:CG33"/>
    <mergeCell ref="CL34:CS34"/>
    <mergeCell ref="CL36:CS36"/>
    <mergeCell ref="CD35:CK35"/>
    <mergeCell ref="CD29:CK29"/>
    <mergeCell ref="CH33:CK33"/>
    <mergeCell ref="CD24:CF24"/>
    <mergeCell ref="CD25:CF25"/>
    <mergeCell ref="BV30:CS30"/>
    <mergeCell ref="CP33:CS33"/>
    <mergeCell ref="BV28:CC28"/>
    <mergeCell ref="CO25:CS25"/>
    <mergeCell ref="CP11:CS11"/>
    <mergeCell ref="BV8:CC8"/>
    <mergeCell ref="BN11:BU11"/>
    <mergeCell ref="CD9:CK9"/>
    <mergeCell ref="BN23:BU23"/>
    <mergeCell ref="BV22:BX22"/>
    <mergeCell ref="BY22:CC22"/>
    <mergeCell ref="CO24:CS24"/>
    <mergeCell ref="CP10:CS10"/>
    <mergeCell ref="CD8:CK8"/>
    <mergeCell ref="BN9:CC10"/>
    <mergeCell ref="BN8:BU8"/>
    <mergeCell ref="CL18:CS18"/>
    <mergeCell ref="CL12:CO12"/>
    <mergeCell ref="CP12:CS12"/>
    <mergeCell ref="CL15:CS15"/>
    <mergeCell ref="CL13:CS13"/>
    <mergeCell ref="CD15:CK15"/>
    <mergeCell ref="CO22:CS22"/>
    <mergeCell ref="CL11:CO11"/>
    <mergeCell ref="CD10:CK10"/>
    <mergeCell ref="CF12:CK12"/>
    <mergeCell ref="BN13:BU13"/>
    <mergeCell ref="CP9:CS9"/>
    <mergeCell ref="BZ32:CC32"/>
    <mergeCell ref="BV19:CC19"/>
    <mergeCell ref="BN17:BU17"/>
    <mergeCell ref="BN20:BU20"/>
    <mergeCell ref="BV20:CC20"/>
    <mergeCell ref="BN55:BU55"/>
    <mergeCell ref="BN22:BU22"/>
    <mergeCell ref="BN28:BO30"/>
    <mergeCell ref="BP28:BU28"/>
    <mergeCell ref="BP29:BU29"/>
    <mergeCell ref="BP30:BU30"/>
    <mergeCell ref="BN25:BU25"/>
    <mergeCell ref="BN32:BQ32"/>
    <mergeCell ref="BN39:BU40"/>
    <mergeCell ref="BR33:BU33"/>
    <mergeCell ref="CL7:CS7"/>
    <mergeCell ref="CD3:CK3"/>
    <mergeCell ref="BN7:BU7"/>
    <mergeCell ref="CL3:CP3"/>
    <mergeCell ref="CQ3:CS3"/>
    <mergeCell ref="BV3:CC3"/>
    <mergeCell ref="BN4:BU4"/>
    <mergeCell ref="BV4:CC4"/>
    <mergeCell ref="BV7:CC7"/>
    <mergeCell ref="BV6:CC6"/>
    <mergeCell ref="CD7:CK7"/>
    <mergeCell ref="CD4:CK4"/>
    <mergeCell ref="BN6:BU6"/>
    <mergeCell ref="CL6:CO6"/>
    <mergeCell ref="CP6:CS6"/>
    <mergeCell ref="CP1:CS1"/>
    <mergeCell ref="BN33:BQ33"/>
    <mergeCell ref="BR32:BU32"/>
    <mergeCell ref="CL29:CS29"/>
    <mergeCell ref="BN19:BU19"/>
    <mergeCell ref="CD20:CK20"/>
    <mergeCell ref="CL20:CS20"/>
    <mergeCell ref="CD19:CK19"/>
    <mergeCell ref="CL19:CS19"/>
    <mergeCell ref="CG24:CK24"/>
    <mergeCell ref="CD21:CK21"/>
    <mergeCell ref="CL21:CS21"/>
    <mergeCell ref="CL28:CS28"/>
    <mergeCell ref="BN24:BU24"/>
    <mergeCell ref="BV23:BX23"/>
    <mergeCell ref="BY23:CC23"/>
    <mergeCell ref="CL2:CS2"/>
    <mergeCell ref="CL4:CS4"/>
    <mergeCell ref="CL10:CO10"/>
    <mergeCell ref="BN2:BU2"/>
    <mergeCell ref="CL8:CS8"/>
    <mergeCell ref="CL9:CO9"/>
    <mergeCell ref="BV2:CC2"/>
    <mergeCell ref="BN3:BU3"/>
    <mergeCell ref="B10:G10"/>
    <mergeCell ref="B6:G7"/>
    <mergeCell ref="H6:AA7"/>
    <mergeCell ref="AB6:AE7"/>
    <mergeCell ref="B11:G11"/>
    <mergeCell ref="H10:S10"/>
    <mergeCell ref="AC10:BK10"/>
    <mergeCell ref="CD2:CK2"/>
    <mergeCell ref="CD6:CK6"/>
    <mergeCell ref="CF11:CK11"/>
    <mergeCell ref="T10:AB10"/>
    <mergeCell ref="AO6:AV6"/>
    <mergeCell ref="AO7:AV7"/>
    <mergeCell ref="BD6:BK6"/>
    <mergeCell ref="BD7:BK7"/>
    <mergeCell ref="AH7:AN7"/>
    <mergeCell ref="AW7:BC7"/>
    <mergeCell ref="AH6:AN6"/>
    <mergeCell ref="CD11:CE12"/>
    <mergeCell ref="BV11:CC11"/>
    <mergeCell ref="BE11:BK11"/>
    <mergeCell ref="AR11:AX11"/>
    <mergeCell ref="BV12:CC12"/>
    <mergeCell ref="AW6:BC6"/>
    <mergeCell ref="H11:AK11"/>
    <mergeCell ref="AL11:AQ11"/>
    <mergeCell ref="AC43:AI43"/>
    <mergeCell ref="AJ43:AP43"/>
    <mergeCell ref="AQ43:AW43"/>
    <mergeCell ref="AX43:BD43"/>
    <mergeCell ref="BE43:BK43"/>
    <mergeCell ref="AF16:AU16"/>
    <mergeCell ref="AV16:BK16"/>
    <mergeCell ref="P28:AE29"/>
    <mergeCell ref="AF28:AU29"/>
    <mergeCell ref="AV28:BK29"/>
    <mergeCell ref="P24:U24"/>
    <mergeCell ref="AJ33:AP33"/>
    <mergeCell ref="AQ33:AW33"/>
    <mergeCell ref="AV30:BK30"/>
    <mergeCell ref="O34:U34"/>
    <mergeCell ref="AX36:AZ36"/>
    <mergeCell ref="AF23:AK23"/>
    <mergeCell ref="AV22:BA22"/>
    <mergeCell ref="AQ40:AW40"/>
    <mergeCell ref="AY11:BD11"/>
    <mergeCell ref="BB23:BK23"/>
    <mergeCell ref="G22:O22"/>
    <mergeCell ref="BV13:CC13"/>
    <mergeCell ref="CD13:CK13"/>
    <mergeCell ref="CO23:CS23"/>
    <mergeCell ref="CL23:CN23"/>
    <mergeCell ref="CL22:CN22"/>
    <mergeCell ref="AF19:AU19"/>
    <mergeCell ref="AF22:AK22"/>
    <mergeCell ref="CD22:CF22"/>
    <mergeCell ref="AV18:BK18"/>
    <mergeCell ref="AV19:BK19"/>
    <mergeCell ref="AV20:BK20"/>
    <mergeCell ref="AF17:AU17"/>
    <mergeCell ref="AF18:AU18"/>
    <mergeCell ref="BN18:BU18"/>
    <mergeCell ref="BV18:CC18"/>
    <mergeCell ref="AL23:AU23"/>
    <mergeCell ref="EX15:FA16"/>
    <mergeCell ref="BV40:CC40"/>
    <mergeCell ref="CD40:CK40"/>
    <mergeCell ref="BN36:BU36"/>
    <mergeCell ref="AV23:BA23"/>
    <mergeCell ref="CL14:CS14"/>
    <mergeCell ref="BB22:BK22"/>
    <mergeCell ref="AF20:AU20"/>
    <mergeCell ref="BV17:CC17"/>
    <mergeCell ref="CD17:CK17"/>
    <mergeCell ref="CL17:CS17"/>
    <mergeCell ref="BN35:BU35"/>
    <mergeCell ref="BN34:BU34"/>
    <mergeCell ref="AX40:BD40"/>
    <mergeCell ref="BE40:BK40"/>
    <mergeCell ref="AX37:BK37"/>
    <mergeCell ref="AC37:AP37"/>
    <mergeCell ref="AQ35:AW37"/>
    <mergeCell ref="AC36:AE36"/>
    <mergeCell ref="AF35:AP35"/>
    <mergeCell ref="AF36:AP36"/>
    <mergeCell ref="AJ40:AP40"/>
    <mergeCell ref="CL40:CS40"/>
    <mergeCell ref="BV32:BY32"/>
    <mergeCell ref="B57:BK57"/>
    <mergeCell ref="AH56:AQ56"/>
    <mergeCell ref="W56:AG56"/>
    <mergeCell ref="L56:V56"/>
    <mergeCell ref="L53:BK53"/>
    <mergeCell ref="L52:BK52"/>
    <mergeCell ref="L55:BK55"/>
    <mergeCell ref="L54:BK54"/>
    <mergeCell ref="B52:K52"/>
    <mergeCell ref="B53:K53"/>
    <mergeCell ref="B55:K55"/>
    <mergeCell ref="B54:K54"/>
    <mergeCell ref="B56:K56"/>
    <mergeCell ref="AJ41:AP41"/>
    <mergeCell ref="B42:N42"/>
    <mergeCell ref="AC40:AI40"/>
    <mergeCell ref="O40:AB40"/>
    <mergeCell ref="O43:AB43"/>
    <mergeCell ref="B43:N43"/>
    <mergeCell ref="BE42:BK42"/>
    <mergeCell ref="AX42:BD42"/>
    <mergeCell ref="B40:N40"/>
    <mergeCell ref="O42:AB42"/>
    <mergeCell ref="B41:N41"/>
    <mergeCell ref="O41:AB41"/>
    <mergeCell ref="AC41:AI41"/>
    <mergeCell ref="AQ42:AW42"/>
    <mergeCell ref="AJ42:AP42"/>
    <mergeCell ref="AC42:AI42"/>
    <mergeCell ref="BE41:BK41"/>
    <mergeCell ref="AX41:BD41"/>
    <mergeCell ref="AQ41:AW41"/>
    <mergeCell ref="BA35:BK35"/>
    <mergeCell ref="AX35:AZ35"/>
    <mergeCell ref="BA36:BK36"/>
    <mergeCell ref="AC35:AE35"/>
    <mergeCell ref="AX33:BD33"/>
    <mergeCell ref="BE34:BK34"/>
    <mergeCell ref="AX34:BD34"/>
    <mergeCell ref="AQ34:AW34"/>
    <mergeCell ref="AC33:AI33"/>
    <mergeCell ref="BE33:BK33"/>
    <mergeCell ref="AJ34:AP34"/>
    <mergeCell ref="AC34:AI34"/>
    <mergeCell ref="AF25:AU25"/>
    <mergeCell ref="AV25:BK25"/>
    <mergeCell ref="AV27:BK27"/>
    <mergeCell ref="AV26:BK26"/>
    <mergeCell ref="G23:O23"/>
    <mergeCell ref="B24:F25"/>
    <mergeCell ref="B22:F23"/>
    <mergeCell ref="AV24:BA24"/>
    <mergeCell ref="AL24:AU24"/>
    <mergeCell ref="AF24:AK24"/>
    <mergeCell ref="P22:U22"/>
    <mergeCell ref="P23:U23"/>
    <mergeCell ref="V23:AE23"/>
    <mergeCell ref="G24:O24"/>
    <mergeCell ref="G25:O25"/>
    <mergeCell ref="G26:O26"/>
    <mergeCell ref="G27:O27"/>
    <mergeCell ref="BB24:BK24"/>
    <mergeCell ref="P16:AE16"/>
    <mergeCell ref="B18:O18"/>
    <mergeCell ref="B20:O20"/>
    <mergeCell ref="B19:O19"/>
    <mergeCell ref="B17:O17"/>
    <mergeCell ref="B16:O16"/>
    <mergeCell ref="B21:O21"/>
    <mergeCell ref="B12:G12"/>
    <mergeCell ref="B35:G37"/>
    <mergeCell ref="V34:AB34"/>
    <mergeCell ref="H34:N34"/>
    <mergeCell ref="P20:AE20"/>
    <mergeCell ref="P19:AE19"/>
    <mergeCell ref="P18:AE18"/>
    <mergeCell ref="P17:AE17"/>
    <mergeCell ref="B33:G34"/>
    <mergeCell ref="H33:N33"/>
    <mergeCell ref="O35:U37"/>
    <mergeCell ref="V35:AB37"/>
    <mergeCell ref="H35:N37"/>
    <mergeCell ref="B28:O29"/>
    <mergeCell ref="O33:U33"/>
    <mergeCell ref="B31:BK31"/>
    <mergeCell ref="V33:AB33"/>
  </mergeCells>
  <phoneticPr fontId="1" type="noConversion"/>
  <conditionalFormatting sqref="B31">
    <cfRule type="expression" dxfId="51" priority="13">
      <formula>$AV$17="반납형"</formula>
    </cfRule>
    <cfRule type="expression" dxfId="50" priority="14">
      <formula>$AF$17="반납형"</formula>
    </cfRule>
    <cfRule type="expression" dxfId="49" priority="16">
      <formula>$P$17="반납형"</formula>
    </cfRule>
  </conditionalFormatting>
  <conditionalFormatting sqref="P17 BV18">
    <cfRule type="expression" dxfId="48" priority="24">
      <formula>$BV$18="반납형"</formula>
    </cfRule>
  </conditionalFormatting>
  <conditionalFormatting sqref="P16:AE30">
    <cfRule type="expression" dxfId="47" priority="40">
      <formula>$CC$16=FALSE</formula>
    </cfRule>
  </conditionalFormatting>
  <conditionalFormatting sqref="AF17 CD18">
    <cfRule type="expression" dxfId="46" priority="23">
      <formula>$CD$18="반납형"</formula>
    </cfRule>
  </conditionalFormatting>
  <conditionalFormatting sqref="AF16:AU30">
    <cfRule type="expression" dxfId="45" priority="39">
      <formula>$CK$16=FALSE</formula>
    </cfRule>
  </conditionalFormatting>
  <conditionalFormatting sqref="AV17 CL18">
    <cfRule type="expression" dxfId="44" priority="22">
      <formula>$CL$18="반납형"</formula>
    </cfRule>
  </conditionalFormatting>
  <conditionalFormatting sqref="AV16:BK30">
    <cfRule type="expression" dxfId="43" priority="38">
      <formula>$CS$16=FALSE</formula>
    </cfRule>
  </conditionalFormatting>
  <conditionalFormatting sqref="BV26:CC26">
    <cfRule type="expression" dxfId="42" priority="28">
      <formula>$BV$18="반납형"</formula>
    </cfRule>
  </conditionalFormatting>
  <conditionalFormatting sqref="BV29:CC29">
    <cfRule type="expression" dxfId="41" priority="42">
      <formula>$BV$2="개인"</formula>
    </cfRule>
  </conditionalFormatting>
  <conditionalFormatting sqref="BV40:CC40">
    <cfRule type="expression" priority="33">
      <formula>IF($BV$6="특판","특판","특판")</formula>
    </cfRule>
  </conditionalFormatting>
  <conditionalFormatting sqref="BV40:CK40">
    <cfRule type="expression" dxfId="40" priority="36">
      <formula>$BV$6="특판"</formula>
    </cfRule>
  </conditionalFormatting>
  <conditionalFormatting sqref="BY26">
    <cfRule type="expression" dxfId="39" priority="32">
      <formula>$BY$26&gt;0</formula>
    </cfRule>
  </conditionalFormatting>
  <conditionalFormatting sqref="CD26:CK26">
    <cfRule type="expression" dxfId="38" priority="27">
      <formula>$CD$18="반납형"</formula>
    </cfRule>
  </conditionalFormatting>
  <conditionalFormatting sqref="CG26">
    <cfRule type="expression" dxfId="37" priority="31">
      <formula>$CG$26&gt;0</formula>
    </cfRule>
  </conditionalFormatting>
  <conditionalFormatting sqref="CL14">
    <cfRule type="expression" dxfId="36" priority="8">
      <formula>IF($BV$8="그랑_콜레오스",TRUE,FALSE)</formula>
    </cfRule>
  </conditionalFormatting>
  <conditionalFormatting sqref="CL7:CS8">
    <cfRule type="expression" dxfId="35" priority="41">
      <formula>$BV$6="특판"</formula>
    </cfRule>
  </conditionalFormatting>
  <conditionalFormatting sqref="CL26:CS26">
    <cfRule type="expression" dxfId="34" priority="26">
      <formula>$CL$18="반납형"</formula>
    </cfRule>
  </conditionalFormatting>
  <conditionalFormatting sqref="CO26">
    <cfRule type="expression" dxfId="33" priority="29">
      <formula>$CO$26&gt;0</formula>
    </cfRule>
  </conditionalFormatting>
  <conditionalFormatting sqref="EX7">
    <cfRule type="expression" dxfId="32" priority="3">
      <formula>$CL$13="뷰게라808 POP(32G)(선출고K8전용)"</formula>
    </cfRule>
    <cfRule type="expression" dxfId="31" priority="4">
      <formula>$CL$11="루마-GG(선출고K8전용)"</formula>
    </cfRule>
  </conditionalFormatting>
  <conditionalFormatting sqref="EX9">
    <cfRule type="expression" dxfId="30" priority="5">
      <formula>$BV$8="선출고_K8"</formula>
    </cfRule>
  </conditionalFormatting>
  <conditionalFormatting sqref="EX17">
    <cfRule type="expression" dxfId="29" priority="19">
      <formula>$CL$18="반납형"</formula>
    </cfRule>
    <cfRule type="expression" dxfId="28" priority="20">
      <formula>$CD$18="반납형"</formula>
    </cfRule>
    <cfRule type="expression" dxfId="27" priority="21">
      <formula>$BV$18="반납형"</formula>
    </cfRule>
  </conditionalFormatting>
  <conditionalFormatting sqref="EX15:FA16">
    <cfRule type="expression" dxfId="26" priority="9">
      <formula>IF(OR($BW$37=1,$CE$37=1,$CM$37=1),TRUE,FALSE)</formula>
    </cfRule>
  </conditionalFormatting>
  <conditionalFormatting sqref="EY2">
    <cfRule type="expression" dxfId="25" priority="1">
      <formula>$EY$3=2024</formula>
    </cfRule>
    <cfRule type="expression" dxfId="24" priority="2">
      <formula>$EX$3=2024</formula>
    </cfRule>
  </conditionalFormatting>
  <dataValidations xWindow="1533" yWindow="202" count="6">
    <dataValidation type="list" allowBlank="1" showInputMessage="1" showErrorMessage="1" sqref="CL11:CO11" xr:uid="{00000000-0002-0000-0200-000000000000}">
      <formula1>IF(BV8="선출고_K8",프로모션전면썬팅,용인전면썬팅)</formula1>
    </dataValidation>
    <dataValidation type="list" allowBlank="1" showInputMessage="1" showErrorMessage="1" sqref="BN9" xr:uid="{00000000-0002-0000-0200-000001000000}">
      <formula1>INDIRECT($BV$8)</formula1>
    </dataValidation>
    <dataValidation type="list" allowBlank="1" showInputMessage="1" showErrorMessage="1" sqref="BV8:CC8" xr:uid="{00000000-0002-0000-0200-000002000000}">
      <formula1>IF($BV$7="현대",현대,IF($BV$7="기아",기아,IF($BV$7="제네시스",제네시스,IF($BV$7="KG_쌍용",KG_쌍용,IF($BV$7="르노",르노,IF($BV$7="쉐보레",쉐보레))))))</formula1>
    </dataValidation>
    <dataValidation allowBlank="1" showInputMessage="1" showErrorMessage="1" errorTitle="입력 必" error="출고대리점 명 기재 필수" promptTitle="입력 必" prompt="출고대리점명 입력 필수" sqref="BV40:CC40" xr:uid="{00000000-0002-0000-0200-000003000000}"/>
    <dataValidation allowBlank="1" showInputMessage="1" showErrorMessage="1" promptTitle="입력 必" prompt="예상출고일이 최초심사시점의 특판납기일보다 늦는경우 취급불가_x000a_" sqref="CD40:CK40" xr:uid="{00000000-0002-0000-0200-000004000000}"/>
    <dataValidation type="list" allowBlank="1" showInputMessage="1" showErrorMessage="1" sqref="CL13:CS13" xr:uid="{00000000-0002-0000-0200-000005000000}">
      <formula1>IF(BV8="선출고_K8",프로모션블랙박스,용인블랙박스)</formula1>
    </dataValidation>
  </dataValidations>
  <printOptions horizontalCentered="1" verticalCentered="1"/>
  <pageMargins left="0" right="0" top="0" bottom="0" header="0.2" footer="0.2"/>
  <pageSetup paperSize="9" scale="3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locked="0" defaultSize="0" autoFill="0" autoLine="0" autoPict="0">
                <anchor>
                  <from>
                    <xdr:col>71</xdr:col>
                    <xdr:colOff>152400</xdr:colOff>
                    <xdr:row>9</xdr:row>
                    <xdr:rowOff>400050</xdr:rowOff>
                  </from>
                  <to>
                    <xdr:col>73</xdr:col>
                    <xdr:colOff>66675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Check Box 5">
              <controlPr defaultSize="0" autoFill="0" autoLine="0" autoPict="0">
                <anchor moveWithCells="1">
                  <from>
                    <xdr:col>77</xdr:col>
                    <xdr:colOff>180975</xdr:colOff>
                    <xdr:row>15</xdr:row>
                    <xdr:rowOff>228600</xdr:rowOff>
                  </from>
                  <to>
                    <xdr:col>80</xdr:col>
                    <xdr:colOff>247650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Check Box 6">
              <controlPr defaultSize="0" autoFill="0" autoLine="0" autoPict="0">
                <anchor moveWithCells="1">
                  <from>
                    <xdr:col>85</xdr:col>
                    <xdr:colOff>180975</xdr:colOff>
                    <xdr:row>15</xdr:row>
                    <xdr:rowOff>228600</xdr:rowOff>
                  </from>
                  <to>
                    <xdr:col>88</xdr:col>
                    <xdr:colOff>247650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Check Box 7">
              <controlPr defaultSize="0" autoFill="0" autoLine="0" autoPict="0">
                <anchor moveWithCells="1">
                  <from>
                    <xdr:col>93</xdr:col>
                    <xdr:colOff>171450</xdr:colOff>
                    <xdr:row>15</xdr:row>
                    <xdr:rowOff>228600</xdr:rowOff>
                  </from>
                  <to>
                    <xdr:col>153</xdr:col>
                    <xdr:colOff>38100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xWindow="1533" yWindow="202" count="23">
        <x14:dataValidation type="list" allowBlank="1" showInputMessage="1" showErrorMessage="1" xr:uid="{00000000-0002-0000-0200-000006000000}">
          <x14:formula1>
            <xm:f>기타정보!$A$3:$A$5</xm:f>
          </x14:formula1>
          <xm:sqref>BV2</xm:sqref>
        </x14:dataValidation>
        <x14:dataValidation type="list" allowBlank="1" showInputMessage="1" showErrorMessage="1" xr:uid="{00000000-0002-0000-0200-000007000000}">
          <x14:formula1>
            <xm:f>기타정보!$B$3:$B$8</xm:f>
          </x14:formula1>
          <xm:sqref>BV7:CC7</xm:sqref>
        </x14:dataValidation>
        <x14:dataValidation type="list" allowBlank="1" showInputMessage="1" showErrorMessage="1" xr:uid="{00000000-0002-0000-0200-000008000000}">
          <x14:formula1>
            <xm:f>기타정보!$C$5:$C$7</xm:f>
          </x14:formula1>
          <xm:sqref>CD20:CS20</xm:sqref>
        </x14:dataValidation>
        <x14:dataValidation type="list" allowBlank="1" showInputMessage="1" showErrorMessage="1" xr:uid="{00000000-0002-0000-0200-000009000000}">
          <x14:formula1>
            <xm:f>기타정보!$G$3:$G$4</xm:f>
          </x14:formula1>
          <xm:sqref>BV28:CC28</xm:sqref>
        </x14:dataValidation>
        <x14:dataValidation type="list" allowBlank="1" showInputMessage="1" showErrorMessage="1" xr:uid="{00000000-0002-0000-0200-00000A000000}">
          <x14:formula1>
            <xm:f>기타정보!$I$3:$I$4</xm:f>
          </x14:formula1>
          <xm:sqref>BV29:CC29</xm:sqref>
        </x14:dataValidation>
        <x14:dataValidation type="list" allowBlank="1" showInputMessage="1" showErrorMessage="1" xr:uid="{00000000-0002-0000-0200-00000B000000}">
          <x14:formula1>
            <xm:f>기타정보!$K$3:$K$4</xm:f>
          </x14:formula1>
          <xm:sqref>BR32:BU33</xm:sqref>
        </x14:dataValidation>
        <x14:dataValidation type="list" allowBlank="1" showInputMessage="1" showErrorMessage="1" xr:uid="{00000000-0002-0000-0200-00000C000000}">
          <x14:formula1>
            <xm:f>기타정보!$F$3:$F$5</xm:f>
          </x14:formula1>
          <xm:sqref>BV19:CS19</xm:sqref>
        </x14:dataValidation>
        <x14:dataValidation type="list" allowBlank="1" showInputMessage="1" showErrorMessage="1" xr:uid="{00000000-0002-0000-0200-00000D000000}">
          <x14:formula1>
            <xm:f>IF($CL$9="평택",기타정보!$P$3:$P$5,기타정보!$P$3)</xm:f>
          </x14:formula1>
          <xm:sqref>CL15:CS15</xm:sqref>
        </x14:dataValidation>
        <x14:dataValidation type="list" allowBlank="1" showInputMessage="1" showErrorMessage="1" xr:uid="{00000000-0002-0000-0200-00000E000000}">
          <x14:formula1>
            <xm:f>기타정보!$Q$3:$Q$5</xm:f>
          </x14:formula1>
          <xm:sqref>CP11:CS12</xm:sqref>
        </x14:dataValidation>
        <x14:dataValidation type="list" allowBlank="1" showInputMessage="1" showErrorMessage="1" xr:uid="{00000000-0002-0000-0200-00000F000000}">
          <x14:formula1>
            <xm:f>기타정보!$M$3:$M$19</xm:f>
          </x14:formula1>
          <xm:sqref>CP10:CS10</xm:sqref>
        </x14:dataValidation>
        <x14:dataValidation type="list" allowBlank="1" showInputMessage="1" showErrorMessage="1" xr:uid="{00000000-0002-0000-0200-000010000000}">
          <x14:formula1>
            <xm:f>기타정보!$R$4:$R$5</xm:f>
          </x14:formula1>
          <xm:sqref>CL12:CO12</xm:sqref>
        </x14:dataValidation>
        <x14:dataValidation type="list" allowBlank="1" showInputMessage="1" showErrorMessage="1" xr:uid="{00000000-0002-0000-0200-000011000000}">
          <x14:formula1>
            <xm:f>기타정보!$U$3:$U$3</xm:f>
          </x14:formula1>
          <xm:sqref>CL9:CO9</xm:sqref>
        </x14:dataValidation>
        <x14:dataValidation type="list" allowBlank="1" showInputMessage="1" showErrorMessage="1" xr:uid="{00000000-0002-0000-0200-000012000000}">
          <x14:formula1>
            <xm:f>기타정보!$E$3:$E$4</xm:f>
          </x14:formula1>
          <xm:sqref>BV6:CC6</xm:sqref>
        </x14:dataValidation>
        <x14:dataValidation type="list" allowBlank="1" showInputMessage="1" showErrorMessage="1" xr:uid="{00000000-0002-0000-0200-000013000000}">
          <x14:formula1>
            <xm:f>기타정보!$AC$3:$AC$50</xm:f>
          </x14:formula1>
          <xm:sqref>CL3:CP3</xm:sqref>
        </x14:dataValidation>
        <x14:dataValidation type="list" allowBlank="1" showInputMessage="1" showErrorMessage="1" xr:uid="{00000000-0002-0000-0200-000014000000}">
          <x14:formula1>
            <xm:f>기타정보!$L$3:$L$4</xm:f>
          </x14:formula1>
          <xm:sqref>BV18:CS18</xm:sqref>
        </x14:dataValidation>
        <x14:dataValidation type="list" allowBlank="1" showInputMessage="1" showErrorMessage="1" xr:uid="{00000000-0002-0000-0200-000015000000}">
          <x14:formula1>
            <xm:f>기타정보!$J$3:$J$4</xm:f>
          </x14:formula1>
          <xm:sqref>CL29:CS29</xm:sqref>
        </x14:dataValidation>
        <x14:dataValidation type="list" allowBlank="1" showInputMessage="1" showErrorMessage="1" xr:uid="{00000000-0002-0000-0200-000016000000}">
          <x14:formula1>
            <xm:f>기타정보!$C$5:$C$77</xm:f>
          </x14:formula1>
          <xm:sqref>BV20:CC20</xm:sqref>
        </x14:dataValidation>
        <x14:dataValidation type="list" allowBlank="1" showInputMessage="1" showErrorMessage="1" xr:uid="{00000000-0002-0000-0200-000017000000}">
          <x14:formula1>
            <xm:f>기타정보!$AE$3:$AE$4</xm:f>
          </x14:formula1>
          <xm:sqref>CL14:CS14</xm:sqref>
        </x14:dataValidation>
        <x14:dataValidation type="list" allowBlank="1" showInputMessage="1" showErrorMessage="1" xr:uid="{00000000-0002-0000-0200-000018000000}">
          <x14:formula1>
            <xm:f>기타정보!$AF$3:$AF$4</xm:f>
          </x14:formula1>
          <xm:sqref>EX3</xm:sqref>
        </x14:dataValidation>
        <x14:dataValidation type="list" allowBlank="1" showInputMessage="1" showErrorMessage="1" xr:uid="{00000000-0002-0000-0200-000019000000}">
          <x14:formula1>
            <xm:f>IF($CL$18="선택형",기타정보!$D$3:$D$9,기타정보!D3:D5)</xm:f>
          </x14:formula1>
          <xm:sqref>CL21:CS21</xm:sqref>
        </x14:dataValidation>
        <x14:dataValidation type="list" allowBlank="1" showInputMessage="1" showErrorMessage="1" xr:uid="{00000000-0002-0000-0200-00001A000000}">
          <x14:formula1>
            <xm:f>IF($BV$2="법인사업자",기타정보!$H$3:$H$4,기타정보!$H4)</xm:f>
          </x14:formula1>
          <xm:sqref>CL28:CS28</xm:sqref>
        </x14:dataValidation>
        <x14:dataValidation type="list" allowBlank="1" showInputMessage="1" showErrorMessage="1" xr:uid="{00000000-0002-0000-0200-00001B000000}">
          <x14:formula1>
            <xm:f>IF(BV18="선택형",기타정보!$D$3:$D$9,기타정보!D3:D5)</xm:f>
          </x14:formula1>
          <xm:sqref>BV21:CC21</xm:sqref>
        </x14:dataValidation>
        <x14:dataValidation type="list" allowBlank="1" showInputMessage="1" showErrorMessage="1" xr:uid="{00000000-0002-0000-0200-00001C000000}">
          <x14:formula1>
            <xm:f>IF(CD18="선택형",기타정보!$D$3:$D$9,기타정보!D3:D5)</xm:f>
          </x14:formula1>
          <xm:sqref>CD21:CK21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tabColor theme="5" tint="0.79998168889431442"/>
    <pageSetUpPr fitToPage="1"/>
  </sheetPr>
  <dimension ref="A1:M46"/>
  <sheetViews>
    <sheetView showGridLines="0" zoomScale="80" zoomScaleNormal="80" workbookViewId="0">
      <selection activeCell="BV7" sqref="BV7:CC7"/>
    </sheetView>
  </sheetViews>
  <sheetFormatPr defaultRowHeight="16.5"/>
  <cols>
    <col min="1" max="1" width="5.125" customWidth="1"/>
    <col min="2" max="2" width="13.75" customWidth="1"/>
    <col min="3" max="3" width="17.25" customWidth="1"/>
    <col min="4" max="4" width="26.875" customWidth="1"/>
    <col min="5" max="5" width="22.75" customWidth="1"/>
    <col min="6" max="6" width="19.625" customWidth="1"/>
    <col min="7" max="7" width="12.75" customWidth="1"/>
    <col min="8" max="8" width="21.125" customWidth="1"/>
  </cols>
  <sheetData>
    <row r="1" spans="1:10" ht="24.95" customHeight="1">
      <c r="A1" s="1491" t="s">
        <v>2314</v>
      </c>
      <c r="B1" s="538" t="s">
        <v>3212</v>
      </c>
      <c r="C1" s="348" t="s">
        <v>1602</v>
      </c>
      <c r="D1" s="349"/>
      <c r="E1" s="350"/>
      <c r="F1" s="351" t="s">
        <v>2272</v>
      </c>
      <c r="G1" s="347" t="s">
        <v>2273</v>
      </c>
      <c r="H1" s="329" t="s">
        <v>2276</v>
      </c>
      <c r="J1" s="110" t="s">
        <v>2274</v>
      </c>
    </row>
    <row r="2" spans="1:10" ht="24.95" customHeight="1">
      <c r="A2" s="1492"/>
      <c r="B2" s="539" t="s">
        <v>1621</v>
      </c>
      <c r="C2" s="281" t="str">
        <f>+견적!CP10</f>
        <v>서울시</v>
      </c>
      <c r="D2" s="1505" t="s">
        <v>3213</v>
      </c>
      <c r="E2" s="1506"/>
      <c r="F2" s="1506"/>
      <c r="G2" s="1506"/>
      <c r="H2" s="1507"/>
      <c r="J2" s="221" t="s">
        <v>2275</v>
      </c>
    </row>
    <row r="3" spans="1:10" ht="24.95" customHeight="1">
      <c r="A3" s="1492"/>
      <c r="B3" s="539" t="s">
        <v>2136</v>
      </c>
      <c r="C3" s="281" t="s">
        <v>2137</v>
      </c>
      <c r="D3" s="544"/>
      <c r="E3" s="281" t="s">
        <v>2138</v>
      </c>
      <c r="F3" s="1505"/>
      <c r="G3" s="1506"/>
      <c r="H3" s="1507"/>
    </row>
    <row r="4" spans="1:10" ht="24.95" customHeight="1">
      <c r="A4" s="1492"/>
      <c r="B4" s="539" t="s">
        <v>2602</v>
      </c>
      <c r="C4" s="537" t="s">
        <v>3209</v>
      </c>
      <c r="D4" s="352"/>
      <c r="E4" s="566" t="s">
        <v>3210</v>
      </c>
      <c r="F4" s="1514"/>
      <c r="G4" s="1515"/>
      <c r="H4" s="1516"/>
    </row>
    <row r="5" spans="1:10" ht="25.5" customHeight="1">
      <c r="A5" s="1492"/>
      <c r="B5" s="1539" t="s">
        <v>3214</v>
      </c>
      <c r="C5" s="1539"/>
      <c r="D5" s="1533" t="s">
        <v>2603</v>
      </c>
      <c r="E5" s="1533"/>
      <c r="F5" s="1533"/>
      <c r="G5" s="1533"/>
      <c r="H5" s="1533"/>
    </row>
    <row r="6" spans="1:10" ht="50.1" customHeight="1" thickBot="1">
      <c r="A6" s="1492"/>
      <c r="B6" s="1534" t="s">
        <v>3252</v>
      </c>
      <c r="C6" s="1535"/>
      <c r="D6" s="1536" t="s">
        <v>3234</v>
      </c>
      <c r="E6" s="1537"/>
      <c r="F6" s="1537"/>
      <c r="G6" s="1537"/>
      <c r="H6" s="1538"/>
    </row>
    <row r="7" spans="1:10" ht="20.25" customHeight="1" thickTop="1" thickBot="1">
      <c r="A7" s="1493"/>
      <c r="B7" s="1494" t="str">
        <f>IF(견적!BV2="법인사업자","기본운전자등록대상X","기본운전자")</f>
        <v>기본운전자</v>
      </c>
      <c r="C7" s="1495"/>
      <c r="D7" s="508" t="s">
        <v>3242</v>
      </c>
      <c r="E7" s="520" t="s">
        <v>3171</v>
      </c>
      <c r="F7" s="1496" t="s">
        <v>3138</v>
      </c>
      <c r="G7" s="1496"/>
      <c r="H7" s="1497"/>
    </row>
    <row r="8" spans="1:10" ht="16.5" customHeight="1" thickTop="1">
      <c r="A8" s="189"/>
      <c r="B8" s="506"/>
      <c r="C8" s="507"/>
      <c r="D8" s="507"/>
      <c r="E8" s="507"/>
      <c r="F8" s="190"/>
      <c r="G8" s="190"/>
      <c r="H8" s="190"/>
      <c r="I8" s="110"/>
    </row>
    <row r="9" spans="1:10" ht="20.25">
      <c r="G9" s="1508">
        <f ca="1">TODAY()</f>
        <v>45673</v>
      </c>
      <c r="H9" s="1508"/>
    </row>
    <row r="10" spans="1:10" ht="20.25">
      <c r="H10" s="330" t="str">
        <f>견적!CP1</f>
        <v>ver.2</v>
      </c>
    </row>
    <row r="11" spans="1:10" ht="31.5">
      <c r="B11" s="1509" t="s">
        <v>1603</v>
      </c>
      <c r="C11" s="1510"/>
      <c r="D11" s="1510"/>
      <c r="E11" s="1510"/>
      <c r="F11" s="1510"/>
      <c r="G11" s="1510"/>
      <c r="H11" s="220">
        <f>견적!BD6</f>
        <v>45658</v>
      </c>
    </row>
    <row r="12" spans="1:10" ht="22.5" customHeight="1">
      <c r="B12" s="1511" t="s">
        <v>1620</v>
      </c>
      <c r="C12" s="1511"/>
      <c r="D12" s="1511"/>
      <c r="E12" s="1511"/>
      <c r="F12" s="1511"/>
      <c r="G12" s="1511"/>
      <c r="H12" s="1511"/>
    </row>
    <row r="13" spans="1:10" ht="24.95" customHeight="1">
      <c r="B13" s="1512" t="s">
        <v>1730</v>
      </c>
      <c r="C13" s="1486" t="str">
        <f>견적!BV2</f>
        <v>개인</v>
      </c>
      <c r="D13" s="1486" t="str">
        <f>견적!$H$6</f>
        <v>VIP</v>
      </c>
      <c r="E13" s="1486"/>
      <c r="F13" s="203" t="s">
        <v>1721</v>
      </c>
      <c r="G13" s="1486" t="str">
        <f>견적!BV6</f>
        <v>대리점/지점</v>
      </c>
      <c r="H13" s="1487"/>
    </row>
    <row r="14" spans="1:10" ht="24.95" customHeight="1">
      <c r="B14" s="1513"/>
      <c r="C14" s="1474"/>
      <c r="D14" s="1474"/>
      <c r="E14" s="1474"/>
      <c r="F14" s="204" t="s">
        <v>3155</v>
      </c>
      <c r="G14" s="575" t="str">
        <f>견적!L56</f>
        <v>대리점/지점명</v>
      </c>
      <c r="H14" s="576">
        <f>견적!AH56</f>
        <v>2958465</v>
      </c>
    </row>
    <row r="15" spans="1:10" ht="50.1" customHeight="1">
      <c r="B15" s="207" t="s">
        <v>1558</v>
      </c>
      <c r="C15" s="1500" t="str">
        <f>견적!$AC$10</f>
        <v>신형 G90_3.5GT 일렉트릭 슈퍼차저 AWD(4인승)</v>
      </c>
      <c r="D15" s="1500"/>
      <c r="E15" s="1500"/>
      <c r="F15" s="577" t="s">
        <v>1731</v>
      </c>
      <c r="G15" s="1501">
        <f>견적!CL7</f>
        <v>0</v>
      </c>
      <c r="H15" s="1502"/>
    </row>
    <row r="16" spans="1:10" ht="24.95" customHeight="1">
      <c r="B16" s="207" t="s">
        <v>71</v>
      </c>
      <c r="C16" s="1500">
        <f>견적!$BV$11</f>
        <v>0</v>
      </c>
      <c r="D16" s="1500"/>
      <c r="E16" s="1500"/>
      <c r="F16" s="204" t="s">
        <v>1722</v>
      </c>
      <c r="G16" s="1503">
        <f>견적!CL8</f>
        <v>0</v>
      </c>
      <c r="H16" s="1504"/>
    </row>
    <row r="17" spans="2:8" ht="24.95" customHeight="1">
      <c r="B17" s="207" t="s">
        <v>1458</v>
      </c>
      <c r="C17" s="326">
        <f>견적!$H$12</f>
        <v>0</v>
      </c>
      <c r="D17" s="205" t="s">
        <v>1459</v>
      </c>
      <c r="E17" s="326">
        <f>견적!$Z$12</f>
        <v>0</v>
      </c>
      <c r="F17" s="204" t="s">
        <v>11</v>
      </c>
      <c r="G17" s="1503">
        <f>견적!CP9</f>
        <v>0</v>
      </c>
      <c r="H17" s="1504"/>
    </row>
    <row r="18" spans="2:8" ht="24.95" customHeight="1">
      <c r="B18" s="207" t="s">
        <v>1461</v>
      </c>
      <c r="C18" s="570" t="str">
        <f>견적!$AR$11</f>
        <v>가솔린</v>
      </c>
      <c r="D18" s="205" t="s">
        <v>1380</v>
      </c>
      <c r="E18" s="578">
        <f>견적!$BE$11</f>
        <v>3500</v>
      </c>
      <c r="F18" s="205" t="s">
        <v>1604</v>
      </c>
      <c r="G18" s="1525">
        <f>견적!$AU$12</f>
        <v>46350000</v>
      </c>
      <c r="H18" s="1526"/>
    </row>
    <row r="19" spans="2:8" ht="24.95" customHeight="1">
      <c r="B19" s="579"/>
      <c r="C19" s="555"/>
      <c r="D19" s="555"/>
      <c r="E19" s="555"/>
      <c r="F19" s="206" t="s">
        <v>1727</v>
      </c>
      <c r="G19" s="1498">
        <f>IF(G13="특판","",견적정보!D7)</f>
        <v>44004557.106237546</v>
      </c>
      <c r="H19" s="1499"/>
    </row>
    <row r="20" spans="2:8" ht="24.95" customHeight="1">
      <c r="B20" s="184"/>
      <c r="C20" s="184"/>
      <c r="D20" s="184"/>
      <c r="E20" s="184"/>
      <c r="F20" s="543"/>
      <c r="G20" s="541"/>
      <c r="H20" s="541"/>
    </row>
    <row r="21" spans="2:8" ht="24.95" customHeight="1">
      <c r="B21" s="548" t="s">
        <v>1559</v>
      </c>
      <c r="C21" s="567">
        <f>IF($B$1="견적1",견적정보!$G$27,IF($B$1="견적2",견적정보!$L$27,IF($B$1="견적3",견적정보!$Q$27,1000000%)))</f>
        <v>36</v>
      </c>
      <c r="D21" s="568" t="s">
        <v>88</v>
      </c>
      <c r="E21" s="569" t="str">
        <f>IF($B$1="견적1",견적!$BV$21,IF($B$1="견적2",견적!$CD$21,IF($B$1="견적3",견적!$CL$21,1000000%)))</f>
        <v>2만km</v>
      </c>
      <c r="F21" s="549"/>
      <c r="G21" s="549"/>
      <c r="H21" s="550"/>
    </row>
    <row r="22" spans="2:8" ht="24.95" customHeight="1">
      <c r="B22" s="207" t="s">
        <v>1605</v>
      </c>
      <c r="C22" s="570" t="str">
        <f>IF($B$1="견적1",견적정보!$E$33,IF($B$1="견적2",견적정보!$J$33,IF($B$1="견적3",견적정보!$O$33,1000000%)))</f>
        <v>선택형</v>
      </c>
      <c r="D22" s="571" t="s">
        <v>1470</v>
      </c>
      <c r="E22" s="570" t="str">
        <f>IF($B$1="견적1",견적정보!$E$32,IF($B$1="견적2",견적정보!$J$32,IF($B$1="견적3",견적정보!$O$32,1000000%)))</f>
        <v>일반형</v>
      </c>
      <c r="F22" s="205" t="s">
        <v>1565</v>
      </c>
      <c r="G22" s="572" t="str">
        <f>견적정보!$C$32</f>
        <v>용인</v>
      </c>
      <c r="H22" s="553"/>
    </row>
    <row r="23" spans="2:8" ht="24.95" customHeight="1">
      <c r="B23" s="1521" t="s">
        <v>2137</v>
      </c>
      <c r="C23" s="1522"/>
      <c r="D23" s="573">
        <f>D3</f>
        <v>0</v>
      </c>
      <c r="E23" s="574" t="s">
        <v>3208</v>
      </c>
      <c r="F23" s="1529">
        <f>F3</f>
        <v>0</v>
      </c>
      <c r="G23" s="1529"/>
      <c r="H23" s="1530"/>
    </row>
    <row r="24" spans="2:8" ht="24.95" customHeight="1">
      <c r="B24" s="1523" t="s">
        <v>3209</v>
      </c>
      <c r="C24" s="1524"/>
      <c r="D24" s="573">
        <f>D4</f>
        <v>0</v>
      </c>
      <c r="E24" s="574" t="str">
        <f>E4</f>
        <v>담당에이전트전화번호</v>
      </c>
      <c r="F24" s="1527">
        <f>F4</f>
        <v>0</v>
      </c>
      <c r="G24" s="1527"/>
      <c r="H24" s="1528"/>
    </row>
    <row r="25" spans="2:8" ht="24.95" customHeight="1">
      <c r="B25" s="1521" t="s">
        <v>1606</v>
      </c>
      <c r="C25" s="1522"/>
      <c r="D25" s="540" t="str">
        <f>C2</f>
        <v>서울시</v>
      </c>
      <c r="E25" s="1517" t="str">
        <f>D2</f>
        <v>용품점 탁송 불가 및 탁송지주소 기재 必</v>
      </c>
      <c r="F25" s="1517"/>
      <c r="G25" s="1517"/>
      <c r="H25" s="1518"/>
    </row>
    <row r="26" spans="2:8" ht="24.95" customHeight="1">
      <c r="B26" s="1531" t="s">
        <v>3215</v>
      </c>
      <c r="C26" s="1532"/>
      <c r="D26" s="1519" t="str">
        <f>D5</f>
        <v>없음</v>
      </c>
      <c r="E26" s="1519"/>
      <c r="F26" s="1519"/>
      <c r="G26" s="1519"/>
      <c r="H26" s="1520"/>
    </row>
    <row r="27" spans="2:8" ht="24" customHeight="1">
      <c r="B27" s="76"/>
      <c r="C27" s="76"/>
      <c r="D27" s="76"/>
      <c r="E27" s="76"/>
      <c r="F27" s="542"/>
      <c r="G27" s="542"/>
      <c r="H27" s="536"/>
    </row>
    <row r="28" spans="2:8" ht="24.95" customHeight="1">
      <c r="B28" s="318" t="s">
        <v>93</v>
      </c>
      <c r="C28" s="560"/>
      <c r="D28" s="561">
        <f>IF($B$1="견적1",견적!$BY$24,IF($B$1="견적2",견적!$CG$24,IF($B$1="견적3",견적!$CO$24,1000000%)))</f>
        <v>0</v>
      </c>
      <c r="E28" s="323" t="s">
        <v>1607</v>
      </c>
      <c r="F28" s="1488">
        <f>IF($B$1="견적1",견적정보!$D$45,IF($B$1="견적2",견적정보!$I$45,IF($B$1="견적3",견적정보!$N$45,1000000%)))</f>
        <v>1011010</v>
      </c>
      <c r="G28" s="1488"/>
      <c r="H28" s="558"/>
    </row>
    <row r="29" spans="2:8" ht="30" customHeight="1">
      <c r="B29" s="319" t="s">
        <v>94</v>
      </c>
      <c r="C29" s="559"/>
      <c r="D29" s="562">
        <f>IF($B$1="견적1",견적!$BY$25,IF($B$1="견적2",견적!$CG$25,IF($B$1="견적3",견적!$CO$25,1000000%)))</f>
        <v>0</v>
      </c>
      <c r="E29" s="324" t="s">
        <v>1608</v>
      </c>
      <c r="F29" s="1477">
        <f>IF($B$1="견적1",견적!$P$25,IF($B$1="견적2",견적!$AF$25,IF($B$1="견적3",견적!$AV$25,1000000%)))</f>
        <v>0</v>
      </c>
      <c r="G29" s="1477"/>
      <c r="H29" s="185"/>
    </row>
    <row r="30" spans="2:8" ht="30" customHeight="1">
      <c r="B30" s="1480" t="s">
        <v>1610</v>
      </c>
      <c r="C30" s="1473" t="str">
        <f>IF($B$1="견적1",견적!$CC$27,IF($B$1="견적2",견적!$CK$27,IF($B$1="견적3",견적!$CS$27,1000000%)))</f>
        <v>T</v>
      </c>
      <c r="D30" s="1473"/>
      <c r="E30" s="324" t="s">
        <v>1609</v>
      </c>
      <c r="F30" s="1477">
        <f>IF($B$1="견적1",견적!$V$24,IF($B$1="견적2",견적!$AL$24,IF($B$1="견적3",견적!$BB$24,1000000%)))</f>
        <v>0</v>
      </c>
      <c r="G30" s="1477"/>
      <c r="H30" s="185"/>
    </row>
    <row r="31" spans="2:8" ht="30" customHeight="1">
      <c r="B31" s="1481"/>
      <c r="C31" s="564">
        <f>IF($B$1="견적1",견적!$BV$22,IF($B$1="견적2",견적!$CD$22,IF($B$1="견적3",견적!$CL$22,1000000%)))</f>
        <v>0.52500000000000002</v>
      </c>
      <c r="D31" s="563">
        <f>IF($B$1="견적1",견적!$BY$22,IF($B$1="견적2",견적!$CG$22,IF($B$1="견적3",견적!$CO$22,1000000%)))</f>
        <v>24333750</v>
      </c>
      <c r="E31" s="325" t="s">
        <v>1611</v>
      </c>
      <c r="F31" s="1489">
        <f>IF($B$1="견적1",견적정보!$D$46,IF($B$1="견적2",견적정보!$I$46,IF($B$1="견적3",견적정보!$N$46,1000000%)))</f>
        <v>0</v>
      </c>
      <c r="G31" s="1489"/>
      <c r="H31" s="186"/>
    </row>
    <row r="32" spans="2:8" ht="30" customHeight="1">
      <c r="B32" s="76"/>
      <c r="C32" s="76"/>
      <c r="D32" s="76"/>
      <c r="E32" s="76"/>
      <c r="F32" s="1490"/>
      <c r="G32" s="1490"/>
      <c r="H32" s="184"/>
    </row>
    <row r="33" spans="2:13" ht="30" customHeight="1">
      <c r="B33" s="548" t="s">
        <v>2186</v>
      </c>
      <c r="C33" s="1478" t="str">
        <f>견적!$CL$13</f>
        <v>없음</v>
      </c>
      <c r="D33" s="1478"/>
      <c r="E33" s="1478"/>
      <c r="F33" s="551"/>
      <c r="G33" s="1486"/>
      <c r="H33" s="1487"/>
    </row>
    <row r="34" spans="2:13" ht="30" customHeight="1">
      <c r="B34" s="207" t="s">
        <v>1546</v>
      </c>
      <c r="C34" s="1476" t="str">
        <f>견적!$CL$15</f>
        <v>없음</v>
      </c>
      <c r="D34" s="1476"/>
      <c r="E34" s="1476"/>
      <c r="F34" s="557"/>
      <c r="G34" s="1474"/>
      <c r="H34" s="1475"/>
    </row>
    <row r="35" spans="2:13" ht="30" customHeight="1">
      <c r="B35" s="207" t="s">
        <v>1612</v>
      </c>
      <c r="C35" s="1476" t="str">
        <f>견적!$CL$11</f>
        <v>없음</v>
      </c>
      <c r="D35" s="1476"/>
      <c r="E35" s="205" t="s">
        <v>1613</v>
      </c>
      <c r="F35" s="565" t="str">
        <f>IF($C$35="없음","-",견적!$CP$11)</f>
        <v>-</v>
      </c>
      <c r="G35" s="552"/>
      <c r="H35" s="553"/>
    </row>
    <row r="36" spans="2:13" ht="30" customHeight="1">
      <c r="B36" s="208" t="s">
        <v>1614</v>
      </c>
      <c r="C36" s="1470" t="str">
        <f>견적!$CL$12</f>
        <v>없음</v>
      </c>
      <c r="D36" s="1470"/>
      <c r="E36" s="206" t="s">
        <v>1615</v>
      </c>
      <c r="F36" s="554" t="str">
        <f>IF($C$36="없음","-",견적!$CP$12)</f>
        <v>-</v>
      </c>
      <c r="G36" s="555"/>
      <c r="H36" s="556"/>
    </row>
    <row r="37" spans="2:13" ht="30" customHeight="1">
      <c r="B37" s="1479" t="s">
        <v>3537</v>
      </c>
      <c r="C37" s="1479"/>
      <c r="D37" s="1479"/>
      <c r="E37" s="1479"/>
      <c r="F37" s="1479"/>
      <c r="G37" s="1479"/>
      <c r="H37" s="1479"/>
    </row>
    <row r="38" spans="2:13" ht="24.95" customHeight="1">
      <c r="B38" s="318" t="s">
        <v>1560</v>
      </c>
      <c r="C38" s="327" t="str">
        <f>견적!$BV$28</f>
        <v>1억</v>
      </c>
      <c r="D38" s="320" t="s">
        <v>1616</v>
      </c>
      <c r="E38" s="187">
        <f>IF($B$1="견적1",견적!$BZ$32,IF($B$1="견적2",견적!$CH$32,IF($B$1="견적3",견적!$CP$32,1000000%)))</f>
        <v>1854000</v>
      </c>
      <c r="F38" s="191" t="s">
        <v>1617</v>
      </c>
      <c r="G38" s="1484" t="s">
        <v>3211</v>
      </c>
      <c r="H38" s="1485"/>
    </row>
    <row r="39" spans="2:13" ht="24.95" customHeight="1">
      <c r="B39" s="319" t="s">
        <v>1618</v>
      </c>
      <c r="C39" s="328" t="str">
        <f>견적!$CL$28</f>
        <v>만26세이상</v>
      </c>
      <c r="D39" s="321" t="s">
        <v>1619</v>
      </c>
      <c r="E39" s="188">
        <f>IF($B$1="견적1",견적!$BZ$33,IF($B$1="견적2",견적!$CH$33,IF($B$1="견적3",견적!$CP$33,1000000%)))</f>
        <v>0</v>
      </c>
      <c r="F39" s="192" t="s">
        <v>1617</v>
      </c>
      <c r="G39" s="1471" t="e">
        <f>#REF!</f>
        <v>#REF!</v>
      </c>
      <c r="H39" s="1472"/>
    </row>
    <row r="40" spans="2:13" ht="24.95" customHeight="1">
      <c r="B40" s="319" t="s">
        <v>1561</v>
      </c>
      <c r="C40" s="328" t="str">
        <f>견적!$BV$29</f>
        <v>미가입</v>
      </c>
      <c r="D40" s="280" t="s">
        <v>2277</v>
      </c>
      <c r="E40" s="237" t="str">
        <f>G1</f>
        <v>Y</v>
      </c>
      <c r="F40" s="192"/>
      <c r="G40" s="1471"/>
      <c r="H40" s="1472"/>
      <c r="I40" s="276"/>
      <c r="J40" s="276"/>
      <c r="K40" s="276"/>
      <c r="L40" s="276"/>
      <c r="M40" s="276"/>
    </row>
    <row r="41" spans="2:13" ht="24.95" customHeight="1">
      <c r="B41" s="322" t="s">
        <v>97</v>
      </c>
      <c r="C41" s="545" t="str">
        <f>견적!$CL$29</f>
        <v>30만원</v>
      </c>
      <c r="D41" s="275" t="s">
        <v>2308</v>
      </c>
      <c r="E41" s="546" t="str">
        <f>견적!CL3</f>
        <v>오토원_알차다</v>
      </c>
      <c r="F41" s="547" t="s">
        <v>3134</v>
      </c>
      <c r="G41" s="1482" t="str">
        <f>D7</f>
        <v>있음</v>
      </c>
      <c r="H41" s="1483"/>
    </row>
    <row r="42" spans="2:13">
      <c r="B42" s="198"/>
      <c r="C42" s="198"/>
      <c r="D42" s="198"/>
    </row>
    <row r="43" spans="2:13">
      <c r="B43" s="198"/>
      <c r="C43" s="198"/>
      <c r="D43" s="198"/>
    </row>
    <row r="44" spans="2:13">
      <c r="B44" s="198"/>
      <c r="C44" s="198"/>
      <c r="D44" s="198"/>
    </row>
    <row r="45" spans="2:13">
      <c r="B45" s="198"/>
      <c r="C45" s="198"/>
      <c r="D45" s="198"/>
    </row>
    <row r="46" spans="2:13" ht="19.5" customHeight="1"/>
  </sheetData>
  <mergeCells count="50">
    <mergeCell ref="D5:H5"/>
    <mergeCell ref="B6:C6"/>
    <mergeCell ref="D6:H6"/>
    <mergeCell ref="B5:C5"/>
    <mergeCell ref="C13:C14"/>
    <mergeCell ref="E25:H25"/>
    <mergeCell ref="D26:H26"/>
    <mergeCell ref="C15:E15"/>
    <mergeCell ref="B23:C23"/>
    <mergeCell ref="B24:C24"/>
    <mergeCell ref="G17:H17"/>
    <mergeCell ref="G18:H18"/>
    <mergeCell ref="F24:H24"/>
    <mergeCell ref="F23:H23"/>
    <mergeCell ref="B26:C26"/>
    <mergeCell ref="B25:C25"/>
    <mergeCell ref="A1:A7"/>
    <mergeCell ref="B7:C7"/>
    <mergeCell ref="F7:H7"/>
    <mergeCell ref="G19:H19"/>
    <mergeCell ref="C16:E16"/>
    <mergeCell ref="G15:H15"/>
    <mergeCell ref="G16:H16"/>
    <mergeCell ref="D2:H2"/>
    <mergeCell ref="G9:H9"/>
    <mergeCell ref="B11:G11"/>
    <mergeCell ref="B12:H12"/>
    <mergeCell ref="G13:H13"/>
    <mergeCell ref="B13:B14"/>
    <mergeCell ref="D13:E14"/>
    <mergeCell ref="F3:H3"/>
    <mergeCell ref="F4:H4"/>
    <mergeCell ref="G41:H41"/>
    <mergeCell ref="G38:H38"/>
    <mergeCell ref="G33:H33"/>
    <mergeCell ref="F28:G28"/>
    <mergeCell ref="F29:G29"/>
    <mergeCell ref="G40:H40"/>
    <mergeCell ref="F31:G31"/>
    <mergeCell ref="F32:G32"/>
    <mergeCell ref="C36:D36"/>
    <mergeCell ref="G39:H39"/>
    <mergeCell ref="C30:D30"/>
    <mergeCell ref="G34:H34"/>
    <mergeCell ref="C35:D35"/>
    <mergeCell ref="C34:E34"/>
    <mergeCell ref="F30:G30"/>
    <mergeCell ref="C33:E33"/>
    <mergeCell ref="B37:H37"/>
    <mergeCell ref="B30:B31"/>
  </mergeCells>
  <phoneticPr fontId="1" type="noConversion"/>
  <conditionalFormatting sqref="B37">
    <cfRule type="expression" dxfId="23" priority="1">
      <formula>$C$35="루마-GG(선출고K8전용)"</formula>
    </cfRule>
    <cfRule type="expression" dxfId="22" priority="2">
      <formula>$C$33="뷰게라808 POP(32G)(선출고K8전용)"</formula>
    </cfRule>
  </conditionalFormatting>
  <conditionalFormatting sqref="D7">
    <cfRule type="expression" dxfId="21" priority="4">
      <formula>$B$7="기본운전자등록대상X"</formula>
    </cfRule>
  </conditionalFormatting>
  <conditionalFormatting sqref="G41">
    <cfRule type="expression" dxfId="20" priority="3">
      <formula>$B$7="기본운전자등록대상X"</formula>
    </cfRule>
  </conditionalFormatting>
  <conditionalFormatting sqref="G14:H14">
    <cfRule type="expression" dxfId="19" priority="6">
      <formula>$G$13="특판"</formula>
    </cfRule>
  </conditionalFormatting>
  <dataValidations count="2">
    <dataValidation type="list" allowBlank="1" showInputMessage="1" showErrorMessage="1" sqref="B1" xr:uid="{00000000-0002-0000-0300-000000000000}">
      <formula1>"견적1,견적2,견적3"</formula1>
    </dataValidation>
    <dataValidation type="list" allowBlank="1" showInputMessage="1" showErrorMessage="1" sqref="G1" xr:uid="{00000000-0002-0000-0300-000001000000}">
      <formula1>$J$1:$J$2</formula1>
    </dataValidation>
  </dataValidations>
  <pageMargins left="0.7" right="0.7" top="0.75" bottom="0.75" header="0.3" footer="0.3"/>
  <pageSetup paperSize="9" scale="6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2000000}">
          <x14:formula1>
            <xm:f>기타정보!$AD$3:$AD$4</xm:f>
          </x14:formula1>
          <xm:sqref>D7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2">
    <tabColor rgb="FF00B050"/>
  </sheetPr>
  <dimension ref="B1:R11"/>
  <sheetViews>
    <sheetView showGridLines="0" zoomScale="90" zoomScaleNormal="90" workbookViewId="0">
      <selection activeCell="G11" sqref="G11"/>
    </sheetView>
  </sheetViews>
  <sheetFormatPr defaultRowHeight="35.25" customHeight="1"/>
  <cols>
    <col min="1" max="1" width="5.625" customWidth="1"/>
    <col min="2" max="2" width="13.375" customWidth="1"/>
    <col min="3" max="3" width="15.5" hidden="1" customWidth="1"/>
    <col min="4" max="4" width="20.5" customWidth="1"/>
    <col min="5" max="5" width="13.25" bestFit="1" customWidth="1"/>
    <col min="6" max="6" width="19.25" customWidth="1"/>
    <col min="7" max="7" width="14.75" customWidth="1"/>
    <col min="8" max="8" width="63.625" bestFit="1" customWidth="1"/>
    <col min="9" max="9" width="10.5" bestFit="1" customWidth="1"/>
    <col min="10" max="10" width="11.625" customWidth="1"/>
    <col min="11" max="11" width="33.625" customWidth="1"/>
    <col min="12" max="12" width="21.375" style="532" customWidth="1"/>
    <col min="14" max="14" width="10.5" bestFit="1" customWidth="1"/>
    <col min="15" max="15" width="11.875" bestFit="1" customWidth="1"/>
    <col min="16" max="16" width="9.5" bestFit="1" customWidth="1"/>
    <col min="17" max="17" width="9.125" bestFit="1" customWidth="1"/>
    <col min="18" max="18" width="22.625" customWidth="1"/>
  </cols>
  <sheetData>
    <row r="1" spans="2:18" ht="4.5" customHeight="1" thickBot="1"/>
    <row r="2" spans="2:18" ht="64.5" customHeight="1" thickBot="1">
      <c r="B2" s="1540" t="s">
        <v>3228</v>
      </c>
      <c r="C2" s="1541"/>
      <c r="D2" s="1541"/>
      <c r="E2" s="1541"/>
      <c r="F2" s="1541"/>
      <c r="G2" s="1541"/>
      <c r="H2" s="1541"/>
      <c r="I2" s="1541"/>
      <c r="J2" s="1541"/>
      <c r="K2" s="1542"/>
    </row>
    <row r="3" spans="2:18" ht="21" thickBot="1">
      <c r="B3" s="585" t="s">
        <v>3216</v>
      </c>
    </row>
    <row r="4" spans="2:18" s="533" customFormat="1" ht="17.25" thickBot="1">
      <c r="B4" s="526" t="s">
        <v>3231</v>
      </c>
      <c r="C4" s="527" t="s">
        <v>3191</v>
      </c>
      <c r="D4" s="528" t="s">
        <v>3229</v>
      </c>
      <c r="E4" s="528" t="s">
        <v>3232</v>
      </c>
      <c r="F4" s="528" t="s">
        <v>3192</v>
      </c>
      <c r="G4" s="528" t="s">
        <v>3193</v>
      </c>
      <c r="H4" s="528" t="s">
        <v>3194</v>
      </c>
      <c r="I4" s="528" t="s">
        <v>3195</v>
      </c>
      <c r="J4" s="529" t="s">
        <v>3196</v>
      </c>
      <c r="K4" s="529" t="s">
        <v>3197</v>
      </c>
      <c r="L4" s="530" t="s">
        <v>3198</v>
      </c>
      <c r="M4" s="527" t="s">
        <v>3199</v>
      </c>
      <c r="N4" s="528" t="s">
        <v>3200</v>
      </c>
      <c r="O4" s="528" t="s">
        <v>3201</v>
      </c>
      <c r="P4" s="528" t="s">
        <v>3202</v>
      </c>
      <c r="Q4" s="527" t="s">
        <v>3203</v>
      </c>
      <c r="R4" s="531" t="s">
        <v>3204</v>
      </c>
    </row>
    <row r="5" spans="2:18" s="534" customFormat="1" ht="64.5" customHeight="1" thickTop="1" thickBot="1">
      <c r="B5" s="603"/>
      <c r="C5" s="604"/>
      <c r="D5" s="580" t="str">
        <f>IF(OR(견적!BV7="현대",(견적!BV7="제네시스")),견적!CL3&amp;견적!CQ3," ")</f>
        <v>오토원_알차다</v>
      </c>
      <c r="E5" s="580" t="str">
        <f>IF(OR(견적!BV7="현대",(견적!BV7="제네시스")),견적!BV3," ")</f>
        <v>VIP</v>
      </c>
      <c r="F5" s="580"/>
      <c r="G5" s="580" t="str">
        <f>IF(OR(견적!BV7="현대",(견적!BV7="제네시스")),견적!BV8," ")</f>
        <v>G_90</v>
      </c>
      <c r="H5" s="586" t="str">
        <f>IF(OR(견적!BV7="현대",(견적!BV7="제네시스")),견적!AC10&amp;견적!H11," ")</f>
        <v>신형 G90_3.5GT 일렉트릭 슈퍼차저 AWD(4인승)0</v>
      </c>
      <c r="I5" s="580">
        <f>IF(OR(견적!BV7="현대",(견적!BV7="제네시스")),견적!BV12," ")</f>
        <v>0</v>
      </c>
      <c r="J5" s="580">
        <f>IF(OR(견적!BV7="현대",(견적!BV7="제네시스")),견적!BV13," ")</f>
        <v>0</v>
      </c>
      <c r="K5" s="580" t="str">
        <f>CONCATENATE(H5," ",I5," ",J5)</f>
        <v>신형 G90_3.5GT 일렉트릭 슈퍼차저 AWD(4인승)0 0 0</v>
      </c>
      <c r="L5" s="581"/>
      <c r="M5" s="581"/>
      <c r="N5" s="582"/>
      <c r="O5" s="581">
        <f>IF(OR(견적!BV7="현대",(견적!BV7="제네시스")),견적!BV14," ")</f>
        <v>46350000</v>
      </c>
      <c r="P5" s="581"/>
      <c r="Q5" s="581"/>
      <c r="R5" s="605"/>
    </row>
    <row r="6" spans="2:18" ht="35.25" customHeight="1">
      <c r="D6" s="181"/>
      <c r="E6" s="181"/>
      <c r="F6" s="33"/>
      <c r="G6" s="33"/>
      <c r="H6" s="583"/>
      <c r="I6" s="33"/>
      <c r="J6" s="33"/>
      <c r="K6" s="583"/>
      <c r="L6" s="583"/>
      <c r="M6" s="33"/>
      <c r="N6" s="33"/>
      <c r="O6" s="584"/>
    </row>
    <row r="9" spans="2:18" ht="35.25" customHeight="1" thickBot="1">
      <c r="B9" s="1543" t="s">
        <v>3217</v>
      </c>
      <c r="C9" s="1543"/>
      <c r="D9" s="1543"/>
      <c r="E9" s="1543"/>
    </row>
    <row r="10" spans="2:18" ht="35.25" customHeight="1">
      <c r="B10" s="587" t="s">
        <v>3218</v>
      </c>
      <c r="C10" s="588" t="s">
        <v>3219</v>
      </c>
      <c r="D10" s="594" t="s">
        <v>3219</v>
      </c>
      <c r="E10" s="595" t="s">
        <v>3233</v>
      </c>
      <c r="F10" s="595" t="s">
        <v>3220</v>
      </c>
      <c r="G10" s="596" t="s">
        <v>3230</v>
      </c>
      <c r="H10" s="590" t="s">
        <v>3221</v>
      </c>
      <c r="I10" s="590" t="s">
        <v>3222</v>
      </c>
      <c r="J10" s="590" t="s">
        <v>3223</v>
      </c>
      <c r="K10" s="589" t="s">
        <v>3224</v>
      </c>
      <c r="L10" s="589" t="s">
        <v>3225</v>
      </c>
      <c r="M10" s="591" t="s">
        <v>3226</v>
      </c>
      <c r="N10" s="592" t="s">
        <v>2817</v>
      </c>
    </row>
    <row r="11" spans="2:18" ht="64.5" customHeight="1" thickBot="1">
      <c r="B11" s="609">
        <v>1</v>
      </c>
      <c r="C11" s="598" t="s">
        <v>3227</v>
      </c>
      <c r="D11" s="598"/>
      <c r="E11" s="598"/>
      <c r="F11" s="606" t="str">
        <f>IF(견적!BV7="기아",견적!CL3&amp;견적!CQ3," ")</f>
        <v xml:space="preserve"> </v>
      </c>
      <c r="G11" s="599" t="str">
        <f>IF(견적!BV7="기아",견적!BV3," ")</f>
        <v xml:space="preserve"> </v>
      </c>
      <c r="H11" s="597" t="str">
        <f>IF(견적!BV7="기아",견적!AC10&amp;견적!H11," ")</f>
        <v xml:space="preserve"> </v>
      </c>
      <c r="I11" s="600" t="str">
        <f>IF(견적!BV7="기아",견적!BV12," ")</f>
        <v xml:space="preserve"> </v>
      </c>
      <c r="J11" s="600" t="str">
        <f>IF(견적!BV7="기아",견적!BV13," ")</f>
        <v xml:space="preserve"> </v>
      </c>
      <c r="K11" s="601" t="str">
        <f>IF(견적!BV7="기아",견적!BV14," ")</f>
        <v xml:space="preserve"> </v>
      </c>
      <c r="L11" s="593"/>
      <c r="M11" s="593"/>
      <c r="N11" s="602"/>
    </row>
  </sheetData>
  <mergeCells count="2">
    <mergeCell ref="B2:K2"/>
    <mergeCell ref="B9:E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rgb="FF00B050"/>
  </sheetPr>
  <dimension ref="A1:F26"/>
  <sheetViews>
    <sheetView zoomScaleNormal="100" workbookViewId="0">
      <selection activeCell="A12" sqref="A12"/>
    </sheetView>
  </sheetViews>
  <sheetFormatPr defaultColWidth="9" defaultRowHeight="16.5"/>
  <cols>
    <col min="1" max="1" width="24.375" style="228" customWidth="1"/>
    <col min="2" max="6" width="21.5" style="228" customWidth="1"/>
    <col min="7" max="16384" width="9" style="228"/>
  </cols>
  <sheetData>
    <row r="1" spans="1:6">
      <c r="A1" s="241"/>
      <c r="D1" s="241"/>
    </row>
    <row r="2" spans="1:6">
      <c r="A2" s="241"/>
      <c r="D2" s="241"/>
    </row>
    <row r="3" spans="1:6">
      <c r="A3" s="1545" t="s">
        <v>2107</v>
      </c>
      <c r="B3" s="1545"/>
      <c r="C3" s="1545"/>
      <c r="D3" s="1545"/>
      <c r="E3" s="1545"/>
      <c r="F3" s="1545"/>
    </row>
    <row r="4" spans="1:6">
      <c r="A4" s="1545"/>
      <c r="B4" s="1545"/>
      <c r="C4" s="1545"/>
      <c r="D4" s="1545"/>
      <c r="E4" s="1545"/>
      <c r="F4" s="1545"/>
    </row>
    <row r="5" spans="1:6">
      <c r="A5" s="1545"/>
      <c r="B5" s="1545"/>
      <c r="C5" s="1545"/>
      <c r="D5" s="1545"/>
      <c r="E5" s="1545"/>
      <c r="F5" s="1545"/>
    </row>
    <row r="6" spans="1:6">
      <c r="A6" s="1545"/>
      <c r="B6" s="1545"/>
      <c r="C6" s="1545"/>
      <c r="D6" s="1545"/>
      <c r="E6" s="1545"/>
      <c r="F6" s="1545"/>
    </row>
    <row r="7" spans="1:6">
      <c r="A7" s="241"/>
      <c r="D7" s="241"/>
    </row>
    <row r="8" spans="1:6" ht="40.5" customHeight="1">
      <c r="A8" s="242" t="s">
        <v>2108</v>
      </c>
      <c r="B8" s="243">
        <f ca="1">TODAY()</f>
        <v>45673</v>
      </c>
      <c r="C8" s="1546"/>
      <c r="D8" s="1546"/>
      <c r="E8" s="244"/>
      <c r="F8" s="267" t="s">
        <v>2126</v>
      </c>
    </row>
    <row r="9" spans="1:6" ht="40.5" customHeight="1">
      <c r="A9" s="242"/>
      <c r="B9" s="243"/>
      <c r="C9" s="246"/>
      <c r="D9" s="247"/>
      <c r="E9" s="244"/>
      <c r="F9" s="245"/>
    </row>
    <row r="10" spans="1:6" ht="40.5" customHeight="1">
      <c r="A10" s="248" t="s">
        <v>2110</v>
      </c>
      <c r="B10" s="249"/>
      <c r="C10" s="249"/>
      <c r="D10" s="250" t="s">
        <v>2109</v>
      </c>
      <c r="E10" s="251"/>
      <c r="F10" s="252"/>
    </row>
    <row r="11" spans="1:6" ht="40.5" customHeight="1">
      <c r="B11" s="249"/>
      <c r="C11" s="249"/>
      <c r="D11" s="253" t="s">
        <v>2111</v>
      </c>
      <c r="E11" s="1547"/>
      <c r="F11" s="1548"/>
    </row>
    <row r="12" spans="1:6" ht="40.5" customHeight="1">
      <c r="A12" s="282" t="s">
        <v>2112</v>
      </c>
      <c r="B12" s="1549"/>
      <c r="C12" s="1549"/>
      <c r="D12" s="282" t="s">
        <v>2113</v>
      </c>
      <c r="E12" s="1549"/>
      <c r="F12" s="1549"/>
    </row>
    <row r="13" spans="1:6" ht="99.75" customHeight="1">
      <c r="A13" s="283" t="s">
        <v>2114</v>
      </c>
      <c r="B13" s="282"/>
      <c r="C13" s="283" t="s">
        <v>2115</v>
      </c>
      <c r="D13" s="282"/>
      <c r="E13" s="284" t="s">
        <v>2116</v>
      </c>
      <c r="F13" s="282"/>
    </row>
    <row r="14" spans="1:6" ht="20.25">
      <c r="A14" s="1544"/>
      <c r="B14" s="1544"/>
      <c r="C14" s="1544"/>
      <c r="D14" s="1544"/>
      <c r="E14" s="1544"/>
      <c r="F14" s="1544"/>
    </row>
    <row r="15" spans="1:6" ht="47.25" customHeight="1">
      <c r="A15" s="248" t="s">
        <v>2117</v>
      </c>
      <c r="B15" s="255"/>
      <c r="C15" s="255"/>
      <c r="D15" s="256"/>
      <c r="E15" s="269" t="s">
        <v>2125</v>
      </c>
      <c r="F15" s="269">
        <f>+견적!CL7</f>
        <v>0</v>
      </c>
    </row>
    <row r="16" spans="1:6" ht="60.75" customHeight="1">
      <c r="A16" s="254" t="s">
        <v>2118</v>
      </c>
      <c r="B16" s="1553" t="str">
        <f>+견적!BV3</f>
        <v>VIP</v>
      </c>
      <c r="C16" s="1553"/>
      <c r="D16" s="281" t="s">
        <v>1721</v>
      </c>
      <c r="E16" s="1553" t="str">
        <f>+견적!BV6</f>
        <v>대리점/지점</v>
      </c>
      <c r="F16" s="1553"/>
    </row>
    <row r="17" spans="1:6" ht="60.75" customHeight="1">
      <c r="A17" s="281" t="s">
        <v>2119</v>
      </c>
      <c r="B17" s="1554" t="str">
        <f>+견적!BN9&amp;F8&amp;견적!BV7</f>
        <v>신형 G90_3.5GT 일렉트릭 슈퍼차저 AWD(4인승)_현대</v>
      </c>
      <c r="C17" s="1554"/>
      <c r="D17" s="1554"/>
      <c r="E17" s="1554"/>
      <c r="F17" s="1554"/>
    </row>
    <row r="18" spans="1:6" ht="60.75" customHeight="1">
      <c r="A18" s="281" t="s">
        <v>71</v>
      </c>
      <c r="B18" s="1554">
        <f>+견적!BV11</f>
        <v>0</v>
      </c>
      <c r="C18" s="1554"/>
      <c r="D18" s="1554"/>
      <c r="E18" s="1554"/>
      <c r="F18" s="1554"/>
    </row>
    <row r="19" spans="1:6" ht="60.75" customHeight="1">
      <c r="A19" s="281" t="s">
        <v>75</v>
      </c>
      <c r="B19" s="1555">
        <f>+견적!BV12</f>
        <v>0</v>
      </c>
      <c r="C19" s="1555"/>
      <c r="D19" s="281" t="s">
        <v>76</v>
      </c>
      <c r="E19" s="1555">
        <f>+견적!BV13</f>
        <v>0</v>
      </c>
      <c r="F19" s="1555"/>
    </row>
    <row r="20" spans="1:6" ht="60.75" customHeight="1">
      <c r="A20" s="281" t="s">
        <v>2120</v>
      </c>
      <c r="B20" s="1550">
        <f>+견적!BV14</f>
        <v>46350000</v>
      </c>
      <c r="C20" s="1550"/>
      <c r="D20" s="257" t="s">
        <v>2121</v>
      </c>
      <c r="E20" s="1551"/>
      <c r="F20" s="1551"/>
    </row>
    <row r="21" spans="1:6" ht="60.75" customHeight="1">
      <c r="A21" s="258" t="s">
        <v>30</v>
      </c>
      <c r="B21" s="1552">
        <f>SUM(B20,E20)</f>
        <v>46350000</v>
      </c>
      <c r="C21" s="1552"/>
      <c r="D21" s="1552"/>
      <c r="E21" s="1552"/>
      <c r="F21" s="1552"/>
    </row>
    <row r="22" spans="1:6" ht="51" customHeight="1">
      <c r="A22" s="259"/>
      <c r="B22" s="260"/>
      <c r="C22" s="260"/>
      <c r="D22" s="260"/>
      <c r="E22" s="260"/>
      <c r="F22" s="260"/>
    </row>
    <row r="23" spans="1:6" ht="26.25">
      <c r="A23" s="270" t="s">
        <v>2122</v>
      </c>
      <c r="B23" s="271"/>
      <c r="C23" s="271"/>
      <c r="D23" s="272"/>
      <c r="E23" s="271"/>
      <c r="F23" s="271"/>
    </row>
    <row r="24" spans="1:6" ht="50.25" customHeight="1">
      <c r="A24" s="261" t="s">
        <v>2123</v>
      </c>
      <c r="B24" s="262"/>
      <c r="C24" s="262"/>
      <c r="D24" s="262"/>
      <c r="E24" s="262"/>
      <c r="F24" s="263"/>
    </row>
    <row r="25" spans="1:6" ht="50.25" customHeight="1">
      <c r="A25" s="261" t="s">
        <v>2124</v>
      </c>
      <c r="B25" s="262"/>
      <c r="C25" s="262"/>
      <c r="D25" s="268"/>
      <c r="E25" s="268"/>
      <c r="F25" s="263"/>
    </row>
    <row r="26" spans="1:6" ht="20.25">
      <c r="A26" s="264"/>
      <c r="B26" s="265"/>
      <c r="C26" s="265"/>
      <c r="D26" s="265"/>
      <c r="E26" s="265"/>
      <c r="F26" s="266"/>
    </row>
  </sheetData>
  <mergeCells count="15">
    <mergeCell ref="B20:C20"/>
    <mergeCell ref="E20:F20"/>
    <mergeCell ref="B21:F21"/>
    <mergeCell ref="B16:C16"/>
    <mergeCell ref="E16:F16"/>
    <mergeCell ref="B17:F17"/>
    <mergeCell ref="B18:F18"/>
    <mergeCell ref="B19:C19"/>
    <mergeCell ref="E19:F19"/>
    <mergeCell ref="A14:F14"/>
    <mergeCell ref="A3:F6"/>
    <mergeCell ref="C8:D8"/>
    <mergeCell ref="E11:F11"/>
    <mergeCell ref="B12:C12"/>
    <mergeCell ref="E12:F12"/>
  </mergeCells>
  <phoneticPr fontId="1" type="noConversion"/>
  <pageMargins left="0.7" right="0.7" top="0.75" bottom="0.75" header="0.3" footer="0.3"/>
  <pageSetup paperSize="9" scale="6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rgb="FFFF0000"/>
    <pageSetUpPr fitToPage="1"/>
  </sheetPr>
  <dimension ref="B1:BG91"/>
  <sheetViews>
    <sheetView showGridLines="0" zoomScale="60" zoomScaleNormal="60" workbookViewId="0">
      <selection activeCell="G6" sqref="G6"/>
    </sheetView>
  </sheetViews>
  <sheetFormatPr defaultColWidth="9" defaultRowHeight="16.5" zeroHeight="1" outlineLevelCol="1"/>
  <cols>
    <col min="1" max="1" width="2.75" customWidth="1"/>
    <col min="2" max="2" width="14.875" bestFit="1" customWidth="1"/>
    <col min="3" max="3" width="22.375" customWidth="1"/>
    <col min="4" max="4" width="15.625" customWidth="1"/>
    <col min="5" max="5" width="23.375" bestFit="1" customWidth="1"/>
    <col min="6" max="6" width="16.625" customWidth="1"/>
    <col min="7" max="7" width="31.375" bestFit="1" customWidth="1"/>
    <col min="8" max="8" width="18.5" bestFit="1" customWidth="1"/>
    <col min="9" max="9" width="15.625" customWidth="1"/>
    <col min="10" max="10" width="17.125" customWidth="1"/>
    <col min="11" max="11" width="15.625" customWidth="1"/>
    <col min="12" max="12" width="28.5" customWidth="1"/>
    <col min="13" max="22" width="15.625" customWidth="1"/>
    <col min="23" max="23" width="9" style="34" hidden="1" customWidth="1" outlineLevel="1"/>
    <col min="24" max="25" width="13.375" style="35" hidden="1" customWidth="1" outlineLevel="1"/>
    <col min="26" max="26" width="12.125" style="35" hidden="1" customWidth="1" outlineLevel="1"/>
    <col min="27" max="27" width="13.375" style="35" hidden="1" customWidth="1" outlineLevel="1"/>
    <col min="28" max="28" width="13.375" hidden="1" customWidth="1" outlineLevel="1"/>
    <col min="29" max="29" width="13.75" hidden="1" customWidth="1" outlineLevel="1"/>
    <col min="30" max="30" width="7.125" hidden="1" customWidth="1" outlineLevel="1"/>
    <col min="31" max="31" width="13.625" hidden="1" customWidth="1" outlineLevel="1"/>
    <col min="32" max="32" width="14.875" hidden="1" customWidth="1" outlineLevel="1"/>
    <col min="33" max="33" width="7.125" hidden="1" customWidth="1" outlineLevel="1"/>
    <col min="34" max="34" width="7" hidden="1" customWidth="1" outlineLevel="1"/>
    <col min="35" max="35" width="6.75" hidden="1" customWidth="1" outlineLevel="1"/>
    <col min="36" max="36" width="13" hidden="1" customWidth="1" outlineLevel="1"/>
    <col min="37" max="37" width="13.375" hidden="1" customWidth="1" outlineLevel="1"/>
    <col min="38" max="38" width="12.125" hidden="1" customWidth="1" outlineLevel="1"/>
    <col min="39" max="41" width="13.375" hidden="1" customWidth="1" outlineLevel="1"/>
    <col min="42" max="42" width="7.125" hidden="1" customWidth="1" outlineLevel="1"/>
    <col min="43" max="43" width="13.625" hidden="1" customWidth="1" outlineLevel="1"/>
    <col min="44" max="44" width="16.625" hidden="1" customWidth="1" outlineLevel="1"/>
    <col min="45" max="45" width="8.25" hidden="1" customWidth="1" outlineLevel="1"/>
    <col min="46" max="46" width="7" hidden="1" customWidth="1" outlineLevel="1"/>
    <col min="47" max="47" width="6.75" hidden="1" customWidth="1" outlineLevel="1"/>
    <col min="48" max="48" width="13" hidden="1" customWidth="1" outlineLevel="1"/>
    <col min="49" max="49" width="13.375" hidden="1" customWidth="1" outlineLevel="1"/>
    <col min="50" max="50" width="12.125" hidden="1" customWidth="1" outlineLevel="1"/>
    <col min="51" max="53" width="13.375" hidden="1" customWidth="1" outlineLevel="1"/>
    <col min="54" max="54" width="7.125" hidden="1" customWidth="1" outlineLevel="1"/>
    <col min="55" max="55" width="13.625" hidden="1" customWidth="1" outlineLevel="1"/>
    <col min="56" max="56" width="16.625" hidden="1" customWidth="1" outlineLevel="1"/>
    <col min="57" max="57" width="8.25" hidden="1" customWidth="1" outlineLevel="1"/>
    <col min="58" max="58" width="9" hidden="1" customWidth="1" outlineLevel="1"/>
    <col min="59" max="59" width="9" collapsed="1"/>
  </cols>
  <sheetData>
    <row r="1" spans="2:57" ht="17.25" thickBot="1">
      <c r="G1" s="87"/>
      <c r="K1" s="476"/>
      <c r="L1" s="475" t="s">
        <v>2933</v>
      </c>
      <c r="M1" s="475" t="s">
        <v>2934</v>
      </c>
      <c r="N1" s="618" t="s">
        <v>2944</v>
      </c>
      <c r="O1" s="619" t="s">
        <v>2957</v>
      </c>
      <c r="P1" s="475" t="s">
        <v>2958</v>
      </c>
      <c r="Q1" s="475" t="s">
        <v>2945</v>
      </c>
      <c r="R1" s="475" t="s">
        <v>3156</v>
      </c>
      <c r="S1" s="475" t="s">
        <v>3431</v>
      </c>
      <c r="T1" s="475" t="s">
        <v>3637</v>
      </c>
      <c r="U1" s="475" t="s">
        <v>3281</v>
      </c>
      <c r="V1" t="b">
        <f>ROUND(AA41,0)=ROUND(Y1,0)</f>
        <v>1</v>
      </c>
      <c r="W1" s="124" t="s">
        <v>1570</v>
      </c>
      <c r="X1" s="131" t="s">
        <v>1581</v>
      </c>
      <c r="Y1" s="125">
        <f>ROUND(E29/1.1,0)</f>
        <v>22121591</v>
      </c>
      <c r="Z1" s="131" t="s">
        <v>1578</v>
      </c>
      <c r="AA1" s="136">
        <f>RATE(G27,E37,-$E$23,ROUND(E29/1.1,0))*12</f>
        <v>8.0533539239275448E-2</v>
      </c>
      <c r="AB1" s="131" t="s">
        <v>1583</v>
      </c>
      <c r="AC1" s="127"/>
      <c r="AD1" s="131" t="s">
        <v>1584</v>
      </c>
      <c r="AE1" s="127" t="e">
        <f>#REF!</f>
        <v>#REF!</v>
      </c>
      <c r="AF1" s="131" t="s">
        <v>1585</v>
      </c>
      <c r="AG1" s="168">
        <f>AF2/AE2</f>
        <v>25.387062396462166</v>
      </c>
      <c r="AH1" t="e">
        <f>ROUND(#REF!,0)=ROUND(AK1,0)</f>
        <v>#REF!</v>
      </c>
      <c r="AI1" s="124" t="s">
        <v>1580</v>
      </c>
      <c r="AJ1" s="131" t="s">
        <v>1581</v>
      </c>
      <c r="AK1" s="125">
        <f>ROUND(J29/1.1,0)</f>
        <v>19172045</v>
      </c>
      <c r="AL1" s="131" t="s">
        <v>1578</v>
      </c>
      <c r="AM1" s="136">
        <f>RATE(L27,J37,-$E$23,ROUND(J29/1.1,0))*12</f>
        <v>7.5804471316418875E-2</v>
      </c>
      <c r="AN1" s="131" t="s">
        <v>1583</v>
      </c>
      <c r="AO1" s="127">
        <f>AC1</f>
        <v>0</v>
      </c>
      <c r="AP1" s="131" t="s">
        <v>1584</v>
      </c>
      <c r="AQ1" s="127" t="e">
        <f>AE1</f>
        <v>#REF!</v>
      </c>
      <c r="AR1" s="131" t="s">
        <v>1585</v>
      </c>
      <c r="AS1" s="168">
        <f>AR2/AQ2</f>
        <v>24.654546636064438</v>
      </c>
      <c r="AT1" t="e">
        <f>ROUND(AY60,0)=ROUND(AW1,0)</f>
        <v>#REF!</v>
      </c>
      <c r="AU1" s="124" t="s">
        <v>1582</v>
      </c>
      <c r="AV1" s="131" t="s">
        <v>1581</v>
      </c>
      <c r="AW1" s="125">
        <f>ROUND(O29/1.1,0)</f>
        <v>15379773</v>
      </c>
      <c r="AX1" s="131" t="s">
        <v>1578</v>
      </c>
      <c r="AY1" s="136">
        <f>RATE(Q27,O37,-$E$23,ROUND(O29/1.1,0))*12</f>
        <v>7.3196541066586199E-2</v>
      </c>
      <c r="AZ1" s="131" t="s">
        <v>1583</v>
      </c>
      <c r="BA1" s="127">
        <f>AO1</f>
        <v>0</v>
      </c>
      <c r="BB1" s="131" t="s">
        <v>1584</v>
      </c>
      <c r="BC1" s="127" t="e">
        <f>AE1</f>
        <v>#REF!</v>
      </c>
      <c r="BD1" s="131" t="s">
        <v>1585</v>
      </c>
      <c r="BE1" s="168">
        <f>BD2/BC2</f>
        <v>37.00936150722557</v>
      </c>
    </row>
    <row r="2" spans="2:57" ht="16.5" customHeight="1">
      <c r="B2" s="119" t="s">
        <v>4</v>
      </c>
      <c r="C2" s="119" t="s">
        <v>5</v>
      </c>
      <c r="D2" s="120" t="s">
        <v>0</v>
      </c>
      <c r="E2" s="121" t="s">
        <v>1</v>
      </c>
      <c r="F2" s="122" t="s">
        <v>2</v>
      </c>
      <c r="G2" s="725" t="s">
        <v>3</v>
      </c>
      <c r="H2" s="726" t="s">
        <v>3430</v>
      </c>
      <c r="I2" s="726" t="s">
        <v>3467</v>
      </c>
      <c r="J2" s="726" t="s">
        <v>3467</v>
      </c>
      <c r="K2" s="239"/>
      <c r="L2" s="128" t="s">
        <v>2937</v>
      </c>
      <c r="M2" s="128">
        <f>VLOOKUP(견적!BN9,차량!$A:$AK,21,0)</f>
        <v>0</v>
      </c>
      <c r="N2" s="485">
        <f>VLOOKUP(견적!BN9,차량!$A:$AK,22,0)</f>
        <v>20</v>
      </c>
      <c r="O2" s="128">
        <f>VLOOKUP(견적!BN9,차량!$A:$AK,23,0)</f>
        <v>0</v>
      </c>
      <c r="P2" s="128" t="str">
        <f>VLOOKUP(견적!BN9,차량!$A:$AK,24,0)</f>
        <v>P</v>
      </c>
      <c r="Q2" s="128">
        <f>VLOOKUP(견적!BN9,차량!$A:$AK,25,0)</f>
        <v>23</v>
      </c>
      <c r="R2" s="128">
        <f>VLOOKUP(견적!BN9,차량!$A:$AK,26,0)</f>
        <v>14</v>
      </c>
      <c r="S2" s="128">
        <f>VLOOKUP(견적!BN9,차량!$A:$AK,28,0)</f>
        <v>0</v>
      </c>
      <c r="T2" s="128">
        <f>VLOOKUP(견적!BN9,차량!$A:$AK,29,FALSE)</f>
        <v>0</v>
      </c>
      <c r="U2" s="128">
        <f>VLOOKUP(견적!BN9,차량!$A:$AK,27,0)</f>
        <v>0</v>
      </c>
      <c r="W2" s="157"/>
      <c r="X2" s="158">
        <f>SUM(X5:X59)</f>
        <v>29170800</v>
      </c>
      <c r="Y2" s="158">
        <f>SUM(Y5:Y59)</f>
        <v>21103902.685530871</v>
      </c>
      <c r="Z2" s="158">
        <f>SUM(Z5:Z59)</f>
        <v>8066897.3144691363</v>
      </c>
      <c r="AA2" s="159" t="s">
        <v>1579</v>
      </c>
      <c r="AB2" s="160">
        <f>IRR(AB4:AB59,0)*12</f>
        <v>5.7030609071517802E-2</v>
      </c>
      <c r="AC2" s="161" t="e">
        <f>IRR(AC4:AC59,0)*12</f>
        <v>#VALUE!</v>
      </c>
      <c r="AD2" s="129"/>
      <c r="AE2" s="169">
        <f>SUM(AE5:AE59)</f>
        <v>45403943.685531154</v>
      </c>
      <c r="AF2" s="169">
        <f>SUM(AF5:AF59)</f>
        <v>1152672751.3900337</v>
      </c>
      <c r="AG2" s="170">
        <f>SUM(AG5:AG59)</f>
        <v>25.387062396462163</v>
      </c>
      <c r="AH2" s="133"/>
      <c r="AI2" s="128"/>
      <c r="AJ2" s="125">
        <f>SUM(AJ5:AJ60)</f>
        <v>30254800</v>
      </c>
      <c r="AK2" s="125">
        <f>SUM(AK5:AK60)</f>
        <v>21195392.236476522</v>
      </c>
      <c r="AL2" s="125">
        <f>SUM(AL5:AL60)</f>
        <v>9059407.7635234799</v>
      </c>
      <c r="AM2" s="131" t="s">
        <v>1579</v>
      </c>
      <c r="AN2" s="126">
        <f>IRR(AN4:AN60,0)*12</f>
        <v>-0.20696496889066918</v>
      </c>
      <c r="AO2" s="129" t="e">
        <f>IRR(AO4:AO60,0)*12</f>
        <v>#VALUE!</v>
      </c>
      <c r="AP2" s="129"/>
      <c r="AQ2" s="169">
        <f>SUM(AQ5:AQ60)</f>
        <v>45403943.685531117</v>
      </c>
      <c r="AR2" s="169">
        <f>SUM(AR5:AR60)</f>
        <v>1119413647.0561705</v>
      </c>
      <c r="AS2" s="170">
        <f>SUM(AS5:AS60)</f>
        <v>24.654546636064438</v>
      </c>
      <c r="AT2" s="133"/>
      <c r="AU2" s="128"/>
      <c r="AV2" s="125">
        <f>SUM(AV5:AV60)</f>
        <v>35717000</v>
      </c>
      <c r="AW2" s="125" t="e">
        <f>SUM(AW5:AW60)</f>
        <v>#REF!</v>
      </c>
      <c r="AX2" s="125" t="e">
        <f>SUM(AX5:AX60)</f>
        <v>#REF!</v>
      </c>
      <c r="AY2" s="131" t="s">
        <v>1579</v>
      </c>
      <c r="AZ2" s="126">
        <f>IRR(AZ4:AZ60,0)*12</f>
        <v>3.991064291215185E-2</v>
      </c>
      <c r="BA2" s="129" t="e">
        <f>IRR(BA4:BA60,0)*12</f>
        <v>#VALUE!</v>
      </c>
      <c r="BB2" s="129"/>
      <c r="BC2" s="169">
        <f>SUM(BC5:BC60)</f>
        <v>45084118.550029233</v>
      </c>
      <c r="BD2" s="169">
        <f>SUM(BD5:BD60)</f>
        <v>1668534441.6526463</v>
      </c>
      <c r="BE2" s="170">
        <f>SUM(BE5:BE60)</f>
        <v>37.009361507225577</v>
      </c>
    </row>
    <row r="3" spans="2:57" ht="16.5" customHeight="1">
      <c r="B3" s="1566" t="s">
        <v>6</v>
      </c>
      <c r="C3" s="223" t="s">
        <v>7</v>
      </c>
      <c r="D3" s="224">
        <f>견적!$BV$14</f>
        <v>46350000</v>
      </c>
      <c r="E3" s="1"/>
      <c r="F3" s="2"/>
      <c r="G3" s="654"/>
      <c r="H3" s="727">
        <f>VLOOKUP(견적!BN9,차량!A2:L977,12,FALSE)</f>
        <v>0</v>
      </c>
      <c r="I3" s="728">
        <f>IF(견적!CL14="Y",'탁송,용품'!L46,0)</f>
        <v>0</v>
      </c>
      <c r="J3" s="728">
        <f>IF(견적!CL14="Y",'탁송,용품'!M46,0)</f>
        <v>0</v>
      </c>
      <c r="K3" s="240"/>
      <c r="L3" s="474" t="s">
        <v>2935</v>
      </c>
      <c r="M3" s="486">
        <f t="array" ref="M3">MAX(IF(($M$2=잔가율!$A$2:$A$42)*(잔가율!$B$1:$G$1=견적정보!$G$27),잔가율!$B$2:$G$42))</f>
        <v>0</v>
      </c>
      <c r="N3" s="487">
        <f t="array" ref="N3">MAX(IF(($N$2=잔가율!$A$47:$A$70)*(잔가율!$B$46:$F$46=견적정보!$G$27),잔가율!$B$47:$F$70))</f>
        <v>48</v>
      </c>
      <c r="O3" s="488">
        <f t="array" ref="O3">MAX(IF(($O$2=잔가율!$A$71:$A$98)*(잔가율!$B$46:$F$46=견적정보!$G$27),잔가율!$B$71:$F$98))</f>
        <v>0</v>
      </c>
      <c r="P3" s="488">
        <f t="array" ref="P3">MAX(IF(($P$2=잔가율!$A$99:$A$124)*(잔가율!$B$46:$F$46=견적정보!$G$27),잔가율!$B$99:$F$124))</f>
        <v>52.5</v>
      </c>
      <c r="Q3" s="488">
        <f t="array" ref="Q3">MAX(IF(($Q$2=잔가율!$A$125:$A$151)*(잔가율!$B$46:$F$46=견적정보!$G$27),잔가율!$B$125:$F$151))</f>
        <v>35</v>
      </c>
      <c r="R3" s="488">
        <f t="array" ref="R3">MAX(IF(($R$2=잔가율!$A$152:$A$166)*(잔가율!$B$46:$F$46=견적정보!$G$27),잔가율!$B$152:$F$166))</f>
        <v>41</v>
      </c>
      <c r="S3" s="488">
        <f t="array" ref="S3">MAX(IF(($S$2=잔가율!$A$167:$A$192)*(잔가율!$B$46:$F$46=견적정보!$G$27),잔가율!$B$167:$F$192))</f>
        <v>0</v>
      </c>
      <c r="T3" s="488">
        <f t="array" ref="T3">MAX(IF(($T$2=잔가율!$A$193:$A$193)*(잔가율!$B$46:$F$46=견적정보!$G$27),잔가율!$B$193:$F193))</f>
        <v>0</v>
      </c>
      <c r="U3" s="488">
        <f t="array" ref="U3">MAX(IF(($U$2=잔가율!$A$167:$A$192)*(잔가율!$B$46:$F$46=견적정보!$G$27),잔가율!$B$167:$F$192))</f>
        <v>0</v>
      </c>
      <c r="W3" s="130" t="s">
        <v>1571</v>
      </c>
      <c r="X3" s="153" t="s">
        <v>1572</v>
      </c>
      <c r="Y3" s="153" t="s">
        <v>1573</v>
      </c>
      <c r="Z3" s="153" t="s">
        <v>1574</v>
      </c>
      <c r="AA3" s="153" t="s">
        <v>1575</v>
      </c>
      <c r="AB3" s="153" t="s">
        <v>1576</v>
      </c>
      <c r="AC3" s="153" t="s">
        <v>1577</v>
      </c>
      <c r="AD3" s="131"/>
      <c r="AE3" s="131"/>
      <c r="AF3" s="131"/>
      <c r="AG3" s="131"/>
      <c r="AH3" s="132"/>
      <c r="AI3" s="130" t="s">
        <v>1571</v>
      </c>
      <c r="AJ3" s="153" t="s">
        <v>1572</v>
      </c>
      <c r="AK3" s="153" t="s">
        <v>1573</v>
      </c>
      <c r="AL3" s="153" t="s">
        <v>1574</v>
      </c>
      <c r="AM3" s="153" t="s">
        <v>1575</v>
      </c>
      <c r="AN3" s="153" t="s">
        <v>1576</v>
      </c>
      <c r="AO3" s="153" t="s">
        <v>1577</v>
      </c>
      <c r="AP3" s="131"/>
      <c r="AQ3" s="131"/>
      <c r="AR3" s="131"/>
      <c r="AS3" s="131"/>
      <c r="AT3" s="132"/>
      <c r="AU3" s="130" t="s">
        <v>1571</v>
      </c>
      <c r="AV3" s="153" t="s">
        <v>1572</v>
      </c>
      <c r="AW3" s="153" t="s">
        <v>1573</v>
      </c>
      <c r="AX3" s="153" t="s">
        <v>1574</v>
      </c>
      <c r="AY3" s="153" t="s">
        <v>1575</v>
      </c>
      <c r="AZ3" s="153" t="s">
        <v>1576</v>
      </c>
      <c r="BA3" s="153" t="s">
        <v>1577</v>
      </c>
      <c r="BB3" s="131"/>
      <c r="BC3" s="131"/>
      <c r="BD3" s="131"/>
      <c r="BE3" s="131"/>
    </row>
    <row r="4" spans="2:57" ht="16.5" customHeight="1">
      <c r="B4" s="1567"/>
      <c r="C4" s="225" t="s">
        <v>39</v>
      </c>
      <c r="D4" s="226">
        <f>D3-D5</f>
        <v>2345442.8937624544</v>
      </c>
      <c r="E4" s="27"/>
      <c r="F4" s="28"/>
      <c r="G4" s="733">
        <v>2.87E-2</v>
      </c>
      <c r="H4" s="726" t="s">
        <v>3548</v>
      </c>
      <c r="I4" s="726" t="s">
        <v>3552</v>
      </c>
      <c r="J4" s="726"/>
      <c r="K4" s="240"/>
      <c r="L4" s="77" t="s">
        <v>2936</v>
      </c>
      <c r="M4" s="486">
        <f>IF(G32="4만km",-M3,IF(G32="3.5만km",-M3,(IF(G32="3만km",0,IF(G32="2.5만km",2,IF(G32="2만km",4,IF(G32="1.5만km",6,IF(G32="1만km",8))))))))</f>
        <v>4</v>
      </c>
      <c r="N4" s="488">
        <f>IF(G32="4만km",-12,IF(G32="3.5만km",-N3,(IF(G32="3만km",-6,IF(G32="2.5만km",-3,IF(G32="2만km",0,IF(G32="1.5만km",1.5,IF(G32="1만km",3))))))))</f>
        <v>0</v>
      </c>
      <c r="O4" s="488">
        <f>IF(G32="4만km",-O3,IF(G32="3.5만km",-18,(IF(G32="3만km",-12,IF(G32="2.5만km",-6,IF(G32="2만km",0,IF(G32="1.5만km",2,IF(G32="1만km",4))))))))</f>
        <v>0</v>
      </c>
      <c r="P4" s="488">
        <f>IF(G32="4만km",-10,IF(G32="3.5만km",-P3,(IF(G32="3만km",-3.5,IF(G32="2.5만km",-2.5,IF(G32="2만km",0,IF(G32="1.5만km",1.5,IF(G32="1만km",3))))))))</f>
        <v>0</v>
      </c>
      <c r="Q4" s="490">
        <f>IF(G32="4만km",-9,IF(G32="3.5만km",-Q3,(IF(G32="3만km",-5,IF(G32="2.5만km",-2,IF(G32="2만km",0,IF(G32="1.5만km",1,IF(G32="1만km",2.5))))))))</f>
        <v>0</v>
      </c>
      <c r="R4" s="490">
        <f>IF(G32="4만km",-4.5,IF(G32="3.5만km",-R3,(IF(G32="3만km",-3,IF(G32="2.5만km",-1.5,IF(G32="2만km",0,IF(G32="1.5만km",1.5,IF(G32="1만km",3))))))))</f>
        <v>0</v>
      </c>
      <c r="S4" s="490">
        <f>IF(G32="4만km",-S3,IF(G32="3.5만km",-S3,(IF(G32="3만km",-S3,IF(G32="2.5만km",-S3,IF(G32="2만km",0,IF(G32="1.5만km",2,IF(G32="1만km",4))))))))</f>
        <v>0</v>
      </c>
      <c r="T4" s="490">
        <f>IF(G32="4만km",-12,IF(G32="3.5만km",-T3,(IF(G32="3만km",-6,IF(G32="2.5만km",-3,IF(G32="2만km",-T3,IF(G32="1.5만km",-T3,IF(G32="1만km",-T3))))))))</f>
        <v>0</v>
      </c>
      <c r="U4" s="490">
        <f>IF(G32="4만km",-U3,IF(G32="3.5만km",-U3,(IF(G32="3만km",-U3,IF(G32="2.5만km",-U3,IF(G32="2만km",0,IF(G32="1.5만km",2,IF(G32="1만km",4))))))))</f>
        <v>0</v>
      </c>
      <c r="W4" s="162">
        <v>0</v>
      </c>
      <c r="X4" s="163"/>
      <c r="Y4" s="164"/>
      <c r="Z4" s="164"/>
      <c r="AA4" s="165">
        <f>$E$23</f>
        <v>43225493.685531266</v>
      </c>
      <c r="AB4" s="166">
        <f>-AA4-E30+G28+G29</f>
        <v>-45403943.685531266</v>
      </c>
      <c r="AC4" s="167">
        <f>AB4-AC1</f>
        <v>-45403943.685531266</v>
      </c>
      <c r="AD4" s="134"/>
      <c r="AE4" s="134"/>
      <c r="AF4" s="134"/>
      <c r="AG4" s="134"/>
      <c r="AH4" s="134"/>
      <c r="AI4" s="137">
        <v>0</v>
      </c>
      <c r="AJ4" s="138"/>
      <c r="AK4" s="139"/>
      <c r="AL4" s="139"/>
      <c r="AM4" s="140">
        <f>AA4</f>
        <v>43225493.685531266</v>
      </c>
      <c r="AN4" s="154">
        <f>-AM4-J30+L28+L29</f>
        <v>-45403943.685531266</v>
      </c>
      <c r="AO4" s="141">
        <f>AN4-AO1</f>
        <v>-45403943.685531266</v>
      </c>
      <c r="AP4" s="134"/>
      <c r="AQ4" s="134"/>
      <c r="AR4" s="134"/>
      <c r="AS4" s="134"/>
      <c r="AT4" s="134"/>
      <c r="AU4" s="137">
        <v>0</v>
      </c>
      <c r="AV4" s="138"/>
      <c r="AW4" s="139"/>
      <c r="AX4" s="139"/>
      <c r="AY4" s="140">
        <f>AA4</f>
        <v>43225493.685531266</v>
      </c>
      <c r="AZ4" s="154">
        <f>-AY4-O30+Q28+Q29</f>
        <v>-45403943.685531266</v>
      </c>
      <c r="BA4" s="141">
        <f>AZ4-BA1</f>
        <v>-45403943.685531266</v>
      </c>
      <c r="BB4" s="134"/>
      <c r="BC4" s="134"/>
      <c r="BD4" s="134"/>
      <c r="BE4" s="134"/>
    </row>
    <row r="5" spans="2:57" ht="16.5" customHeight="1">
      <c r="B5" s="1567"/>
      <c r="C5" s="307" t="s">
        <v>8</v>
      </c>
      <c r="D5" s="308">
        <f>IF(OR(F11=0,F11=2),D3,IF(OR(견적!$BV$7="현대",견적!$BV$7="기아",견적!$BV$7="제네시스",견적!$BV$7="KG_쌍용",견적!$BV$7="쉐보레",견적!$BV$7="르노"),D3/(1+G5*1.3),D3/(1+G4*1.3)))</f>
        <v>44004557.106237546</v>
      </c>
      <c r="E5" s="311" t="s">
        <v>3547</v>
      </c>
      <c r="F5" s="202">
        <f>IF(OR(F11=0,F11=2),D3,IF(OR(견적!$BV$7="현대",견적!$BV$7="기아"),D3/(1+G5*1.3),D3/(1+G4*1.3)))</f>
        <v>44004557.106237546</v>
      </c>
      <c r="G5" s="731">
        <v>4.1000000000000002E-2</v>
      </c>
      <c r="H5" s="727">
        <f>견적!EX3</f>
        <v>2025</v>
      </c>
      <c r="I5" s="749">
        <f>IF(C27="HEV",1,2)</f>
        <v>2</v>
      </c>
      <c r="J5" s="729"/>
      <c r="K5" s="483" t="s">
        <v>2939</v>
      </c>
      <c r="L5" s="479" t="s">
        <v>2938</v>
      </c>
      <c r="M5" s="489">
        <f>M3+M4</f>
        <v>4</v>
      </c>
      <c r="N5" s="489">
        <f t="shared" ref="N5:U5" si="0">ROUND(N3+N4,1)</f>
        <v>48</v>
      </c>
      <c r="O5" s="489">
        <f t="shared" si="0"/>
        <v>0</v>
      </c>
      <c r="P5" s="489">
        <f t="shared" si="0"/>
        <v>52.5</v>
      </c>
      <c r="Q5" s="489">
        <f t="shared" si="0"/>
        <v>35</v>
      </c>
      <c r="R5" s="489">
        <f t="shared" si="0"/>
        <v>41</v>
      </c>
      <c r="S5" s="489">
        <f t="shared" si="0"/>
        <v>0</v>
      </c>
      <c r="T5" s="489">
        <f>ROUND(T3+T4,1)</f>
        <v>0</v>
      </c>
      <c r="U5" s="489">
        <f t="shared" si="0"/>
        <v>0</v>
      </c>
      <c r="W5" s="142">
        <v>1</v>
      </c>
      <c r="X5" s="143">
        <f t="shared" ref="X5:X23" si="1">IF($W5&lt;=$G$27,$E$37,0)</f>
        <v>810300</v>
      </c>
      <c r="Y5" s="144">
        <f>X5-Z5</f>
        <v>520208.16734493454</v>
      </c>
      <c r="Z5" s="144">
        <f t="shared" ref="Z5:Z23" si="2">IF($W5&lt;=$G$27,AA4*$AA$1/12,0)</f>
        <v>290091.83265506546</v>
      </c>
      <c r="AA5" s="145">
        <f t="shared" ref="AA5:AA23" si="3">IF($W5&lt;=$G$27,AA4-Y5,0)</f>
        <v>42705285.518186331</v>
      </c>
      <c r="AB5" s="143">
        <f t="shared" ref="AB5:AB23" si="4">IF($W5=$G$27,X5+$Y$1-$G$28,IF($W5&lt;$G$27,X5,0))</f>
        <v>810300</v>
      </c>
      <c r="AC5" s="145" t="e">
        <f>IF($W5=$G$27,X5+$Y$1-$G$28,IF($W5&lt;$G$27,X5,0))+AE1</f>
        <v>#REF!</v>
      </c>
      <c r="AD5" s="151">
        <f t="shared" ref="AD5:AD23" si="5">IF($W5&lt;=$G$27,1/(1+AB$2/12)^W5,0)</f>
        <v>0.99526992914585377</v>
      </c>
      <c r="AE5" s="150">
        <f>AD5*AB5</f>
        <v>806467.22358688526</v>
      </c>
      <c r="AF5" s="150">
        <f t="shared" ref="AF5:AF23" si="6">IF($W5&lt;=$G$27,AE5*W5,0)</f>
        <v>806467.22358688526</v>
      </c>
      <c r="AG5" s="152">
        <f t="shared" ref="AG5:AG23" si="7">AF5/$AE$2</f>
        <v>1.7762052326830844E-2</v>
      </c>
      <c r="AH5" s="135"/>
      <c r="AI5" s="142">
        <v>1</v>
      </c>
      <c r="AJ5" s="143">
        <f t="shared" ref="AJ5:AJ23" si="8">IF($AI5&lt;=$L$27,$J$37,0)</f>
        <v>703600</v>
      </c>
      <c r="AK5" s="144">
        <f>AJ5-AL5</f>
        <v>430542.85864809167</v>
      </c>
      <c r="AL5" s="144">
        <f t="shared" ref="AL5:AL23" si="9">IF($AI5&lt;=$L$27,AM4*$AM$1/12,0)</f>
        <v>273057.14135190833</v>
      </c>
      <c r="AM5" s="145">
        <f t="shared" ref="AM5:AM23" si="10">IF($AI5&lt;=$L$27,AM4-AK5,0)</f>
        <v>42794950.826883174</v>
      </c>
      <c r="AN5" s="143">
        <f t="shared" ref="AN5:AN23" si="11">IF($AI5=$L$27,AJ5+$AK$1-$L$28,IF($AI5&lt;$L$27,AJ5,0))</f>
        <v>703600</v>
      </c>
      <c r="AO5" s="145" t="e">
        <f>IF($AI5=$L$27,AJ5+$AK$1-$L$28,IF($AI5&lt;$L$27,AJ5,0))+AQ1</f>
        <v>#REF!</v>
      </c>
      <c r="AP5" s="151">
        <f t="shared" ref="AP5:AP23" si="12">IF($AI5&lt;=$L$27,1/(1+AN$2/12)^AI5,0)</f>
        <v>1.0175497629189354</v>
      </c>
      <c r="AQ5" s="150">
        <f>AP5*AN5</f>
        <v>715948.01318976295</v>
      </c>
      <c r="AR5" s="150">
        <f t="shared" ref="AR5:AR23" si="13">IF($AI5&lt;=$L$27,AQ5*AI5,0)</f>
        <v>715948.01318976295</v>
      </c>
      <c r="AS5" s="152">
        <f t="shared" ref="AS5:AS23" si="14">AR5/$AQ$2</f>
        <v>1.5768410298198705E-2</v>
      </c>
      <c r="AT5" s="135"/>
      <c r="AU5" s="142">
        <v>1</v>
      </c>
      <c r="AV5" s="143">
        <f t="shared" ref="AV5:AV23" si="15">IF($AU5&lt;=$Q$27,$O$37,0)</f>
        <v>649400</v>
      </c>
      <c r="AW5" s="144">
        <f>AV5-AX5</f>
        <v>385736.94802696235</v>
      </c>
      <c r="AX5" s="144">
        <f t="shared" ref="AX5:AX23" si="16">IF($AU5&lt;=$Q$27,AY4*$AY$1/12,0)</f>
        <v>263663.05197303765</v>
      </c>
      <c r="AY5" s="145">
        <f t="shared" ref="AY5:AY23" si="17">IF($AU5&lt;=$Q$27,AY4-AW5,0)</f>
        <v>42839756.737504303</v>
      </c>
      <c r="AZ5" s="143">
        <f t="shared" ref="AZ5:AZ23" si="18">IF($AU5=$Q$27,AV5+$AW$1-$Q$28,IF($AU5&lt;$Q$27,AV5,0))</f>
        <v>649400</v>
      </c>
      <c r="BA5" s="145" t="e">
        <f>IF($AU5=$Q$27,AV5+$AW$1-$Q$28,IF($AU5&lt;$Q$27,AV5,0))+BC1</f>
        <v>#REF!</v>
      </c>
      <c r="BB5" s="151">
        <f t="shared" ref="BB5:BB23" si="19">IF($AU5&lt;=$Q$27,1/(1+AZ$2/12)^AU5,0)</f>
        <v>0.99668513794696245</v>
      </c>
      <c r="BC5" s="150">
        <f>BB5*AZ5</f>
        <v>647247.32858275739</v>
      </c>
      <c r="BD5" s="150">
        <f t="shared" ref="BD5:BD23" si="20">IF($AU5&lt;=$Q$27,BC5*AU5,0)</f>
        <v>647247.32858275739</v>
      </c>
      <c r="BE5" s="152">
        <f t="shared" ref="BE5:BE23" si="21">BD5/$BC$2</f>
        <v>1.4356437463993354E-2</v>
      </c>
    </row>
    <row r="6" spans="2:57" ht="16.5" customHeight="1">
      <c r="B6" s="1567"/>
      <c r="C6" s="3" t="s">
        <v>9</v>
      </c>
      <c r="D6" s="4">
        <f>IF(견적!$BV$6="특판",견적정보!$F$6,견적!$CL$8)</f>
        <v>0</v>
      </c>
      <c r="E6" s="5"/>
      <c r="F6" s="199">
        <f>D5*G6</f>
        <v>880091.14212475088</v>
      </c>
      <c r="G6" s="123">
        <f>견적!$BQ$16</f>
        <v>0.02</v>
      </c>
      <c r="H6" s="746" t="s">
        <v>3550</v>
      </c>
      <c r="I6" s="747">
        <f>IF(I9&gt;=1300000,I7-1300000,I8)</f>
        <v>1492554.579293723</v>
      </c>
      <c r="J6" s="748"/>
      <c r="K6" s="477"/>
      <c r="L6" s="128" t="s">
        <v>2937</v>
      </c>
      <c r="M6" s="77">
        <f>VLOOKUP(견적!BN9,차량!$A:$U,21,0)</f>
        <v>0</v>
      </c>
      <c r="N6" s="484">
        <f>VLOOKUP(견적!BN9,차량!$A:$V,22,0)</f>
        <v>20</v>
      </c>
      <c r="O6" s="484">
        <f>VLOOKUP(견적!BN9,차량!$A:$W,23,0)</f>
        <v>0</v>
      </c>
      <c r="P6" s="484" t="str">
        <f>VLOOKUP(견적!BN9,차량!$A:$X,24,0)</f>
        <v>P</v>
      </c>
      <c r="Q6" s="491">
        <f>VLOOKUP(견적!BN9,차량!$A:$Y,25,0)</f>
        <v>23</v>
      </c>
      <c r="R6" s="491">
        <f>VLOOKUP(견적!BN9,차량!$A:$Z,26,0)</f>
        <v>14</v>
      </c>
      <c r="S6" s="491">
        <f>VLOOKUP(견적!BN9,차량!A:AB,28,0)</f>
        <v>0</v>
      </c>
      <c r="T6" s="491">
        <f>VLOOKUP(견적!BN9,차량!$A:$AK,29,FALSE)</f>
        <v>0</v>
      </c>
      <c r="U6" s="491">
        <f>VLOOKUP(견적!BN9,차량!A:AA,27,0)</f>
        <v>0</v>
      </c>
      <c r="W6" s="142">
        <v>2</v>
      </c>
      <c r="X6" s="143">
        <f t="shared" si="1"/>
        <v>810300</v>
      </c>
      <c r="Y6" s="144">
        <f t="shared" ref="Y6:Y59" si="22">X6-Z6</f>
        <v>523699.35108305665</v>
      </c>
      <c r="Z6" s="144">
        <f t="shared" si="2"/>
        <v>286600.64891694335</v>
      </c>
      <c r="AA6" s="145">
        <f t="shared" si="3"/>
        <v>42181586.167103276</v>
      </c>
      <c r="AB6" s="143">
        <f t="shared" si="4"/>
        <v>810300</v>
      </c>
      <c r="AC6" s="145">
        <f t="shared" ref="AC6:AC23" si="23">IF($W6=$G$27,X6+$Y$1-$G$28,IF($W6&lt;$G$27,X6,0))</f>
        <v>810300</v>
      </c>
      <c r="AD6" s="151">
        <f t="shared" si="5"/>
        <v>0.99056223186199277</v>
      </c>
      <c r="AE6" s="150">
        <f t="shared" ref="AE6:AE59" si="24">AD6*AB6</f>
        <v>802652.57647777279</v>
      </c>
      <c r="AF6" s="150">
        <f t="shared" si="6"/>
        <v>1605305.1529555456</v>
      </c>
      <c r="AG6" s="152">
        <f t="shared" si="7"/>
        <v>3.5356073121619765E-2</v>
      </c>
      <c r="AH6" s="135"/>
      <c r="AI6" s="142">
        <v>2</v>
      </c>
      <c r="AJ6" s="143">
        <f t="shared" si="8"/>
        <v>703600</v>
      </c>
      <c r="AK6" s="144">
        <f t="shared" ref="AK6:AK60" si="25">AJ6-AL6</f>
        <v>433262.6147963315</v>
      </c>
      <c r="AL6" s="144">
        <f t="shared" si="9"/>
        <v>270337.3852036685</v>
      </c>
      <c r="AM6" s="145">
        <f t="shared" si="10"/>
        <v>42361688.212086841</v>
      </c>
      <c r="AN6" s="143">
        <f t="shared" si="11"/>
        <v>703600</v>
      </c>
      <c r="AO6" s="145">
        <f t="shared" ref="AO6:AO23" si="26">IF($AI6=$L$27,AJ6+$AK$1-$L$28,IF($AI6&lt;$L$27,AJ6,0))</f>
        <v>703600</v>
      </c>
      <c r="AP6" s="151">
        <f t="shared" si="12"/>
        <v>1.0354075200163817</v>
      </c>
      <c r="AQ6" s="150">
        <f t="shared" ref="AQ6:AQ60" si="27">AP6*AN6</f>
        <v>728512.73108352616</v>
      </c>
      <c r="AR6" s="150">
        <f t="shared" si="13"/>
        <v>1457025.4621670523</v>
      </c>
      <c r="AS6" s="152">
        <f t="shared" si="14"/>
        <v>3.2090284321081186E-2</v>
      </c>
      <c r="AT6" s="135"/>
      <c r="AU6" s="142">
        <v>2</v>
      </c>
      <c r="AV6" s="143">
        <f t="shared" si="15"/>
        <v>649400</v>
      </c>
      <c r="AW6" s="144">
        <f t="shared" ref="AW6:AW60" si="28">AV6-AX6</f>
        <v>388089.83222339198</v>
      </c>
      <c r="AX6" s="144">
        <f t="shared" si="16"/>
        <v>261310.16777660805</v>
      </c>
      <c r="AY6" s="145">
        <f t="shared" si="17"/>
        <v>42451666.90528091</v>
      </c>
      <c r="AZ6" s="143">
        <f t="shared" si="18"/>
        <v>649400</v>
      </c>
      <c r="BA6" s="145">
        <f t="shared" ref="BA6:BA23" si="29">IF($AU6=$Q$27,AV6+$AW$1-$Q$28,IF($AU6&lt;$Q$27,AV6,0))</f>
        <v>649400</v>
      </c>
      <c r="BB6" s="151">
        <f t="shared" si="19"/>
        <v>0.99338126420435557</v>
      </c>
      <c r="BC6" s="150">
        <f t="shared" ref="BC6:BC60" si="30">BB6*AZ6</f>
        <v>645101.79297430848</v>
      </c>
      <c r="BD6" s="150">
        <f t="shared" si="20"/>
        <v>1290203.585948617</v>
      </c>
      <c r="BE6" s="152">
        <f t="shared" si="21"/>
        <v>2.8617695708454311E-2</v>
      </c>
    </row>
    <row r="7" spans="2:57" ht="16.5" customHeight="1">
      <c r="B7" s="1567"/>
      <c r="C7" s="3" t="s">
        <v>10</v>
      </c>
      <c r="D7" s="4">
        <f>IF(AND(견적!$BV$6="특판",견적!$BV$7="현대"),ROUNDUP(D5-D6,-2),IF(AND(견적!$BV$6="특판",견적!$BV$7="기아"),ROUND(D5-D6,-3),D5-D6))</f>
        <v>44004557.106237546</v>
      </c>
      <c r="E7" s="5"/>
      <c r="F7" s="6"/>
      <c r="G7" s="7"/>
      <c r="H7" s="111">
        <v>5.33E-2</v>
      </c>
      <c r="I7" s="112">
        <f>E9*H7</f>
        <v>2132220.8275624611</v>
      </c>
      <c r="J7" s="743"/>
      <c r="K7" s="477"/>
      <c r="L7" s="474" t="s">
        <v>2935</v>
      </c>
      <c r="M7" s="487">
        <f t="array" ref="M7">MAX(IF(($M$2=잔가율!$A$2:$A$42)*(잔가율!$B$1:$G$1=견적정보!$L$27),잔가율!$B$2:$G$42))</f>
        <v>0</v>
      </c>
      <c r="N7" s="487">
        <f t="array" ref="N7">MAX(IF(($N$6=잔가율!$A$47:$A$70)*(잔가율!$B$46:$F$46=견적정보!$L$27),잔가율!$B$47:$F$70))</f>
        <v>41.000000000000007</v>
      </c>
      <c r="O7" s="488">
        <f t="array" ref="O7">MAX(IF(($O$6=잔가율!$A$71:$A$98)*(잔가율!$B$46:$F$46=견적정보!$L$27),잔가율!$B$71:$F$98))</f>
        <v>0</v>
      </c>
      <c r="P7" s="488">
        <f t="array" ref="P7">MAX(IF(($P$6=잔가율!$A$99:$A$124)*(잔가율!$B$46:$F$46=견적정보!$L$27),잔가율!$B$99:$F$124))</f>
        <v>45.5</v>
      </c>
      <c r="Q7" s="488">
        <f t="array" ref="Q7">MAX(IF(($Q$6=잔가율!$A$125:$A$151)*(잔가율!$B$46:$F$46=견적정보!$L$27),잔가율!$B$125:$F$151))</f>
        <v>27</v>
      </c>
      <c r="R7" s="488">
        <f t="array" ref="R7">MAX(IF(($R$6=잔가율!$A$152:$A$166)*(잔가율!$B$46:$F$46=견적정보!$L$27),잔가율!$B$152:$F$166))</f>
        <v>34</v>
      </c>
      <c r="S7" s="488">
        <f t="array" ref="S7">MAX(IF(($S$6=잔가율!$A$167:$A$192)*(잔가율!$B$46:$F$46=견적정보!$L$27),잔가율!$B$167:$F$192))</f>
        <v>0</v>
      </c>
      <c r="T7" s="488">
        <f t="array" ref="T7">MAX(IF(($T$2=잔가율!$A$193:$A$193)*(잔가율!$B$46:$F$46=견적정보!$L$27),잔가율!$B$193:$F193))</f>
        <v>0</v>
      </c>
      <c r="U7" s="488">
        <f t="array" ref="U7">MAX(IF(($U$6=잔가율!$A$167:$A$192)*(잔가율!$B$46:$F$46=견적정보!$L$27),잔가율!$B$167:$F$192))</f>
        <v>0</v>
      </c>
      <c r="W7" s="142">
        <v>3</v>
      </c>
      <c r="X7" s="143">
        <f t="shared" si="1"/>
        <v>810300</v>
      </c>
      <c r="Y7" s="144">
        <f t="shared" si="22"/>
        <v>527213.96460305923</v>
      </c>
      <c r="Z7" s="144">
        <f t="shared" si="2"/>
        <v>283086.03539694083</v>
      </c>
      <c r="AA7" s="145">
        <f t="shared" si="3"/>
        <v>41654372.202500217</v>
      </c>
      <c r="AB7" s="143">
        <f t="shared" si="4"/>
        <v>810300</v>
      </c>
      <c r="AC7" s="145">
        <f t="shared" si="23"/>
        <v>810300</v>
      </c>
      <c r="AD7" s="151">
        <f t="shared" si="5"/>
        <v>0.98587680231984443</v>
      </c>
      <c r="AE7" s="150">
        <f t="shared" si="24"/>
        <v>798855.97291976993</v>
      </c>
      <c r="AF7" s="150">
        <f t="shared" si="6"/>
        <v>2396567.9187593097</v>
      </c>
      <c r="AG7" s="152">
        <f t="shared" si="7"/>
        <v>5.2783254585945197E-2</v>
      </c>
      <c r="AH7" s="135"/>
      <c r="AI7" s="142">
        <v>3</v>
      </c>
      <c r="AJ7" s="143">
        <f t="shared" si="8"/>
        <v>703600</v>
      </c>
      <c r="AK7" s="144">
        <f t="shared" si="25"/>
        <v>435999.55175098195</v>
      </c>
      <c r="AL7" s="144">
        <f t="shared" si="9"/>
        <v>267600.44824901805</v>
      </c>
      <c r="AM7" s="145">
        <f t="shared" si="10"/>
        <v>41925688.660335861</v>
      </c>
      <c r="AN7" s="143">
        <f t="shared" si="11"/>
        <v>703600</v>
      </c>
      <c r="AO7" s="145">
        <f t="shared" si="26"/>
        <v>703600</v>
      </c>
      <c r="AP7" s="151">
        <f t="shared" si="12"/>
        <v>1.0535786765171522</v>
      </c>
      <c r="AQ7" s="150">
        <f t="shared" si="27"/>
        <v>741297.95679746824</v>
      </c>
      <c r="AR7" s="150">
        <f t="shared" si="13"/>
        <v>2223893.8703924045</v>
      </c>
      <c r="AS7" s="152">
        <f t="shared" si="14"/>
        <v>4.8980191804376086E-2</v>
      </c>
      <c r="AT7" s="135"/>
      <c r="AU7" s="142">
        <v>3</v>
      </c>
      <c r="AV7" s="143">
        <f t="shared" si="15"/>
        <v>649400</v>
      </c>
      <c r="AW7" s="144">
        <f t="shared" si="28"/>
        <v>390457.06833521393</v>
      </c>
      <c r="AX7" s="144">
        <f t="shared" si="16"/>
        <v>258942.93166478604</v>
      </c>
      <c r="AY7" s="145">
        <f t="shared" si="17"/>
        <v>42061209.836945698</v>
      </c>
      <c r="AZ7" s="143">
        <f t="shared" si="18"/>
        <v>649400</v>
      </c>
      <c r="BA7" s="145">
        <f t="shared" si="29"/>
        <v>649400</v>
      </c>
      <c r="BB7" s="151">
        <f t="shared" si="19"/>
        <v>0.99008834234744625</v>
      </c>
      <c r="BC7" s="150">
        <f t="shared" si="30"/>
        <v>642963.36952043162</v>
      </c>
      <c r="BD7" s="150">
        <f t="shared" si="20"/>
        <v>1928890.1085612949</v>
      </c>
      <c r="BE7" s="152">
        <f t="shared" si="21"/>
        <v>4.2784247992357478E-2</v>
      </c>
    </row>
    <row r="8" spans="2:57" ht="16.5" customHeight="1">
      <c r="B8" s="1567"/>
      <c r="C8" s="8" t="s">
        <v>11</v>
      </c>
      <c r="D8" s="9">
        <f>견적!$CP$9</f>
        <v>0</v>
      </c>
      <c r="E8" s="10"/>
      <c r="F8" s="11"/>
      <c r="G8" s="12"/>
      <c r="H8" s="732">
        <v>3.7310000000000003E-2</v>
      </c>
      <c r="I8" s="331">
        <f>E9*H8</f>
        <v>1492554.579293723</v>
      </c>
      <c r="J8" s="743"/>
      <c r="K8" s="477"/>
      <c r="L8" s="77" t="s">
        <v>2936</v>
      </c>
      <c r="M8" s="487">
        <f>IF(L32="4만km",-M7,IF(L32="3.5만km",-M7,(IF(L32="3만km",0,IF(L32="2.5만km",2,IF(L32="2만km",4,IF(L32="1.5만km",6,IF(L32="1만km",8))))))))</f>
        <v>4</v>
      </c>
      <c r="N8" s="487">
        <f>IF(L32="4만km",-12,IF(L32="3.5만km",-N7,(IF(L32="3만km",-6,IF(L32="2.5만km",-3,IF(L32="2만km",0,IF(L32="1.5만km",1.5,IF(L32="1만km",3))))))))</f>
        <v>0</v>
      </c>
      <c r="O8" s="488">
        <f>IF(L32="4만km",-O7,IF(L32="3.5만km",-18,(IF(L32="3만km",-12,IF(L32="2.5만km",-6,IF(L32="2만km",0,IF(L32="1.5만km",2,IF(L32="1만km",4))))))))</f>
        <v>0</v>
      </c>
      <c r="P8" s="488">
        <f>IF(L32="4만km",-10,IF(L32="3.5만km",-P7,(IF(L32="3만km",-3.5,IF(L32="2.5만km",-2.5,IF(L32="2만km",0,IF(L32="1.5만km",1.5,IF(L32="1만km",3))))))))</f>
        <v>0</v>
      </c>
      <c r="Q8" s="488">
        <f>IF(L32="4만km",-9,IF(L32="3.5만km",-Q7,(IF(L32="3만km",-5,IF(L32="2.5만km",-2,IF(L32="2만km",0,IF(L32="1.5만km",1,IF(L32="1만km",2.5))))))))</f>
        <v>0</v>
      </c>
      <c r="R8" s="488">
        <f>IF(L32="4만km",-4.5,IF(L32="3.5만km",-R3,(IF(L32="3만km",-3,IF(L32="2.5만km",-1.5,IF(L32="2만km",0,IF(L32="1.5만km",1.5,IF(L32="1만km",3))))))))</f>
        <v>0</v>
      </c>
      <c r="S8" s="488">
        <f>IF(L32="4만km",-S7,IF(L32="3.5만km",-S7,(IF(L32="3만km",-S7,IF(L32="2.5만km",-S7,IF(L32="2만km",0,IF(L32="1.5만km",2,IF(L32="1만km",4))))))))</f>
        <v>0</v>
      </c>
      <c r="T8" s="488">
        <f>IF(L32="4만km",-12,IF(L32="3.5만km",-T7,(IF(L32="3만km",-6,IF(L32="2.5만km",-3,IF(L32="2만km",-T7,IF(L32="1.5만km",-T7,IF(L32="1만km",-T7))))))))</f>
        <v>0</v>
      </c>
      <c r="U8" s="488">
        <f>IF(L32="4만km",-U7,IF(L32="3.5만km",-U7,(IF(L32="3만km",-U7,IF(L32="2.5만km",-U7,IF(L32="2만km",0,IF(L32="1.5만km",2,IF(L32="1만km",4))))))))</f>
        <v>0</v>
      </c>
      <c r="W8" s="142">
        <v>4</v>
      </c>
      <c r="X8" s="143">
        <f t="shared" si="1"/>
        <v>810300</v>
      </c>
      <c r="Y8" s="144">
        <f t="shared" si="22"/>
        <v>530752.16514521372</v>
      </c>
      <c r="Z8" s="144">
        <f t="shared" si="2"/>
        <v>279547.83485478634</v>
      </c>
      <c r="AA8" s="145">
        <f t="shared" si="3"/>
        <v>41123620.037355006</v>
      </c>
      <c r="AB8" s="143">
        <f t="shared" si="4"/>
        <v>810300</v>
      </c>
      <c r="AC8" s="145">
        <f t="shared" si="23"/>
        <v>810300</v>
      </c>
      <c r="AD8" s="151">
        <f t="shared" si="5"/>
        <v>0.98121353519141219</v>
      </c>
      <c r="AE8" s="150">
        <f t="shared" si="24"/>
        <v>795077.32756560133</v>
      </c>
      <c r="AF8" s="150">
        <f t="shared" si="6"/>
        <v>3180309.3102624053</v>
      </c>
      <c r="AG8" s="152">
        <f t="shared" si="7"/>
        <v>7.0044781402454973E-2</v>
      </c>
      <c r="AH8" s="135"/>
      <c r="AI8" s="142">
        <v>4</v>
      </c>
      <c r="AJ8" s="143">
        <f t="shared" si="8"/>
        <v>703600</v>
      </c>
      <c r="AK8" s="144">
        <f t="shared" si="25"/>
        <v>438753.7780438718</v>
      </c>
      <c r="AL8" s="144">
        <f t="shared" si="9"/>
        <v>264846.2219561282</v>
      </c>
      <c r="AM8" s="145">
        <f t="shared" si="10"/>
        <v>41486934.882291988</v>
      </c>
      <c r="AN8" s="143">
        <f t="shared" si="11"/>
        <v>703600</v>
      </c>
      <c r="AO8" s="145">
        <f t="shared" si="26"/>
        <v>703600</v>
      </c>
      <c r="AP8" s="151">
        <f t="shared" si="12"/>
        <v>1.0720687325064739</v>
      </c>
      <c r="AQ8" s="150">
        <f t="shared" si="27"/>
        <v>754307.56019155507</v>
      </c>
      <c r="AR8" s="150">
        <f t="shared" si="13"/>
        <v>3017230.2407662203</v>
      </c>
      <c r="AS8" s="152">
        <f t="shared" si="14"/>
        <v>6.6453043411022497E-2</v>
      </c>
      <c r="AT8" s="135"/>
      <c r="AU8" s="142">
        <v>4</v>
      </c>
      <c r="AV8" s="143">
        <f t="shared" si="15"/>
        <v>649400</v>
      </c>
      <c r="AW8" s="144">
        <f t="shared" si="28"/>
        <v>392838.74390497536</v>
      </c>
      <c r="AX8" s="144">
        <f t="shared" si="16"/>
        <v>256561.25609502461</v>
      </c>
      <c r="AY8" s="145">
        <f t="shared" si="17"/>
        <v>41668371.09304072</v>
      </c>
      <c r="AZ8" s="143">
        <f t="shared" si="18"/>
        <v>649400</v>
      </c>
      <c r="BA8" s="145">
        <f t="shared" si="29"/>
        <v>649400</v>
      </c>
      <c r="BB8" s="151">
        <f t="shared" si="19"/>
        <v>0.98680633607224366</v>
      </c>
      <c r="BC8" s="150">
        <f t="shared" si="30"/>
        <v>640832.03464531503</v>
      </c>
      <c r="BD8" s="150">
        <f t="shared" si="20"/>
        <v>2563328.1385812601</v>
      </c>
      <c r="BE8" s="152">
        <f t="shared" si="21"/>
        <v>5.6856565482959809E-2</v>
      </c>
    </row>
    <row r="9" spans="2:57" ht="16.5" customHeight="1">
      <c r="B9" s="1568"/>
      <c r="C9" s="13" t="s">
        <v>12</v>
      </c>
      <c r="D9" s="14">
        <f>SUM(D7:D8)</f>
        <v>44004557.106237546</v>
      </c>
      <c r="E9" s="15">
        <f>D9-F9</f>
        <v>40004143.106237546</v>
      </c>
      <c r="F9" s="29">
        <f>ROUND(D9/11,0)</f>
        <v>4000414</v>
      </c>
      <c r="G9" s="17"/>
      <c r="H9" s="113" t="s">
        <v>20</v>
      </c>
      <c r="I9" s="114">
        <f>I7-I8</f>
        <v>639666.24826873816</v>
      </c>
      <c r="J9" s="744"/>
      <c r="K9" s="480" t="s">
        <v>2940</v>
      </c>
      <c r="L9" s="481" t="s">
        <v>2938</v>
      </c>
      <c r="M9" s="489">
        <f>M7+M8</f>
        <v>4</v>
      </c>
      <c r="N9" s="489">
        <f t="shared" ref="N9:U9" si="31">ROUND(N7+N8,1)</f>
        <v>41</v>
      </c>
      <c r="O9" s="489">
        <f t="shared" si="31"/>
        <v>0</v>
      </c>
      <c r="P9" s="489">
        <f t="shared" si="31"/>
        <v>45.5</v>
      </c>
      <c r="Q9" s="489">
        <f t="shared" si="31"/>
        <v>27</v>
      </c>
      <c r="R9" s="489">
        <f>ROUND(R7+R8,1)</f>
        <v>34</v>
      </c>
      <c r="S9" s="489">
        <f>ROUND(S7+S8,1)</f>
        <v>0</v>
      </c>
      <c r="T9" s="489">
        <f>ROUND(T7+T8,1)</f>
        <v>0</v>
      </c>
      <c r="U9" s="489">
        <f t="shared" si="31"/>
        <v>0</v>
      </c>
      <c r="V9" s="34"/>
      <c r="W9" s="142">
        <v>5</v>
      </c>
      <c r="X9" s="143">
        <f t="shared" si="1"/>
        <v>810300</v>
      </c>
      <c r="Y9" s="144">
        <f t="shared" si="22"/>
        <v>534314.11100505129</v>
      </c>
      <c r="Z9" s="144">
        <f t="shared" si="2"/>
        <v>275985.88899494865</v>
      </c>
      <c r="AA9" s="145">
        <f t="shared" si="3"/>
        <v>40589305.926349953</v>
      </c>
      <c r="AB9" s="143">
        <f t="shared" si="4"/>
        <v>810300</v>
      </c>
      <c r="AC9" s="145">
        <f t="shared" si="23"/>
        <v>810300</v>
      </c>
      <c r="AD9" s="151">
        <f t="shared" si="5"/>
        <v>0.97657232564690954</v>
      </c>
      <c r="AE9" s="150">
        <f t="shared" si="24"/>
        <v>791316.55547169084</v>
      </c>
      <c r="AF9" s="150">
        <f t="shared" si="6"/>
        <v>3956582.7773584542</v>
      </c>
      <c r="AG9" s="152">
        <f t="shared" si="7"/>
        <v>8.7141830779322721E-2</v>
      </c>
      <c r="AH9" s="135"/>
      <c r="AI9" s="142">
        <v>5</v>
      </c>
      <c r="AJ9" s="143">
        <f t="shared" si="8"/>
        <v>703600</v>
      </c>
      <c r="AK9" s="144">
        <f t="shared" si="25"/>
        <v>441525.40289242996</v>
      </c>
      <c r="AL9" s="144">
        <f t="shared" si="9"/>
        <v>262074.59710757004</v>
      </c>
      <c r="AM9" s="145">
        <f t="shared" si="10"/>
        <v>41045409.479399554</v>
      </c>
      <c r="AN9" s="143">
        <f t="shared" si="11"/>
        <v>703600</v>
      </c>
      <c r="AO9" s="145">
        <f t="shared" si="26"/>
        <v>703600</v>
      </c>
      <c r="AP9" s="151">
        <f t="shared" si="12"/>
        <v>1.0908832845947662</v>
      </c>
      <c r="AQ9" s="150">
        <f t="shared" si="27"/>
        <v>767545.47904087754</v>
      </c>
      <c r="AR9" s="150">
        <f t="shared" si="13"/>
        <v>3837727.3952043876</v>
      </c>
      <c r="AS9" s="152">
        <f t="shared" si="14"/>
        <v>8.452409821015959E-2</v>
      </c>
      <c r="AT9" s="135"/>
      <c r="AU9" s="142">
        <v>5</v>
      </c>
      <c r="AV9" s="143">
        <f t="shared" si="15"/>
        <v>649400</v>
      </c>
      <c r="AW9" s="144">
        <f t="shared" si="28"/>
        <v>395234.94700920768</v>
      </c>
      <c r="AX9" s="144">
        <f t="shared" si="16"/>
        <v>254165.05299079235</v>
      </c>
      <c r="AY9" s="145">
        <f t="shared" si="17"/>
        <v>41273136.146031514</v>
      </c>
      <c r="AZ9" s="143">
        <f t="shared" si="18"/>
        <v>649400</v>
      </c>
      <c r="BA9" s="145">
        <f t="shared" si="29"/>
        <v>649400</v>
      </c>
      <c r="BB9" s="151">
        <f t="shared" si="19"/>
        <v>0.98353520919510085</v>
      </c>
      <c r="BC9" s="150">
        <f t="shared" si="30"/>
        <v>638707.76485129853</v>
      </c>
      <c r="BD9" s="150">
        <f t="shared" si="20"/>
        <v>3193538.8242564928</v>
      </c>
      <c r="BE9" s="152">
        <f t="shared" si="21"/>
        <v>7.0835117264467895E-2</v>
      </c>
    </row>
    <row r="10" spans="2:57" ht="16.5" customHeight="1">
      <c r="B10" s="1569" t="s">
        <v>13</v>
      </c>
      <c r="C10" s="19" t="s">
        <v>14</v>
      </c>
      <c r="D10" s="20"/>
      <c r="E10" s="21">
        <f>IF(AND($C$27="HEV",$H$5=2024),ROUNDDOWN(E9*G10,-1)-400000,ROUNDDOWN(E9*G10,-1))</f>
        <v>1600160</v>
      </c>
      <c r="F10" s="71">
        <f>E9*G10</f>
        <v>1600165.7242495019</v>
      </c>
      <c r="G10" s="738">
        <v>0.04</v>
      </c>
      <c r="H10" s="746" t="s">
        <v>3551</v>
      </c>
      <c r="I10" s="747">
        <f>I12</f>
        <v>2132220.8275624611</v>
      </c>
      <c r="J10" s="748"/>
      <c r="K10" s="478"/>
      <c r="L10" s="128" t="s">
        <v>2937</v>
      </c>
      <c r="M10" s="77">
        <f>VLOOKUP(견적!BN9,차량!$A:$U,21,0)</f>
        <v>0</v>
      </c>
      <c r="N10" s="77">
        <f>VLOOKUP(견적!BN9,차량!$A:$V,22,0)</f>
        <v>20</v>
      </c>
      <c r="O10" s="77">
        <f>VLOOKUP(견적!BN9,차량!$A:$W,23,0)</f>
        <v>0</v>
      </c>
      <c r="P10" s="77" t="str">
        <f>VLOOKUP(견적!BN9,차량!$A:$X,24,0)</f>
        <v>P</v>
      </c>
      <c r="Q10" s="77">
        <f>VLOOKUP(견적!BN9,차량!$A:$Y,25,0)</f>
        <v>23</v>
      </c>
      <c r="R10" s="77">
        <f>VLOOKUP(견적!BN9,차량!$A:$Z,26,0)</f>
        <v>14</v>
      </c>
      <c r="S10" s="77">
        <f>VLOOKUP(견적!BN9,차량!A:AB,28,0)</f>
        <v>0</v>
      </c>
      <c r="T10" s="77">
        <f>VLOOKUP(견적!BN9,차량!$A:$AK,29,FALSE)</f>
        <v>0</v>
      </c>
      <c r="U10" s="77">
        <f>VLOOKUP(견적!BN9,차량!A:AA,27,0)</f>
        <v>0</v>
      </c>
      <c r="W10" s="142">
        <v>6</v>
      </c>
      <c r="X10" s="143">
        <f t="shared" si="1"/>
        <v>810300</v>
      </c>
      <c r="Y10" s="144">
        <f t="shared" si="22"/>
        <v>537899.96154044499</v>
      </c>
      <c r="Z10" s="144">
        <f t="shared" si="2"/>
        <v>272400.03845955495</v>
      </c>
      <c r="AA10" s="145">
        <f t="shared" si="3"/>
        <v>40051405.964809507</v>
      </c>
      <c r="AB10" s="143">
        <f t="shared" si="4"/>
        <v>810300</v>
      </c>
      <c r="AC10" s="145">
        <f t="shared" si="23"/>
        <v>810300</v>
      </c>
      <c r="AD10" s="151">
        <f t="shared" si="5"/>
        <v>0.97195306935240122</v>
      </c>
      <c r="AE10" s="150">
        <f t="shared" si="24"/>
        <v>787573.57209625072</v>
      </c>
      <c r="AF10" s="150">
        <f t="shared" si="6"/>
        <v>4725441.4325775038</v>
      </c>
      <c r="AG10" s="152">
        <f t="shared" si="7"/>
        <v>0.10407557249445178</v>
      </c>
      <c r="AH10" s="135"/>
      <c r="AI10" s="142">
        <v>6</v>
      </c>
      <c r="AJ10" s="143">
        <f t="shared" si="8"/>
        <v>703600</v>
      </c>
      <c r="AK10" s="144">
        <f t="shared" si="25"/>
        <v>444314.53620401572</v>
      </c>
      <c r="AL10" s="144">
        <f t="shared" si="9"/>
        <v>259285.46379598425</v>
      </c>
      <c r="AM10" s="145">
        <f t="shared" si="10"/>
        <v>40601094.943195537</v>
      </c>
      <c r="AN10" s="143">
        <f t="shared" si="11"/>
        <v>703600</v>
      </c>
      <c r="AO10" s="145">
        <f t="shared" si="26"/>
        <v>703600</v>
      </c>
      <c r="AP10" s="151">
        <f t="shared" si="12"/>
        <v>1.1100280276116339</v>
      </c>
      <c r="AQ10" s="150">
        <f t="shared" si="27"/>
        <v>781015.72022754559</v>
      </c>
      <c r="AR10" s="150">
        <f t="shared" si="13"/>
        <v>4686094.3213652736</v>
      </c>
      <c r="AS10" s="152">
        <f t="shared" si="14"/>
        <v>0.10320897131362164</v>
      </c>
      <c r="AT10" s="135"/>
      <c r="AU10" s="142">
        <v>6</v>
      </c>
      <c r="AV10" s="143">
        <f t="shared" si="15"/>
        <v>649400</v>
      </c>
      <c r="AW10" s="144">
        <f t="shared" si="28"/>
        <v>397645.76626168343</v>
      </c>
      <c r="AX10" s="144">
        <f t="shared" si="16"/>
        <v>251754.23373831657</v>
      </c>
      <c r="AY10" s="145">
        <f t="shared" si="17"/>
        <v>40875490.379769832</v>
      </c>
      <c r="AZ10" s="143">
        <f t="shared" si="18"/>
        <v>649400</v>
      </c>
      <c r="BA10" s="145">
        <f t="shared" si="29"/>
        <v>649400</v>
      </c>
      <c r="BB10" s="151">
        <f t="shared" si="19"/>
        <v>0.98027492565231356</v>
      </c>
      <c r="BC10" s="150">
        <f t="shared" si="30"/>
        <v>636590.53671861242</v>
      </c>
      <c r="BD10" s="150">
        <f t="shared" si="20"/>
        <v>3819543.2203116743</v>
      </c>
      <c r="BE10" s="152">
        <f t="shared" si="21"/>
        <v>8.4720370346670501E-2</v>
      </c>
    </row>
    <row r="11" spans="2:57" ht="16.5" customHeight="1">
      <c r="B11" s="1570"/>
      <c r="C11" s="3" t="s">
        <v>15</v>
      </c>
      <c r="D11" s="4"/>
      <c r="E11" s="23">
        <f>IF($F$11=0,0,IF(AND($I$5=1,$H$5=2024,ROUND(E9*G11*1.3,0)-1300000&lt;0),0,IF(AND($I$5=1,$H$5=2024,ROUND(E9*G11*1.3,0)-1300000&gt;=0),I12-1300000,IF(AND($I$5=2,$H$5=2024),I12,IF(AND($I$5=1,$H$5=2025,ROUND(E9*G4*1.3,0)-910000&lt;0),0,IF(AND($I$5=1,$H$5=2025,ROUND(E9*G4*1.3,0)-910000&gt;=0),I6-910000,$I$6))))))</f>
        <v>1492554.579293723</v>
      </c>
      <c r="F11" s="212">
        <f>VLOOKUP(견적!BN9,차량!$A:$P,16,0)</f>
        <v>1</v>
      </c>
      <c r="G11" s="739">
        <v>4.1000000000000002E-2</v>
      </c>
      <c r="H11" s="111">
        <v>6.5000000000000002E-2</v>
      </c>
      <c r="I11" s="112">
        <f>E9*H11</f>
        <v>2600269.3019054406</v>
      </c>
      <c r="J11" s="73"/>
      <c r="K11" s="34"/>
      <c r="L11" s="474" t="s">
        <v>2935</v>
      </c>
      <c r="M11" s="487">
        <f t="array" ref="M11">MAX(IF(($M$2=잔가율!$A$2:$A$42)*(잔가율!$B$1:$G$1=견적정보!$Q$27),잔가율!$B$2:$G$42))</f>
        <v>0</v>
      </c>
      <c r="N11" s="487">
        <f t="array" ref="N11">MAX(IF(($N$10=잔가율!$A$47:$A$70)*(잔가율!$B$46:$F$46=견적정보!$Q$27),잔가율!$B$47:$F$70))</f>
        <v>33</v>
      </c>
      <c r="O11" s="487">
        <f t="array" ref="O11">MAX(IF(($O$10=잔가율!$A$71:$A$98)*(잔가율!$B$46:$F$46=견적정보!$Q$27),잔가율!$B$71:$F$98))</f>
        <v>0</v>
      </c>
      <c r="P11" s="487">
        <f t="array" ref="P11">MAX(IF(($P$10=잔가율!$A$99:$A$124)*(잔가율!$B$46:$F$46=견적정보!$Q$27),잔가율!$B$99:$F$124))</f>
        <v>36.5</v>
      </c>
      <c r="Q11" s="487">
        <f t="array" ref="Q11">MAX(IF(($Q$10=잔가율!$A$125:$A$151)*(잔가율!$B$46:$F$46=견적정보!$Q$27),잔가율!$B$125:$F$151))</f>
        <v>19</v>
      </c>
      <c r="R11" s="487">
        <f t="array" ref="R11">MAX(IF(($R$10=잔가율!$A$152:$A$166)*(잔가율!$B$46:$F$46=견적정보!$Q$27),잔가율!$B$152:$F$166))</f>
        <v>26</v>
      </c>
      <c r="S11" s="487">
        <f t="array" ref="S11">MAX(IF(($S$10=잔가율!$A$167:$A$192)*(잔가율!$B$46:$F$46=견적정보!$Q$27),잔가율!$B$167:$F$192))</f>
        <v>0</v>
      </c>
      <c r="T11" s="487">
        <f t="array" ref="T11">MAX(IF(($T$2=잔가율!$A$193:$A$193)*(잔가율!$B$46:$F$46=견적정보!$Q$27),잔가율!$B$193:$F193))</f>
        <v>0</v>
      </c>
      <c r="U11" s="487">
        <f t="array" ref="U11">MAX(IF(($U$10=잔가율!$A$167:$A$192)*(잔가율!$B$46:$F$46=견적정보!$Q$27),잔가율!$B$167:$F$192))</f>
        <v>0</v>
      </c>
      <c r="W11" s="142">
        <v>7</v>
      </c>
      <c r="X11" s="143">
        <f t="shared" si="1"/>
        <v>810300</v>
      </c>
      <c r="Y11" s="144">
        <f t="shared" si="22"/>
        <v>541509.87717873859</v>
      </c>
      <c r="Z11" s="144">
        <f t="shared" si="2"/>
        <v>268790.12282126147</v>
      </c>
      <c r="AA11" s="145">
        <f t="shared" si="3"/>
        <v>39509896.087630771</v>
      </c>
      <c r="AB11" s="143">
        <f t="shared" si="4"/>
        <v>810300</v>
      </c>
      <c r="AC11" s="145">
        <f t="shared" si="23"/>
        <v>810300</v>
      </c>
      <c r="AD11" s="151">
        <f t="shared" si="5"/>
        <v>0.96735566246745963</v>
      </c>
      <c r="AE11" s="150">
        <f t="shared" si="24"/>
        <v>783848.29329738254</v>
      </c>
      <c r="AF11" s="150">
        <f t="shared" si="6"/>
        <v>5486938.0530816782</v>
      </c>
      <c r="AG11" s="152">
        <f t="shared" si="7"/>
        <v>0.12084716893942843</v>
      </c>
      <c r="AH11" s="135"/>
      <c r="AI11" s="142">
        <v>7</v>
      </c>
      <c r="AJ11" s="143">
        <f t="shared" si="8"/>
        <v>703600</v>
      </c>
      <c r="AK11" s="144">
        <f t="shared" si="25"/>
        <v>447121.28858027782</v>
      </c>
      <c r="AL11" s="144">
        <f t="shared" si="9"/>
        <v>256478.71141972215</v>
      </c>
      <c r="AM11" s="145">
        <f t="shared" si="10"/>
        <v>40153973.654615261</v>
      </c>
      <c r="AN11" s="143">
        <f t="shared" si="11"/>
        <v>703600</v>
      </c>
      <c r="AO11" s="145">
        <f t="shared" si="26"/>
        <v>703600</v>
      </c>
      <c r="AP11" s="151">
        <f t="shared" si="12"/>
        <v>1.1295087563295916</v>
      </c>
      <c r="AQ11" s="150">
        <f t="shared" si="27"/>
        <v>794722.36095350061</v>
      </c>
      <c r="AR11" s="150">
        <f t="shared" si="13"/>
        <v>5563056.5266745044</v>
      </c>
      <c r="AS11" s="152">
        <f t="shared" si="14"/>
        <v>0.1225236416731634</v>
      </c>
      <c r="AT11" s="135"/>
      <c r="AU11" s="142">
        <v>7</v>
      </c>
      <c r="AV11" s="143">
        <f t="shared" si="15"/>
        <v>649400</v>
      </c>
      <c r="AW11" s="144">
        <f t="shared" si="28"/>
        <v>400071.29081669403</v>
      </c>
      <c r="AX11" s="144">
        <f t="shared" si="16"/>
        <v>249328.70918330597</v>
      </c>
      <c r="AY11" s="145">
        <f t="shared" si="17"/>
        <v>40475419.088953137</v>
      </c>
      <c r="AZ11" s="143">
        <f t="shared" si="18"/>
        <v>649400</v>
      </c>
      <c r="BA11" s="145">
        <f t="shared" si="29"/>
        <v>649400</v>
      </c>
      <c r="BB11" s="151">
        <f t="shared" si="19"/>
        <v>0.9770254494997247</v>
      </c>
      <c r="BC11" s="150">
        <f t="shared" si="30"/>
        <v>634480.32690512121</v>
      </c>
      <c r="BD11" s="150">
        <f t="shared" si="20"/>
        <v>4441362.2883358486</v>
      </c>
      <c r="BE11" s="152">
        <f t="shared" si="21"/>
        <v>9.8512789673537243E-2</v>
      </c>
    </row>
    <row r="12" spans="2:57" ht="16.5" customHeight="1">
      <c r="B12" s="1570"/>
      <c r="C12" s="3" t="s">
        <v>17</v>
      </c>
      <c r="D12" s="4"/>
      <c r="E12" s="5">
        <v>2000</v>
      </c>
      <c r="F12" s="6"/>
      <c r="G12" s="7"/>
      <c r="H12" s="742">
        <v>5.33E-2</v>
      </c>
      <c r="I12" s="331">
        <f>E9*H12</f>
        <v>2132220.8275624611</v>
      </c>
      <c r="J12" s="73"/>
      <c r="K12" s="34"/>
      <c r="L12" s="77" t="s">
        <v>2936</v>
      </c>
      <c r="M12" s="487">
        <f>IF(Q32="4만km",-M11,IF(Q32="3.5만km",-M11,(IF(Q32="3만km",0,IF(Q32="2.5만km",2,IF(Q32="2만km",4,IF(Q32="1.5만km",6,IF(Q32="1만km",8))))))))</f>
        <v>4</v>
      </c>
      <c r="N12" s="487">
        <f>IF(Q32="4만km",-12,IF(Q32="3.5만km",-N11,(IF(Q32="3만km",-6,IF(Q32="2.5만km",-3,IF(Q32="2만km",0,IF(Q32="1.5만km",1.5,IF(Q32="1만km",3))))))))</f>
        <v>0</v>
      </c>
      <c r="O12" s="487">
        <f>IF(Q32="4만km",-O11,IF(Q32="3.5만km",-18,(IF(Q32="3만km",-12,IF(Q32="2.5만km",-6,IF(Q32="2만km",0,IF(Q32="1.5만km",2,IF(Q32="1만km",4))))))))</f>
        <v>0</v>
      </c>
      <c r="P12" s="487">
        <f>IF(Q32="4만km",-10,IF(Q32="3.5만km",-P11,(IF(Q32="3만km",-3.5,IF(Q32="2.5만km",-2.5,IF(Q32="2만km",0,IF(Q32="1.5만km",1.5,IF(Q32="1만km",3))))))))</f>
        <v>0</v>
      </c>
      <c r="Q12" s="487">
        <f>IF(Q32="4만km",-9,IF(Q32="3.5만km",-Q11,(IF(Q32="3만km",-5,IF(Q32="2.5만km",-2,IF(Q32="2만km",0,IF(Q32="1.5만km",1,IF(Q32="1만km",2.5))))))))</f>
        <v>0</v>
      </c>
      <c r="R12" s="487">
        <f>IF(Q32="4만km",-4.5,IF(Q32="3.5만km",-R3,(IF(Q32="3만km",-3,IF(Q32="2.5만km",-1.5,IF(Q32="2만km",0,IF(Q32="1.5만km",1.5,IF(Q32="1만km",3))))))))</f>
        <v>0</v>
      </c>
      <c r="S12" s="487">
        <f>IF(Q32="4만km",-S11,IF(Q32="3.5만km",-S11,(IF(Q32="3만km",-S11,IF(Q32="2.5만km",-S11,IF(Q32="2만km",0,IF(Q32="1.5만km",2,IF(Q32="1만km",4))))))))</f>
        <v>0</v>
      </c>
      <c r="T12" s="487">
        <f t="array" ref="T12">IF(Q32="4만km",-12,IF(Q32="3.5만km",-T11,(IF(Q32="3만km",-6,IF(Q32="2.5만km",-3,IF(Q32="2만km",-T11,IF(Q32="1.5만km",-T11,IF(Q32="1만km",-T11))))))))</f>
        <v>0</v>
      </c>
      <c r="U12" s="487">
        <f>IF(Q32="4만km",-U11,IF(Q32="3.5만km",-U11,(IF(Q32="3만km",-U11,IF(Q32="2.5만km",-U11,IF(Q32="2만km",0,IF(Q32="1.5만km",2,IF(Q32="1만km",4))))))))</f>
        <v>0</v>
      </c>
      <c r="W12" s="142">
        <v>8</v>
      </c>
      <c r="X12" s="143">
        <f t="shared" si="1"/>
        <v>810300</v>
      </c>
      <c r="Y12" s="144">
        <f t="shared" si="22"/>
        <v>545144.01942392439</v>
      </c>
      <c r="Z12" s="144">
        <f t="shared" si="2"/>
        <v>265155.98057607567</v>
      </c>
      <c r="AA12" s="145">
        <f t="shared" si="3"/>
        <v>38964752.068206847</v>
      </c>
      <c r="AB12" s="143">
        <f t="shared" si="4"/>
        <v>810300</v>
      </c>
      <c r="AC12" s="145">
        <f t="shared" si="23"/>
        <v>810300</v>
      </c>
      <c r="AD12" s="151">
        <f t="shared" si="5"/>
        <v>0.96278000164282873</v>
      </c>
      <c r="AE12" s="150">
        <f t="shared" si="24"/>
        <v>780140.63533118414</v>
      </c>
      <c r="AF12" s="150">
        <f t="shared" si="6"/>
        <v>6241125.0826494731</v>
      </c>
      <c r="AG12" s="152">
        <f t="shared" si="7"/>
        <v>0.13745777516322505</v>
      </c>
      <c r="AH12" s="135"/>
      <c r="AI12" s="142">
        <v>8</v>
      </c>
      <c r="AJ12" s="143">
        <f t="shared" si="8"/>
        <v>703600</v>
      </c>
      <c r="AK12" s="144">
        <f t="shared" si="25"/>
        <v>449945.77132153988</v>
      </c>
      <c r="AL12" s="144">
        <f t="shared" si="9"/>
        <v>253654.22867846015</v>
      </c>
      <c r="AM12" s="145">
        <f t="shared" si="10"/>
        <v>39704027.883293718</v>
      </c>
      <c r="AN12" s="143">
        <f t="shared" si="11"/>
        <v>703600</v>
      </c>
      <c r="AO12" s="145">
        <f t="shared" si="26"/>
        <v>703600</v>
      </c>
      <c r="AP12" s="151">
        <f t="shared" si="12"/>
        <v>1.1493313672180374</v>
      </c>
      <c r="AQ12" s="150">
        <f t="shared" si="27"/>
        <v>808669.54997461115</v>
      </c>
      <c r="AR12" s="150">
        <f t="shared" si="13"/>
        <v>6469356.3997968892</v>
      </c>
      <c r="AS12" s="152">
        <f t="shared" si="14"/>
        <v>0.14248446004170515</v>
      </c>
      <c r="AT12" s="135"/>
      <c r="AU12" s="142">
        <v>8</v>
      </c>
      <c r="AV12" s="143">
        <f t="shared" si="15"/>
        <v>649400</v>
      </c>
      <c r="AW12" s="144">
        <f t="shared" si="28"/>
        <v>402511.61037234624</v>
      </c>
      <c r="AX12" s="144">
        <f t="shared" si="16"/>
        <v>246888.38962765376</v>
      </c>
      <c r="AY12" s="145">
        <f t="shared" si="17"/>
        <v>40072907.478580788</v>
      </c>
      <c r="AZ12" s="143">
        <f t="shared" si="18"/>
        <v>649400</v>
      </c>
      <c r="BA12" s="145">
        <f t="shared" si="29"/>
        <v>649400</v>
      </c>
      <c r="BB12" s="151">
        <f t="shared" si="19"/>
        <v>0.97378674491232609</v>
      </c>
      <c r="BC12" s="150">
        <f t="shared" si="30"/>
        <v>632377.11214606452</v>
      </c>
      <c r="BD12" s="150">
        <f t="shared" si="20"/>
        <v>5059016.8971685162</v>
      </c>
      <c r="BE12" s="152">
        <f t="shared" si="21"/>
        <v>0.11221283813178234</v>
      </c>
    </row>
    <row r="13" spans="2:57" ht="16.5" customHeight="1">
      <c r="B13" s="1570"/>
      <c r="C13" s="3" t="s">
        <v>18</v>
      </c>
      <c r="D13" s="4">
        <v>20500</v>
      </c>
      <c r="E13" s="5">
        <f>D13-F13</f>
        <v>18636</v>
      </c>
      <c r="F13" s="6">
        <f>ROUND(D13/11,0)</f>
        <v>1864</v>
      </c>
      <c r="G13" s="7" t="b">
        <f t="shared" ref="G13:G19" si="32">F13+E13=D13</f>
        <v>1</v>
      </c>
      <c r="H13" s="113" t="s">
        <v>20</v>
      </c>
      <c r="I13" s="114">
        <f>I11-I12</f>
        <v>468048.47434297949</v>
      </c>
      <c r="J13" s="155"/>
      <c r="K13" s="482" t="s">
        <v>2941</v>
      </c>
      <c r="L13" s="481" t="s">
        <v>2938</v>
      </c>
      <c r="M13" s="489">
        <f>M11+M12</f>
        <v>4</v>
      </c>
      <c r="N13" s="489">
        <f t="shared" ref="N13:U13" si="33">ROUND(N11+N12,1)</f>
        <v>33</v>
      </c>
      <c r="O13" s="489">
        <f t="shared" si="33"/>
        <v>0</v>
      </c>
      <c r="P13" s="489">
        <f t="shared" si="33"/>
        <v>36.5</v>
      </c>
      <c r="Q13" s="489">
        <f t="shared" si="33"/>
        <v>19</v>
      </c>
      <c r="R13" s="489">
        <f>ROUND(R11+R12,1)</f>
        <v>26</v>
      </c>
      <c r="S13" s="489">
        <f>ROUND(S11+S12,1)</f>
        <v>0</v>
      </c>
      <c r="T13" s="489">
        <f>ROUND(T11+T12,1)</f>
        <v>0</v>
      </c>
      <c r="U13" s="489">
        <f t="shared" si="33"/>
        <v>0</v>
      </c>
      <c r="W13" s="142">
        <v>9</v>
      </c>
      <c r="X13" s="143">
        <f t="shared" si="1"/>
        <v>810300</v>
      </c>
      <c r="Y13" s="144">
        <f t="shared" si="22"/>
        <v>548802.55086386867</v>
      </c>
      <c r="Z13" s="144">
        <f t="shared" si="2"/>
        <v>261497.4491361313</v>
      </c>
      <c r="AA13" s="145">
        <f t="shared" si="3"/>
        <v>38415949.517342977</v>
      </c>
      <c r="AB13" s="143">
        <f t="shared" si="4"/>
        <v>810300</v>
      </c>
      <c r="AC13" s="145">
        <f t="shared" si="23"/>
        <v>810300</v>
      </c>
      <c r="AD13" s="151">
        <f t="shared" si="5"/>
        <v>0.95822598401810311</v>
      </c>
      <c r="AE13" s="150">
        <f t="shared" si="24"/>
        <v>776450.51484986895</v>
      </c>
      <c r="AF13" s="150">
        <f t="shared" si="6"/>
        <v>6988054.6336488202</v>
      </c>
      <c r="AG13" s="152">
        <f t="shared" si="7"/>
        <v>0.1539085389156559</v>
      </c>
      <c r="AH13" s="135"/>
      <c r="AI13" s="142">
        <v>9</v>
      </c>
      <c r="AJ13" s="143">
        <f t="shared" si="8"/>
        <v>703600</v>
      </c>
      <c r="AK13" s="144">
        <f t="shared" si="25"/>
        <v>452788.0964312139</v>
      </c>
      <c r="AL13" s="144">
        <f t="shared" si="9"/>
        <v>250811.90356878613</v>
      </c>
      <c r="AM13" s="145">
        <f t="shared" si="10"/>
        <v>39251239.786862507</v>
      </c>
      <c r="AN13" s="143">
        <f t="shared" si="11"/>
        <v>703600</v>
      </c>
      <c r="AO13" s="145">
        <f t="shared" si="26"/>
        <v>703600</v>
      </c>
      <c r="AP13" s="151">
        <f t="shared" si="12"/>
        <v>1.1695018602280101</v>
      </c>
      <c r="AQ13" s="150">
        <f t="shared" si="27"/>
        <v>822861.50885642786</v>
      </c>
      <c r="AR13" s="150">
        <f t="shared" si="13"/>
        <v>7405753.5797078507</v>
      </c>
      <c r="AS13" s="152">
        <f t="shared" si="14"/>
        <v>0.16310815710195331</v>
      </c>
      <c r="AT13" s="135"/>
      <c r="AU13" s="142">
        <v>9</v>
      </c>
      <c r="AV13" s="143">
        <f t="shared" si="15"/>
        <v>649400</v>
      </c>
      <c r="AW13" s="144">
        <f t="shared" si="28"/>
        <v>404966.81517387938</v>
      </c>
      <c r="AX13" s="144">
        <f t="shared" si="16"/>
        <v>244433.18482612065</v>
      </c>
      <c r="AY13" s="145">
        <f t="shared" si="17"/>
        <v>39667940.663406909</v>
      </c>
      <c r="AZ13" s="143">
        <f t="shared" si="18"/>
        <v>649400</v>
      </c>
      <c r="BA13" s="145">
        <f t="shared" si="29"/>
        <v>649400</v>
      </c>
      <c r="BB13" s="151">
        <f t="shared" si="19"/>
        <v>0.97055877618386532</v>
      </c>
      <c r="BC13" s="150">
        <f t="shared" si="30"/>
        <v>630280.86925380211</v>
      </c>
      <c r="BD13" s="150">
        <f t="shared" si="20"/>
        <v>5672527.823284219</v>
      </c>
      <c r="BE13" s="152">
        <f t="shared" si="21"/>
        <v>0.12582097655939511</v>
      </c>
    </row>
    <row r="14" spans="2:57" ht="16.5" customHeight="1">
      <c r="B14" s="1570"/>
      <c r="C14" s="3" t="s">
        <v>19</v>
      </c>
      <c r="D14" s="4">
        <v>27500</v>
      </c>
      <c r="E14" s="5">
        <f>D14-F14</f>
        <v>25000</v>
      </c>
      <c r="F14" s="6">
        <f>ROUND(D14/11,0)</f>
        <v>2500</v>
      </c>
      <c r="G14" s="7" t="b">
        <f t="shared" si="32"/>
        <v>1</v>
      </c>
      <c r="I14" s="73"/>
      <c r="J14" s="155"/>
      <c r="L14" s="473"/>
      <c r="M14" s="36"/>
      <c r="N14" s="468" t="str">
        <f>IF(E28=N5,"P","")</f>
        <v/>
      </c>
      <c r="O14" s="494" t="str">
        <f>IF(E28=O5,"C","")</f>
        <v/>
      </c>
      <c r="P14" s="494" t="str">
        <f>IF(E28=P5,"T","")</f>
        <v>T</v>
      </c>
      <c r="Q14" s="494" t="str">
        <f>IF(E28=Q5,"H","")</f>
        <v/>
      </c>
      <c r="R14" s="494" t="str">
        <f>IF(E28=R5,"G","")</f>
        <v/>
      </c>
      <c r="S14" s="494" t="str">
        <f>IF(E28=S5,"M3","")</f>
        <v/>
      </c>
      <c r="T14" s="494" t="str">
        <f>IF(E28=T5,"AP","")</f>
        <v/>
      </c>
      <c r="U14" s="494" t="str">
        <f>IF(E28=U5,"M","")</f>
        <v/>
      </c>
      <c r="W14" s="142">
        <v>10</v>
      </c>
      <c r="X14" s="143">
        <f t="shared" si="1"/>
        <v>810300</v>
      </c>
      <c r="Y14" s="144">
        <f t="shared" si="22"/>
        <v>552485.63517758623</v>
      </c>
      <c r="Z14" s="144">
        <f t="shared" si="2"/>
        <v>257814.36482241377</v>
      </c>
      <c r="AA14" s="145">
        <f t="shared" si="3"/>
        <v>37863463.882165387</v>
      </c>
      <c r="AB14" s="143">
        <f t="shared" si="4"/>
        <v>810300</v>
      </c>
      <c r="AC14" s="145">
        <f t="shared" si="23"/>
        <v>810300</v>
      </c>
      <c r="AD14" s="151">
        <f t="shared" si="5"/>
        <v>0.95369350721941337</v>
      </c>
      <c r="AE14" s="150">
        <f t="shared" si="24"/>
        <v>772777.84889989067</v>
      </c>
      <c r="AF14" s="150">
        <f t="shared" si="6"/>
        <v>7727778.4889989067</v>
      </c>
      <c r="AG14" s="152">
        <f t="shared" si="7"/>
        <v>0.17020060069058524</v>
      </c>
      <c r="AH14" s="135"/>
      <c r="AI14" s="142">
        <v>10</v>
      </c>
      <c r="AJ14" s="143">
        <f t="shared" si="8"/>
        <v>703600</v>
      </c>
      <c r="AK14" s="144">
        <f t="shared" si="25"/>
        <v>455648.37662024179</v>
      </c>
      <c r="AL14" s="144">
        <f t="shared" si="9"/>
        <v>247951.62337975818</v>
      </c>
      <c r="AM14" s="145">
        <f t="shared" si="10"/>
        <v>38795591.410242267</v>
      </c>
      <c r="AN14" s="143">
        <f t="shared" si="11"/>
        <v>703600</v>
      </c>
      <c r="AO14" s="145">
        <f t="shared" si="26"/>
        <v>703600</v>
      </c>
      <c r="AP14" s="151">
        <f t="shared" si="12"/>
        <v>1.1900263406082654</v>
      </c>
      <c r="AQ14" s="150">
        <f t="shared" si="27"/>
        <v>837302.53325197555</v>
      </c>
      <c r="AR14" s="150">
        <f t="shared" si="13"/>
        <v>8373025.3325197557</v>
      </c>
      <c r="AS14" s="152">
        <f t="shared" si="14"/>
        <v>0.18441185176581895</v>
      </c>
      <c r="AT14" s="135"/>
      <c r="AU14" s="142">
        <v>10</v>
      </c>
      <c r="AV14" s="143">
        <f t="shared" si="15"/>
        <v>649400</v>
      </c>
      <c r="AW14" s="144">
        <f t="shared" si="28"/>
        <v>407436.99601700262</v>
      </c>
      <c r="AX14" s="144">
        <f t="shared" si="16"/>
        <v>241963.00398299735</v>
      </c>
      <c r="AY14" s="145">
        <f t="shared" si="17"/>
        <v>39260503.667389907</v>
      </c>
      <c r="AZ14" s="143">
        <f t="shared" si="18"/>
        <v>649400</v>
      </c>
      <c r="BA14" s="145">
        <f t="shared" si="29"/>
        <v>649400</v>
      </c>
      <c r="BB14" s="151">
        <f t="shared" si="19"/>
        <v>0.96734150772645089</v>
      </c>
      <c r="BC14" s="150">
        <f t="shared" si="30"/>
        <v>628191.57511755719</v>
      </c>
      <c r="BD14" s="150">
        <f t="shared" si="20"/>
        <v>6281915.7511755722</v>
      </c>
      <c r="BE14" s="152">
        <f t="shared" si="21"/>
        <v>0.13933766375413587</v>
      </c>
    </row>
    <row r="15" spans="2:57" ht="16.5" customHeight="1">
      <c r="B15" s="1570"/>
      <c r="C15" s="3" t="s">
        <v>21</v>
      </c>
      <c r="D15" s="4">
        <v>11000</v>
      </c>
      <c r="E15" s="5">
        <f>D15-F15</f>
        <v>10000</v>
      </c>
      <c r="F15" s="6">
        <f>ROUND(D15/11,0)</f>
        <v>1000</v>
      </c>
      <c r="G15" s="7" t="b">
        <f t="shared" si="32"/>
        <v>1</v>
      </c>
      <c r="I15" s="73"/>
      <c r="J15" s="73"/>
      <c r="K15" s="73"/>
      <c r="L15" s="472"/>
      <c r="M15" s="76"/>
      <c r="N15" s="494" t="str">
        <f>IF(J28=N9,"P","")</f>
        <v/>
      </c>
      <c r="O15" s="494" t="str">
        <f>IF(J28=O9,"C","")</f>
        <v/>
      </c>
      <c r="P15" s="494" t="str">
        <f>IF(J28=P9,"T","")</f>
        <v>T</v>
      </c>
      <c r="Q15" s="495" t="str">
        <f>IF(J28=Q9,"H","")</f>
        <v/>
      </c>
      <c r="R15" s="495" t="str">
        <f>IF(J28=R9,"G","")</f>
        <v/>
      </c>
      <c r="S15" s="495" t="str">
        <f>IF(J28=S9,"M3","")</f>
        <v/>
      </c>
      <c r="T15" s="495" t="str">
        <f>IF(J28=T9,"AP","")</f>
        <v/>
      </c>
      <c r="U15" s="495" t="str">
        <f>IF(J28=U9,"M","")</f>
        <v/>
      </c>
      <c r="W15" s="142">
        <v>11</v>
      </c>
      <c r="X15" s="143">
        <f t="shared" si="1"/>
        <v>810300</v>
      </c>
      <c r="Y15" s="144">
        <f t="shared" si="22"/>
        <v>556193.43714256212</v>
      </c>
      <c r="Z15" s="144">
        <f t="shared" si="2"/>
        <v>254106.56285743791</v>
      </c>
      <c r="AA15" s="145">
        <f t="shared" si="3"/>
        <v>37307270.445022821</v>
      </c>
      <c r="AB15" s="143">
        <f t="shared" si="4"/>
        <v>810300</v>
      </c>
      <c r="AC15" s="145">
        <f t="shared" si="23"/>
        <v>810300</v>
      </c>
      <c r="AD15" s="151">
        <f t="shared" si="5"/>
        <v>0.94918246935712647</v>
      </c>
      <c r="AE15" s="150">
        <f t="shared" si="24"/>
        <v>769122.55492007954</v>
      </c>
      <c r="AF15" s="150">
        <f t="shared" si="6"/>
        <v>8460348.1041208748</v>
      </c>
      <c r="AG15" s="152">
        <f t="shared" si="7"/>
        <v>0.18633509376889057</v>
      </c>
      <c r="AH15" s="135"/>
      <c r="AI15" s="142">
        <v>11</v>
      </c>
      <c r="AJ15" s="143">
        <f t="shared" si="8"/>
        <v>703600</v>
      </c>
      <c r="AK15" s="144">
        <f t="shared" si="25"/>
        <v>458526.72531156533</v>
      </c>
      <c r="AL15" s="144">
        <f t="shared" si="9"/>
        <v>245073.2746884347</v>
      </c>
      <c r="AM15" s="145">
        <f t="shared" si="10"/>
        <v>38337064.684930705</v>
      </c>
      <c r="AN15" s="143">
        <f t="shared" si="11"/>
        <v>703600</v>
      </c>
      <c r="AO15" s="145">
        <f t="shared" si="26"/>
        <v>703600</v>
      </c>
      <c r="AP15" s="151">
        <f t="shared" si="12"/>
        <v>1.2109110207532288</v>
      </c>
      <c r="AQ15" s="150">
        <f t="shared" si="27"/>
        <v>851996.9942019718</v>
      </c>
      <c r="AR15" s="150">
        <f t="shared" si="13"/>
        <v>9371966.936221689</v>
      </c>
      <c r="AS15" s="152">
        <f t="shared" si="14"/>
        <v>0.20641305964812601</v>
      </c>
      <c r="AT15" s="135"/>
      <c r="AU15" s="142">
        <v>11</v>
      </c>
      <c r="AV15" s="143">
        <f t="shared" si="15"/>
        <v>649400</v>
      </c>
      <c r="AW15" s="144">
        <f t="shared" si="28"/>
        <v>409922.24425125308</v>
      </c>
      <c r="AX15" s="144">
        <f t="shared" si="16"/>
        <v>239477.75574874695</v>
      </c>
      <c r="AY15" s="145">
        <f t="shared" si="17"/>
        <v>38850581.423138656</v>
      </c>
      <c r="AZ15" s="143">
        <f t="shared" si="18"/>
        <v>649400</v>
      </c>
      <c r="BA15" s="145">
        <f t="shared" si="29"/>
        <v>649400</v>
      </c>
      <c r="BB15" s="151">
        <f t="shared" si="19"/>
        <v>0.96413490407016034</v>
      </c>
      <c r="BC15" s="150">
        <f t="shared" si="30"/>
        <v>626109.20670316217</v>
      </c>
      <c r="BD15" s="150">
        <f t="shared" si="20"/>
        <v>6887201.2737347838</v>
      </c>
      <c r="BE15" s="152">
        <f t="shared" si="21"/>
        <v>0.15276335648199821</v>
      </c>
    </row>
    <row r="16" spans="2:57" ht="16.5" customHeight="1">
      <c r="B16" s="1570"/>
      <c r="C16" s="3" t="s">
        <v>22</v>
      </c>
      <c r="D16" s="4">
        <f>IF(견적!$CL$15="없음",0,VLOOKUP(견적!$CL$15,'탁송,용품'!$J$23:$N$24,5,0))</f>
        <v>0</v>
      </c>
      <c r="E16" s="5">
        <f>IF(견적!$CL$15="없음",0,VLOOKUP(견적!$CL$15,'탁송,용품'!$J$23:$N$24,3,0))</f>
        <v>0</v>
      </c>
      <c r="F16" s="6">
        <f>IF(견적!$CL$15="없음",0,VLOOKUP(견적!$CL$15,'탁송,용품'!$J$23:$N$24,4,0))</f>
        <v>0</v>
      </c>
      <c r="G16" s="7" t="b">
        <f t="shared" si="32"/>
        <v>1</v>
      </c>
      <c r="H16" s="734" t="s">
        <v>1563</v>
      </c>
      <c r="I16" s="115">
        <f>SUM(D16+D17+D18+D19)</f>
        <v>0</v>
      </c>
      <c r="J16" s="209" t="s">
        <v>1736</v>
      </c>
      <c r="K16" s="73"/>
      <c r="L16" s="472"/>
      <c r="M16" s="76"/>
      <c r="N16" s="676" t="str">
        <f>IF(O28=N13,"P","")</f>
        <v/>
      </c>
      <c r="O16" s="676" t="str">
        <f>IF(O28=O13,"C","")</f>
        <v/>
      </c>
      <c r="P16" s="676" t="str">
        <f>IF(O28=P13,"T","")</f>
        <v>T</v>
      </c>
      <c r="Q16" s="677" t="str">
        <f>IF(O28=Q13,"H","")</f>
        <v/>
      </c>
      <c r="R16" s="677" t="str">
        <f>IF(O28=R13,"G","")</f>
        <v/>
      </c>
      <c r="S16" s="495" t="str">
        <f>IF(O28=S13,"M3","")</f>
        <v/>
      </c>
      <c r="T16" s="495" t="str">
        <f>IF(O28=T13,"AP","")</f>
        <v/>
      </c>
      <c r="U16" s="677" t="str">
        <f>IF(O28=U13,"M","")</f>
        <v/>
      </c>
      <c r="W16" s="142">
        <v>12</v>
      </c>
      <c r="X16" s="143">
        <f t="shared" si="1"/>
        <v>810300</v>
      </c>
      <c r="Y16" s="144">
        <f t="shared" si="22"/>
        <v>559926.12264212442</v>
      </c>
      <c r="Z16" s="144">
        <f t="shared" si="2"/>
        <v>250373.87735787555</v>
      </c>
      <c r="AA16" s="145">
        <f t="shared" si="3"/>
        <v>36747344.322380699</v>
      </c>
      <c r="AB16" s="143">
        <f t="shared" si="4"/>
        <v>810300</v>
      </c>
      <c r="AC16" s="145">
        <f t="shared" si="23"/>
        <v>810300</v>
      </c>
      <c r="AD16" s="151">
        <f t="shared" si="5"/>
        <v>0.9446927690235537</v>
      </c>
      <c r="AE16" s="150">
        <f t="shared" si="24"/>
        <v>765484.55073978554</v>
      </c>
      <c r="AF16" s="150">
        <f t="shared" si="6"/>
        <v>9185814.608877426</v>
      </c>
      <c r="AG16" s="152">
        <f t="shared" si="7"/>
        <v>0.20231314426118152</v>
      </c>
      <c r="AH16" s="135"/>
      <c r="AI16" s="142">
        <v>12</v>
      </c>
      <c r="AJ16" s="143">
        <f t="shared" si="8"/>
        <v>703600</v>
      </c>
      <c r="AK16" s="144">
        <f t="shared" si="25"/>
        <v>461423.256644623</v>
      </c>
      <c r="AL16" s="144">
        <f t="shared" si="9"/>
        <v>242176.74335537702</v>
      </c>
      <c r="AM16" s="145">
        <f t="shared" si="10"/>
        <v>37875641.428286083</v>
      </c>
      <c r="AN16" s="143">
        <f t="shared" si="11"/>
        <v>703600</v>
      </c>
      <c r="AO16" s="145">
        <f t="shared" si="26"/>
        <v>703600</v>
      </c>
      <c r="AP16" s="151">
        <f t="shared" si="12"/>
        <v>1.2321622220833741</v>
      </c>
      <c r="AQ16" s="150">
        <f t="shared" si="27"/>
        <v>866949.33945786208</v>
      </c>
      <c r="AR16" s="150">
        <f t="shared" si="13"/>
        <v>10403392.073494345</v>
      </c>
      <c r="AS16" s="152">
        <f t="shared" si="14"/>
        <v>0.22912970171817026</v>
      </c>
      <c r="AT16" s="135"/>
      <c r="AU16" s="142">
        <v>12</v>
      </c>
      <c r="AV16" s="143">
        <f t="shared" si="15"/>
        <v>649400</v>
      </c>
      <c r="AW16" s="144">
        <f t="shared" si="28"/>
        <v>412422.65178337332</v>
      </c>
      <c r="AX16" s="144">
        <f t="shared" si="16"/>
        <v>236977.34821662665</v>
      </c>
      <c r="AY16" s="145">
        <f t="shared" si="17"/>
        <v>38438158.771355279</v>
      </c>
      <c r="AZ16" s="143">
        <f t="shared" si="18"/>
        <v>649400</v>
      </c>
      <c r="BA16" s="145">
        <f t="shared" si="29"/>
        <v>649400</v>
      </c>
      <c r="BB16" s="151">
        <f t="shared" si="19"/>
        <v>0.96093892986264906</v>
      </c>
      <c r="BC16" s="150">
        <f t="shared" si="30"/>
        <v>624033.74105280428</v>
      </c>
      <c r="BD16" s="150">
        <f t="shared" si="20"/>
        <v>7488404.8926336514</v>
      </c>
      <c r="BE16" s="152">
        <f t="shared" si="21"/>
        <v>0.16609850948563784</v>
      </c>
    </row>
    <row r="17" spans="2:57" ht="16.5" customHeight="1">
      <c r="B17" s="1570"/>
      <c r="C17" s="3" t="s">
        <v>23</v>
      </c>
      <c r="D17" s="4">
        <f>IF(견적!$CL$13="없음",0,VLOOKUP($E$36,'탁송,용품'!$K$3:$N$47,4,0))+I3+J3</f>
        <v>0</v>
      </c>
      <c r="E17" s="5">
        <f>IF(견적!$CL$13="없음",0,VLOOKUP($E$36,'탁송,용품'!$K$3:$N$47,2,0))+I3</f>
        <v>0</v>
      </c>
      <c r="F17" s="6">
        <f>IF(견적!$CL$13="없음",0,VLOOKUP($E$36,'탁송,용품'!$K$3:$N$47,3,0))+J3</f>
        <v>0</v>
      </c>
      <c r="G17" s="7" t="b">
        <f t="shared" si="32"/>
        <v>1</v>
      </c>
      <c r="H17" s="735" t="s">
        <v>1564</v>
      </c>
      <c r="I17" s="116">
        <f>D9</f>
        <v>44004557.106237546</v>
      </c>
      <c r="J17" s="210">
        <f t="array" ref="J17">MAX(IF(($C$32='탁송,용품'!$C$566:$C$619)*($C$33='탁송,용품'!$D$566:$D$619)*("합계"='탁송,용품'!$E$566:$E$619),'탁송,용품'!$F$566:$F$619))</f>
        <v>80300</v>
      </c>
      <c r="K17" s="298"/>
      <c r="L17" s="472"/>
      <c r="M17" s="76"/>
      <c r="N17" s="775"/>
      <c r="O17" s="471"/>
      <c r="P17" s="471"/>
      <c r="Q17" s="472"/>
      <c r="R17" s="472"/>
      <c r="S17" s="472"/>
      <c r="T17" s="472"/>
      <c r="U17" s="472"/>
      <c r="W17" s="142">
        <v>13</v>
      </c>
      <c r="X17" s="143">
        <f t="shared" si="1"/>
        <v>810300</v>
      </c>
      <c r="Y17" s="144">
        <f t="shared" si="22"/>
        <v>563683.85867286567</v>
      </c>
      <c r="Z17" s="144">
        <f t="shared" si="2"/>
        <v>246616.14132713433</v>
      </c>
      <c r="AA17" s="145">
        <f t="shared" si="3"/>
        <v>36183660.463707834</v>
      </c>
      <c r="AB17" s="143">
        <f t="shared" si="4"/>
        <v>810300</v>
      </c>
      <c r="AC17" s="145">
        <f t="shared" si="23"/>
        <v>810300</v>
      </c>
      <c r="AD17" s="151">
        <f t="shared" si="5"/>
        <v>0.94022430529067258</v>
      </c>
      <c r="AE17" s="150">
        <f t="shared" si="24"/>
        <v>761863.75457703194</v>
      </c>
      <c r="AF17" s="150">
        <f t="shared" si="6"/>
        <v>9904228.8095014151</v>
      </c>
      <c r="AG17" s="152">
        <f t="shared" si="7"/>
        <v>0.21813587115027608</v>
      </c>
      <c r="AH17" s="135"/>
      <c r="AI17" s="142">
        <v>13</v>
      </c>
      <c r="AJ17" s="143">
        <f t="shared" si="8"/>
        <v>703600</v>
      </c>
      <c r="AK17" s="144">
        <f t="shared" si="25"/>
        <v>464338.08547987673</v>
      </c>
      <c r="AL17" s="144">
        <f t="shared" si="9"/>
        <v>239261.91452012325</v>
      </c>
      <c r="AM17" s="145">
        <f t="shared" si="10"/>
        <v>37411303.342806205</v>
      </c>
      <c r="AN17" s="143">
        <f t="shared" si="11"/>
        <v>703600</v>
      </c>
      <c r="AO17" s="145">
        <f t="shared" si="26"/>
        <v>703600</v>
      </c>
      <c r="AP17" s="151">
        <f t="shared" si="12"/>
        <v>1.2537863769586062</v>
      </c>
      <c r="AQ17" s="150">
        <f t="shared" si="27"/>
        <v>882164.09482807526</v>
      </c>
      <c r="AR17" s="150">
        <f t="shared" si="13"/>
        <v>11468133.232764978</v>
      </c>
      <c r="AS17" s="152">
        <f t="shared" si="14"/>
        <v>0.25258011313276141</v>
      </c>
      <c r="AT17" s="135"/>
      <c r="AU17" s="142">
        <v>13</v>
      </c>
      <c r="AV17" s="143">
        <f t="shared" si="15"/>
        <v>649400</v>
      </c>
      <c r="AW17" s="144">
        <f t="shared" si="28"/>
        <v>414938.31108071108</v>
      </c>
      <c r="AX17" s="144">
        <f t="shared" si="16"/>
        <v>234461.68891928892</v>
      </c>
      <c r="AY17" s="145">
        <f t="shared" si="17"/>
        <v>38023220.46027457</v>
      </c>
      <c r="AZ17" s="143">
        <f t="shared" si="18"/>
        <v>649400</v>
      </c>
      <c r="BA17" s="145">
        <f t="shared" si="29"/>
        <v>649400</v>
      </c>
      <c r="BB17" s="151">
        <f t="shared" si="19"/>
        <v>0.95775354986876082</v>
      </c>
      <c r="BC17" s="150">
        <f t="shared" si="30"/>
        <v>621965.15528477333</v>
      </c>
      <c r="BD17" s="150">
        <f t="shared" si="20"/>
        <v>8085547.0187020535</v>
      </c>
      <c r="BE17" s="152">
        <f t="shared" si="21"/>
        <v>0.17934357549276764</v>
      </c>
    </row>
    <row r="18" spans="2:57" ht="16.5" customHeight="1">
      <c r="B18" s="1570"/>
      <c r="C18" s="307" t="s">
        <v>24</v>
      </c>
      <c r="D18" s="308">
        <f>IF(C26=1,0,VLOOKUP(견적!CL12,'탁송,용품'!J34:N38,5,0))</f>
        <v>0</v>
      </c>
      <c r="E18" s="309">
        <f>+D18/1.1</f>
        <v>0</v>
      </c>
      <c r="F18" s="310">
        <f>+D18-E18</f>
        <v>0</v>
      </c>
      <c r="G18" s="7" t="b">
        <f t="shared" si="32"/>
        <v>1</v>
      </c>
      <c r="H18" s="736" t="s">
        <v>1567</v>
      </c>
      <c r="I18" s="116">
        <f>SUM(D13+D14+D15)</f>
        <v>59000</v>
      </c>
      <c r="J18" s="210">
        <f t="array" ref="J18">MAX(IF(($C$32='탁송,용품'!$C$566:$C$619)*($C$33='탁송,용품'!$D$566:$D$619)*("공급가액"='탁송,용품'!$E$566:$E$619),'탁송,용품'!$F$566:$F$619))</f>
        <v>73000</v>
      </c>
      <c r="K18" s="73"/>
      <c r="L18" s="472"/>
      <c r="M18" s="76"/>
      <c r="N18" s="471"/>
      <c r="O18" s="471"/>
      <c r="P18" s="471"/>
      <c r="Q18" s="472"/>
      <c r="R18" s="472"/>
      <c r="S18" s="472"/>
      <c r="T18" s="472"/>
      <c r="U18" s="472"/>
      <c r="W18" s="142">
        <v>14</v>
      </c>
      <c r="X18" s="143">
        <f t="shared" si="1"/>
        <v>810300</v>
      </c>
      <c r="Y18" s="144">
        <f t="shared" si="22"/>
        <v>567466.81335211382</v>
      </c>
      <c r="Z18" s="144">
        <f t="shared" si="2"/>
        <v>242833.18664788621</v>
      </c>
      <c r="AA18" s="145">
        <f t="shared" si="3"/>
        <v>35616193.650355719</v>
      </c>
      <c r="AB18" s="143">
        <f t="shared" si="4"/>
        <v>810300</v>
      </c>
      <c r="AC18" s="145">
        <f t="shared" si="23"/>
        <v>810300</v>
      </c>
      <c r="AD18" s="151">
        <f t="shared" si="5"/>
        <v>0.93577697770785728</v>
      </c>
      <c r="AE18" s="150">
        <f t="shared" si="24"/>
        <v>758260.08503667673</v>
      </c>
      <c r="AF18" s="150">
        <f t="shared" si="6"/>
        <v>10615641.190513475</v>
      </c>
      <c r="AG18" s="152">
        <f t="shared" si="7"/>
        <v>0.2338043863334355</v>
      </c>
      <c r="AH18" s="135"/>
      <c r="AI18" s="142">
        <v>14</v>
      </c>
      <c r="AJ18" s="143">
        <f t="shared" si="8"/>
        <v>703600</v>
      </c>
      <c r="AK18" s="144">
        <f t="shared" si="25"/>
        <v>467271.3274033668</v>
      </c>
      <c r="AL18" s="144">
        <f t="shared" si="9"/>
        <v>236328.6725966332</v>
      </c>
      <c r="AM18" s="145">
        <f t="shared" si="10"/>
        <v>36944032.015402839</v>
      </c>
      <c r="AN18" s="143">
        <f t="shared" si="11"/>
        <v>703600</v>
      </c>
      <c r="AO18" s="145">
        <f t="shared" si="26"/>
        <v>703600</v>
      </c>
      <c r="AP18" s="151">
        <f t="shared" si="12"/>
        <v>1.2757900306252206</v>
      </c>
      <c r="AQ18" s="150">
        <f t="shared" si="27"/>
        <v>897645.86554790521</v>
      </c>
      <c r="AR18" s="150">
        <f t="shared" si="13"/>
        <v>12567042.117670674</v>
      </c>
      <c r="AS18" s="152">
        <f t="shared" si="14"/>
        <v>0.2767830522544546</v>
      </c>
      <c r="AT18" s="135"/>
      <c r="AU18" s="142">
        <v>14</v>
      </c>
      <c r="AV18" s="143">
        <f t="shared" si="15"/>
        <v>649400</v>
      </c>
      <c r="AW18" s="144">
        <f t="shared" si="28"/>
        <v>417469.31517463771</v>
      </c>
      <c r="AX18" s="144">
        <f t="shared" si="16"/>
        <v>231930.68482536232</v>
      </c>
      <c r="AY18" s="145">
        <f t="shared" si="17"/>
        <v>37605751.14509993</v>
      </c>
      <c r="AZ18" s="143">
        <f t="shared" si="18"/>
        <v>649400</v>
      </c>
      <c r="BA18" s="145">
        <f t="shared" si="29"/>
        <v>649400</v>
      </c>
      <c r="BB18" s="151">
        <f t="shared" si="19"/>
        <v>0.95457872897013885</v>
      </c>
      <c r="BC18" s="150">
        <f t="shared" si="30"/>
        <v>619903.42659320822</v>
      </c>
      <c r="BD18" s="150">
        <f t="shared" si="20"/>
        <v>8678647.9723049141</v>
      </c>
      <c r="BE18" s="152">
        <f t="shared" si="21"/>
        <v>0.19249900522451907</v>
      </c>
    </row>
    <row r="19" spans="2:57" ht="16.5" customHeight="1">
      <c r="B19" s="1570"/>
      <c r="C19" s="3" t="s">
        <v>25</v>
      </c>
      <c r="D19" s="24">
        <f>IF(견적!$CL$11="없음",0,VLOOKUP($C$36,'탁송,용품'!$K$3:$N$47,4,0))</f>
        <v>0</v>
      </c>
      <c r="E19" s="5">
        <f>IF(견적!$CL$11="없음",0,VLOOKUP($C$36,'탁송,용품'!$K$3:$N$47,2,0))</f>
        <v>0</v>
      </c>
      <c r="F19" s="6">
        <f>IF(견적!$CL$11="없음",0,VLOOKUP($C$36,'탁송,용품'!$K$3:$N$47,3,0))</f>
        <v>0</v>
      </c>
      <c r="G19" s="7" t="b">
        <f t="shared" si="32"/>
        <v>1</v>
      </c>
      <c r="H19" s="182" t="s">
        <v>1566</v>
      </c>
      <c r="I19" s="116">
        <f>SUM(E10+E12)</f>
        <v>1602160</v>
      </c>
      <c r="J19" s="211">
        <f t="array" ref="J19">MAX(IF(($C$32='탁송,용품'!$C$566:$C$619)*($C$33='탁송,용품'!$D$566:$D$619)*("세액"='탁송,용품'!$E$566:$E$619),'탁송,용품'!$F$566:$F$619))</f>
        <v>7300</v>
      </c>
      <c r="K19" s="73"/>
      <c r="L19" s="74"/>
      <c r="N19" s="471"/>
      <c r="O19" s="471"/>
      <c r="P19" s="471"/>
      <c r="Q19" s="472"/>
      <c r="R19" s="472"/>
      <c r="S19" s="472"/>
      <c r="T19" s="472"/>
      <c r="U19" s="472"/>
      <c r="W19" s="142">
        <v>15</v>
      </c>
      <c r="X19" s="143">
        <f t="shared" si="1"/>
        <v>810300</v>
      </c>
      <c r="Y19" s="144">
        <f t="shared" si="22"/>
        <v>571275.15592545376</v>
      </c>
      <c r="Z19" s="144">
        <f t="shared" si="2"/>
        <v>239024.84407454627</v>
      </c>
      <c r="AA19" s="145">
        <f t="shared" si="3"/>
        <v>35044918.494430266</v>
      </c>
      <c r="AB19" s="143">
        <f t="shared" si="4"/>
        <v>810300</v>
      </c>
      <c r="AC19" s="145">
        <f t="shared" si="23"/>
        <v>810300</v>
      </c>
      <c r="AD19" s="151">
        <f t="shared" si="5"/>
        <v>0.93135068629962048</v>
      </c>
      <c r="AE19" s="150">
        <f t="shared" si="24"/>
        <v>754673.46110858244</v>
      </c>
      <c r="AF19" s="150">
        <f t="shared" si="6"/>
        <v>11320101.916628737</v>
      </c>
      <c r="AG19" s="152">
        <f t="shared" si="7"/>
        <v>0.24931979466435877</v>
      </c>
      <c r="AH19" s="135"/>
      <c r="AI19" s="142">
        <v>15</v>
      </c>
      <c r="AJ19" s="143">
        <f t="shared" si="8"/>
        <v>703600</v>
      </c>
      <c r="AK19" s="144">
        <f t="shared" si="25"/>
        <v>470223.09873129462</v>
      </c>
      <c r="AL19" s="144">
        <f t="shared" si="9"/>
        <v>233376.90126870541</v>
      </c>
      <c r="AM19" s="145">
        <f t="shared" si="10"/>
        <v>36473808.916671544</v>
      </c>
      <c r="AN19" s="143">
        <f t="shared" si="11"/>
        <v>703600</v>
      </c>
      <c r="AO19" s="145">
        <f t="shared" si="26"/>
        <v>703600</v>
      </c>
      <c r="AP19" s="151">
        <f t="shared" si="12"/>
        <v>1.2981798431970348</v>
      </c>
      <c r="AQ19" s="150">
        <f t="shared" si="27"/>
        <v>913399.33767343371</v>
      </c>
      <c r="AR19" s="150">
        <f t="shared" si="13"/>
        <v>13700990.065101506</v>
      </c>
      <c r="AS19" s="152">
        <f t="shared" si="14"/>
        <v>0.30175770985874961</v>
      </c>
      <c r="AT19" s="135"/>
      <c r="AU19" s="142">
        <v>15</v>
      </c>
      <c r="AV19" s="143">
        <f t="shared" si="15"/>
        <v>649400</v>
      </c>
      <c r="AW19" s="144">
        <f t="shared" si="28"/>
        <v>420015.75766398932</v>
      </c>
      <c r="AX19" s="144">
        <f t="shared" si="16"/>
        <v>229384.24233601068</v>
      </c>
      <c r="AY19" s="145">
        <f t="shared" si="17"/>
        <v>37185735.387435943</v>
      </c>
      <c r="AZ19" s="143">
        <f t="shared" si="18"/>
        <v>649400</v>
      </c>
      <c r="BA19" s="145">
        <f t="shared" si="29"/>
        <v>649400</v>
      </c>
      <c r="BB19" s="151">
        <f t="shared" si="19"/>
        <v>0.95141443216483923</v>
      </c>
      <c r="BC19" s="150">
        <f t="shared" si="30"/>
        <v>617848.5322478466</v>
      </c>
      <c r="BD19" s="150">
        <f t="shared" si="20"/>
        <v>9267727.9837176986</v>
      </c>
      <c r="BE19" s="152">
        <f t="shared" si="21"/>
        <v>0.20556524740377094</v>
      </c>
    </row>
    <row r="20" spans="2:57" ht="16.5" customHeight="1">
      <c r="B20" s="1570"/>
      <c r="C20" s="709"/>
      <c r="D20" s="710"/>
      <c r="E20" s="711"/>
      <c r="F20" s="712"/>
      <c r="G20" s="740"/>
      <c r="H20" s="182"/>
      <c r="I20" s="116"/>
      <c r="J20" s="657"/>
      <c r="K20" s="73"/>
      <c r="L20" s="74"/>
      <c r="N20" s="471"/>
      <c r="O20" s="471"/>
      <c r="P20" s="471"/>
      <c r="Q20" s="472"/>
      <c r="R20" s="472"/>
      <c r="S20" s="472"/>
      <c r="T20" s="472"/>
      <c r="U20" s="472"/>
      <c r="W20" s="142">
        <v>16</v>
      </c>
      <c r="X20" s="143">
        <f t="shared" si="1"/>
        <v>810300</v>
      </c>
      <c r="Y20" s="144">
        <f t="shared" si="22"/>
        <v>575109.05677429924</v>
      </c>
      <c r="Z20" s="144">
        <f t="shared" si="2"/>
        <v>235190.94322570079</v>
      </c>
      <c r="AA20" s="145">
        <f t="shared" si="3"/>
        <v>34469809.43765597</v>
      </c>
      <c r="AB20" s="143">
        <f t="shared" si="4"/>
        <v>810300</v>
      </c>
      <c r="AC20" s="145">
        <f t="shared" si="23"/>
        <v>810300</v>
      </c>
      <c r="AD20" s="151">
        <f t="shared" si="5"/>
        <v>0.92694533156336534</v>
      </c>
      <c r="AE20" s="150">
        <f t="shared" si="24"/>
        <v>751103.80216579488</v>
      </c>
      <c r="AF20" s="150">
        <f t="shared" si="6"/>
        <v>12017660.834652718</v>
      </c>
      <c r="AG20" s="152">
        <f t="shared" si="7"/>
        <v>0.26468319399493878</v>
      </c>
      <c r="AH20" s="135"/>
      <c r="AI20" s="142">
        <v>16</v>
      </c>
      <c r="AJ20" s="143">
        <f t="shared" si="8"/>
        <v>703600</v>
      </c>
      <c r="AK20" s="144">
        <f t="shared" si="25"/>
        <v>473193.51651463576</v>
      </c>
      <c r="AL20" s="144">
        <f t="shared" si="9"/>
        <v>230406.48348536427</v>
      </c>
      <c r="AM20" s="145">
        <f t="shared" si="10"/>
        <v>36000615.400156908</v>
      </c>
      <c r="AN20" s="143">
        <f t="shared" si="11"/>
        <v>703600</v>
      </c>
      <c r="AO20" s="145">
        <f t="shared" si="26"/>
        <v>703600</v>
      </c>
      <c r="AP20" s="151">
        <f t="shared" si="12"/>
        <v>1.3209625916712833</v>
      </c>
      <c r="AQ20" s="150">
        <f t="shared" si="27"/>
        <v>929429.27949991496</v>
      </c>
      <c r="AR20" s="150">
        <f t="shared" si="13"/>
        <v>14870868.471998639</v>
      </c>
      <c r="AS20" s="152">
        <f t="shared" si="14"/>
        <v>0.32752371853411361</v>
      </c>
      <c r="AT20" s="135"/>
      <c r="AU20" s="142">
        <v>16</v>
      </c>
      <c r="AV20" s="143">
        <f t="shared" si="15"/>
        <v>649400</v>
      </c>
      <c r="AW20" s="144">
        <f t="shared" si="28"/>
        <v>422577.73271852813</v>
      </c>
      <c r="AX20" s="144">
        <f t="shared" si="16"/>
        <v>226822.26728147187</v>
      </c>
      <c r="AY20" s="145">
        <f t="shared" si="17"/>
        <v>36763157.654717416</v>
      </c>
      <c r="AZ20" s="143">
        <f t="shared" si="18"/>
        <v>649400</v>
      </c>
      <c r="BA20" s="145">
        <f t="shared" si="29"/>
        <v>649400</v>
      </c>
      <c r="BB20" s="151">
        <f t="shared" si="19"/>
        <v>0.9482606245669436</v>
      </c>
      <c r="BC20" s="150">
        <f t="shared" si="30"/>
        <v>615800.44959377323</v>
      </c>
      <c r="BD20" s="150">
        <f t="shared" si="20"/>
        <v>9852807.1935003716</v>
      </c>
      <c r="BE20" s="152">
        <f t="shared" si="21"/>
        <v>0.21854274876344418</v>
      </c>
    </row>
    <row r="21" spans="2:57" ht="16.5" customHeight="1">
      <c r="B21" s="1568"/>
      <c r="C21" s="8" t="s">
        <v>26</v>
      </c>
      <c r="D21" s="9">
        <f t="array" ref="D21">IF(OR($C$24="대리점/지점",견적!$AT$2=TRUE),J17,MAX(IF(($C$32='탁송,용품'!$C$2:$C$562)*($C$33='탁송,용품'!$D$2:$D$562)*("합계"='탁송,용품'!$E$2:$E$562),'탁송,용품'!$F$2:$F$562)))</f>
        <v>80300</v>
      </c>
      <c r="E21" s="10">
        <f t="array" ref="E21">IF(OR($C$24="대리점/지점",견적!$AT$2=TRUE),J18,MAX(IF(($C$32='탁송,용품'!$C$2:$C$562)*($C$33='탁송,용품'!$D$2:$D$562)*("공급가액"='탁송,용품'!$E$2:$E$562),'탁송,용품'!$F$2:$F$562)))</f>
        <v>73000</v>
      </c>
      <c r="F21" s="11">
        <f t="array" ref="F21">IF(OR($C$24="대리점/지점",견적!$AT$2=TRUE),J19,MAX(IF(($C$32='탁송,용품'!$C$2:$C$562)*($C$33='탁송,용품'!$D$2:$D$562)*("세액"='탁송,용품'!$E$2:$E$562),'탁송,용품'!$F$2:$F$562)))</f>
        <v>7300</v>
      </c>
      <c r="G21" s="12" t="b">
        <f>F21+E21=D21</f>
        <v>1</v>
      </c>
      <c r="H21" s="182" t="s">
        <v>1436</v>
      </c>
      <c r="I21" s="116">
        <f>D21</f>
        <v>80300</v>
      </c>
      <c r="N21" s="471"/>
      <c r="O21" s="471"/>
      <c r="P21" s="471"/>
      <c r="Q21" s="472"/>
      <c r="R21" s="472"/>
      <c r="S21" s="472"/>
      <c r="T21" s="472"/>
      <c r="U21" s="472"/>
      <c r="W21" s="142">
        <v>17</v>
      </c>
      <c r="X21" s="143">
        <f t="shared" si="1"/>
        <v>810300</v>
      </c>
      <c r="Y21" s="144">
        <f t="shared" si="22"/>
        <v>578968.68742351548</v>
      </c>
      <c r="Z21" s="144">
        <f t="shared" si="2"/>
        <v>231331.31257648452</v>
      </c>
      <c r="AA21" s="145">
        <f t="shared" si="3"/>
        <v>33890840.750232458</v>
      </c>
      <c r="AB21" s="143">
        <f t="shared" si="4"/>
        <v>810300</v>
      </c>
      <c r="AC21" s="145">
        <f t="shared" si="23"/>
        <v>810300</v>
      </c>
      <c r="AD21" s="151">
        <f t="shared" si="5"/>
        <v>0.92256081446715055</v>
      </c>
      <c r="AE21" s="150">
        <f t="shared" si="24"/>
        <v>747551.02796273213</v>
      </c>
      <c r="AF21" s="150">
        <f t="shared" si="6"/>
        <v>12708367.475366447</v>
      </c>
      <c r="AG21" s="152">
        <f t="shared" si="7"/>
        <v>0.2798956752167811</v>
      </c>
      <c r="AH21" s="135"/>
      <c r="AI21" s="142">
        <v>17</v>
      </c>
      <c r="AJ21" s="143">
        <f t="shared" si="8"/>
        <v>703600</v>
      </c>
      <c r="AK21" s="144">
        <f t="shared" si="25"/>
        <v>476182.69854378153</v>
      </c>
      <c r="AL21" s="144">
        <f t="shared" si="9"/>
        <v>227417.3014562185</v>
      </c>
      <c r="AM21" s="145">
        <f t="shared" si="10"/>
        <v>35524432.701613128</v>
      </c>
      <c r="AN21" s="143">
        <f t="shared" si="11"/>
        <v>703600</v>
      </c>
      <c r="AO21" s="145">
        <f t="shared" si="26"/>
        <v>703600</v>
      </c>
      <c r="AP21" s="151">
        <f t="shared" si="12"/>
        <v>1.3441451719798969</v>
      </c>
      <c r="AQ21" s="150">
        <f t="shared" si="27"/>
        <v>945740.54300505552</v>
      </c>
      <c r="AR21" s="150">
        <f t="shared" si="13"/>
        <v>16077589.231085943</v>
      </c>
      <c r="AS21" s="152">
        <f t="shared" si="14"/>
        <v>0.35410116227876021</v>
      </c>
      <c r="AT21" s="135"/>
      <c r="AU21" s="142">
        <v>17</v>
      </c>
      <c r="AV21" s="143">
        <f t="shared" si="15"/>
        <v>649400</v>
      </c>
      <c r="AW21" s="144">
        <f t="shared" si="28"/>
        <v>425155.33508242446</v>
      </c>
      <c r="AX21" s="144">
        <f t="shared" si="16"/>
        <v>224244.66491757552</v>
      </c>
      <c r="AY21" s="145">
        <f t="shared" si="17"/>
        <v>36338002.319634989</v>
      </c>
      <c r="AZ21" s="143">
        <f t="shared" si="18"/>
        <v>649400</v>
      </c>
      <c r="BA21" s="145">
        <f t="shared" si="29"/>
        <v>649400</v>
      </c>
      <c r="BB21" s="151">
        <f t="shared" si="19"/>
        <v>0.94511727140617696</v>
      </c>
      <c r="BC21" s="150">
        <f t="shared" si="30"/>
        <v>613759.15605117136</v>
      </c>
      <c r="BD21" s="150">
        <f t="shared" si="20"/>
        <v>10433905.652869914</v>
      </c>
      <c r="BE21" s="152">
        <f t="shared" si="21"/>
        <v>0.23143195405476433</v>
      </c>
    </row>
    <row r="22" spans="2:57" ht="16.5" customHeight="1">
      <c r="B22" s="675" t="s">
        <v>28</v>
      </c>
      <c r="C22" s="13" t="s">
        <v>27</v>
      </c>
      <c r="D22" s="14"/>
      <c r="E22" s="15">
        <f>SUM(E10:E21)</f>
        <v>3221350.5792937232</v>
      </c>
      <c r="F22" s="2"/>
      <c r="G22" s="741" t="b">
        <f>G13=G14=G15=G16=G17=G18=G19=G21</f>
        <v>1</v>
      </c>
      <c r="H22" s="737" t="s">
        <v>1568</v>
      </c>
      <c r="I22" s="117">
        <f>E11</f>
        <v>1492554.579293723</v>
      </c>
      <c r="K22" s="73"/>
      <c r="L22" s="74"/>
      <c r="N22" s="73"/>
      <c r="O22" s="73"/>
      <c r="P22" s="73"/>
      <c r="Q22" s="74"/>
      <c r="R22" s="74"/>
      <c r="S22" s="74"/>
      <c r="T22" s="74"/>
      <c r="U22" s="74"/>
      <c r="W22" s="142">
        <v>18</v>
      </c>
      <c r="X22" s="143">
        <f t="shared" si="1"/>
        <v>810300</v>
      </c>
      <c r="Y22" s="144">
        <f t="shared" si="22"/>
        <v>582854.22054909321</v>
      </c>
      <c r="Z22" s="144">
        <f t="shared" si="2"/>
        <v>227445.77945090676</v>
      </c>
      <c r="AA22" s="145">
        <f t="shared" si="3"/>
        <v>33307986.529683366</v>
      </c>
      <c r="AB22" s="143">
        <f t="shared" si="4"/>
        <v>810300</v>
      </c>
      <c r="AC22" s="145">
        <f t="shared" si="23"/>
        <v>810300</v>
      </c>
      <c r="AD22" s="151">
        <f t="shared" si="5"/>
        <v>0.91819703644746209</v>
      </c>
      <c r="AE22" s="150">
        <f t="shared" si="24"/>
        <v>744015.05863337847</v>
      </c>
      <c r="AF22" s="150">
        <f t="shared" si="6"/>
        <v>13392271.055400813</v>
      </c>
      <c r="AG22" s="152">
        <f t="shared" si="7"/>
        <v>0.29495832230248581</v>
      </c>
      <c r="AH22" s="135"/>
      <c r="AI22" s="142">
        <v>18</v>
      </c>
      <c r="AJ22" s="143">
        <f t="shared" si="8"/>
        <v>703600</v>
      </c>
      <c r="AK22" s="144">
        <f t="shared" si="25"/>
        <v>479190.76335320959</v>
      </c>
      <c r="AL22" s="144">
        <f t="shared" si="9"/>
        <v>224409.23664679041</v>
      </c>
      <c r="AM22" s="145">
        <f t="shared" si="10"/>
        <v>35045241.938259922</v>
      </c>
      <c r="AN22" s="143">
        <f t="shared" si="11"/>
        <v>703600</v>
      </c>
      <c r="AO22" s="145">
        <f t="shared" si="26"/>
        <v>703600</v>
      </c>
      <c r="AP22" s="151">
        <f t="shared" si="12"/>
        <v>1.3677346010767757</v>
      </c>
      <c r="AQ22" s="150">
        <f t="shared" si="27"/>
        <v>962338.06531761936</v>
      </c>
      <c r="AR22" s="150">
        <f t="shared" si="13"/>
        <v>17322085.175717149</v>
      </c>
      <c r="AS22" s="152">
        <f t="shared" si="14"/>
        <v>0.38151058629819379</v>
      </c>
      <c r="AT22" s="135"/>
      <c r="AU22" s="142">
        <v>18</v>
      </c>
      <c r="AV22" s="143">
        <f t="shared" si="15"/>
        <v>649400</v>
      </c>
      <c r="AW22" s="144">
        <f t="shared" si="28"/>
        <v>427748.66007776104</v>
      </c>
      <c r="AX22" s="144">
        <f t="shared" si="16"/>
        <v>221651.33992223893</v>
      </c>
      <c r="AY22" s="145">
        <f t="shared" si="17"/>
        <v>35910253.659557231</v>
      </c>
      <c r="AZ22" s="143">
        <f t="shared" si="18"/>
        <v>649400</v>
      </c>
      <c r="BA22" s="145">
        <f t="shared" si="29"/>
        <v>649400</v>
      </c>
      <c r="BB22" s="151">
        <f t="shared" si="19"/>
        <v>0.94198433802752224</v>
      </c>
      <c r="BC22" s="150">
        <f t="shared" si="30"/>
        <v>611724.62911507289</v>
      </c>
      <c r="BD22" s="150">
        <f t="shared" si="20"/>
        <v>11011043.324071312</v>
      </c>
      <c r="BE22" s="152">
        <f t="shared" si="21"/>
        <v>0.24423330605549062</v>
      </c>
    </row>
    <row r="23" spans="2:57" ht="16.5" customHeight="1" thickBot="1">
      <c r="B23" s="57" t="s">
        <v>1735</v>
      </c>
      <c r="C23" s="682" t="s">
        <v>29</v>
      </c>
      <c r="D23" s="224"/>
      <c r="E23" s="696">
        <f>IF($G$22=TRUE,E22+E9,"")</f>
        <v>43225493.685531266</v>
      </c>
      <c r="F23" s="695" t="s">
        <v>3295</v>
      </c>
      <c r="G23" s="683">
        <f>IF(OR(COUNTIF(E27,"M3"),OR(COUNTIF(E27,"M")&gt;=1)),0,D3*0.7%)</f>
        <v>324449.99999999994</v>
      </c>
      <c r="H23" s="652"/>
      <c r="I23" s="653"/>
      <c r="J23" s="73"/>
      <c r="K23" s="156" t="s">
        <v>3296</v>
      </c>
      <c r="L23" s="689">
        <f>IF(OR(COUNTIF(J27,"M3"),OR(COUNTIF(J27,"M")&gt;=1)),0,D3*0.7%)</f>
        <v>324449.99999999994</v>
      </c>
      <c r="N23" s="73"/>
      <c r="O23" s="73"/>
      <c r="P23" s="156" t="s">
        <v>3297</v>
      </c>
      <c r="Q23" s="689">
        <f>IF(OR(COUNTIF(O27,"M3"),OR(COUNTIF(O27,"M")&gt;=1)),0,D3*0.7%)</f>
        <v>324449.99999999994</v>
      </c>
      <c r="R23" s="72"/>
      <c r="S23" s="72"/>
      <c r="T23" s="72"/>
      <c r="U23" s="72"/>
      <c r="W23" s="142">
        <v>19</v>
      </c>
      <c r="X23" s="143">
        <f t="shared" si="1"/>
        <v>810300</v>
      </c>
      <c r="Y23" s="144">
        <f t="shared" si="22"/>
        <v>586765.82998587389</v>
      </c>
      <c r="Z23" s="144">
        <f t="shared" si="2"/>
        <v>223534.17001412611</v>
      </c>
      <c r="AA23" s="145">
        <f t="shared" si="3"/>
        <v>32721220.699697491</v>
      </c>
      <c r="AB23" s="143">
        <f t="shared" si="4"/>
        <v>810300</v>
      </c>
      <c r="AC23" s="145">
        <f t="shared" si="23"/>
        <v>810300</v>
      </c>
      <c r="AD23" s="151">
        <f t="shared" si="5"/>
        <v>0.91385389940699857</v>
      </c>
      <c r="AE23" s="150">
        <f t="shared" si="24"/>
        <v>740495.81468949094</v>
      </c>
      <c r="AF23" s="150">
        <f t="shared" si="6"/>
        <v>14069420.479100328</v>
      </c>
      <c r="AG23" s="152">
        <f t="shared" si="7"/>
        <v>0.30987221234669582</v>
      </c>
      <c r="AH23" s="135"/>
      <c r="AI23" s="142">
        <v>19</v>
      </c>
      <c r="AJ23" s="143">
        <f t="shared" si="8"/>
        <v>703600</v>
      </c>
      <c r="AK23" s="144">
        <f t="shared" si="25"/>
        <v>482217.83022618468</v>
      </c>
      <c r="AL23" s="144">
        <f t="shared" si="9"/>
        <v>221382.16977381535</v>
      </c>
      <c r="AM23" s="145">
        <f t="shared" si="10"/>
        <v>34563024.108033739</v>
      </c>
      <c r="AN23" s="143">
        <f t="shared" si="11"/>
        <v>703600</v>
      </c>
      <c r="AO23" s="145">
        <f t="shared" si="26"/>
        <v>703600</v>
      </c>
      <c r="AP23" s="151">
        <f t="shared" si="12"/>
        <v>1.3917380190616979</v>
      </c>
      <c r="AQ23" s="150">
        <f t="shared" si="27"/>
        <v>979226.87021181069</v>
      </c>
      <c r="AR23" s="150">
        <f t="shared" si="13"/>
        <v>18605310.534024402</v>
      </c>
      <c r="AS23" s="152">
        <f t="shared" si="14"/>
        <v>0.40977300700761288</v>
      </c>
      <c r="AT23" s="135"/>
      <c r="AU23" s="142">
        <v>19</v>
      </c>
      <c r="AV23" s="143">
        <f t="shared" si="15"/>
        <v>649400</v>
      </c>
      <c r="AW23" s="144">
        <f t="shared" si="28"/>
        <v>430357.80360805767</v>
      </c>
      <c r="AX23" s="144">
        <f t="shared" si="16"/>
        <v>219042.19639194233</v>
      </c>
      <c r="AY23" s="145">
        <f t="shared" si="17"/>
        <v>35479895.855949171</v>
      </c>
      <c r="AZ23" s="143">
        <f t="shared" si="18"/>
        <v>649400</v>
      </c>
      <c r="BA23" s="145">
        <f t="shared" si="29"/>
        <v>649400</v>
      </c>
      <c r="BB23" s="151">
        <f t="shared" si="19"/>
        <v>0.93886178989083924</v>
      </c>
      <c r="BC23" s="150">
        <f t="shared" si="30"/>
        <v>609696.84635511099</v>
      </c>
      <c r="BD23" s="150">
        <f t="shared" si="20"/>
        <v>11584240.080747109</v>
      </c>
      <c r="BE23" s="152">
        <f t="shared" si="21"/>
        <v>0.25694724557811272</v>
      </c>
    </row>
    <row r="24" spans="2:57" ht="30.75" customHeight="1">
      <c r="B24" s="57"/>
      <c r="C24" s="118" t="str">
        <f>견적!BV6</f>
        <v>대리점/지점</v>
      </c>
      <c r="D24" s="679" t="s">
        <v>2946</v>
      </c>
      <c r="E24" s="678" t="str">
        <f>IF(G24="선택형",N14&amp;""&amp;O14&amp;""&amp;P14&amp;""&amp;Q14&amp;""&amp;R14&amp;""&amp;S14&amp;""&amp;T14,U14)</f>
        <v>T</v>
      </c>
      <c r="F24" s="58" t="s">
        <v>3287</v>
      </c>
      <c r="G24" s="681" t="str">
        <f>견적!BV18</f>
        <v>선택형</v>
      </c>
      <c r="I24" s="679" t="s">
        <v>2946</v>
      </c>
      <c r="J24" s="217" t="str">
        <f>IF(L24="선택형",N15&amp;""&amp;O15&amp;""&amp;P15&amp;""&amp;Q15&amp;""&amp;R15&amp;""&amp;S15&amp;""&amp;T15,U15)</f>
        <v>T</v>
      </c>
      <c r="K24" s="691" t="s">
        <v>3287</v>
      </c>
      <c r="L24" s="681" t="str">
        <f>견적!CD18</f>
        <v>선택형</v>
      </c>
      <c r="N24" s="679" t="s">
        <v>2933</v>
      </c>
      <c r="O24" s="217" t="str">
        <f>IF(Q24="선택형",N16&amp;""&amp;O16&amp;""&amp;P16&amp;""&amp;Q16&amp;""&amp;R16&amp;""&amp;S16&amp;""&amp;T16,U16)</f>
        <v>T</v>
      </c>
      <c r="P24" s="694" t="s">
        <v>3287</v>
      </c>
      <c r="Q24" s="681" t="str">
        <f>견적!CL18</f>
        <v>선택형</v>
      </c>
      <c r="R24" s="72"/>
      <c r="S24" s="72"/>
      <c r="T24" s="72"/>
      <c r="U24" s="72"/>
      <c r="W24" s="142"/>
      <c r="X24" s="143"/>
      <c r="Y24" s="144"/>
      <c r="Z24" s="144"/>
      <c r="AA24" s="145"/>
      <c r="AB24" s="143"/>
      <c r="AC24" s="145"/>
      <c r="AD24" s="151"/>
      <c r="AE24" s="150"/>
      <c r="AF24" s="150"/>
      <c r="AG24" s="152"/>
      <c r="AH24" s="135"/>
      <c r="AI24" s="142"/>
      <c r="AJ24" s="143"/>
      <c r="AK24" s="144"/>
      <c r="AL24" s="144"/>
      <c r="AM24" s="145"/>
      <c r="AN24" s="143"/>
      <c r="AO24" s="145"/>
      <c r="AP24" s="151"/>
      <c r="AQ24" s="150"/>
      <c r="AR24" s="150"/>
      <c r="AS24" s="152"/>
      <c r="AT24" s="135"/>
      <c r="AU24" s="142"/>
      <c r="AV24" s="143"/>
      <c r="AW24" s="144"/>
      <c r="AX24" s="144"/>
      <c r="AY24" s="145"/>
      <c r="AZ24" s="143"/>
      <c r="BA24" s="145"/>
      <c r="BB24" s="151"/>
      <c r="BC24" s="150"/>
      <c r="BD24" s="150"/>
      <c r="BE24" s="152"/>
    </row>
    <row r="25" spans="2:57" s="75" customFormat="1" ht="16.5" customHeight="1">
      <c r="B25" s="57" t="s">
        <v>1569</v>
      </c>
      <c r="C25" s="118"/>
      <c r="D25" s="685" t="s">
        <v>3434</v>
      </c>
      <c r="E25" s="680" t="b">
        <f>ISNUMBER(SEARCH("M3",E24))</f>
        <v>0</v>
      </c>
      <c r="F25" s="684"/>
      <c r="G25" s="681"/>
      <c r="H25"/>
      <c r="I25" s="685" t="s">
        <v>3435</v>
      </c>
      <c r="J25" s="217" t="b">
        <f>ISNUMBER(SEARCH("M3",J24))</f>
        <v>0</v>
      </c>
      <c r="K25" s="691"/>
      <c r="L25" s="681"/>
      <c r="M25"/>
      <c r="N25" s="685" t="s">
        <v>3435</v>
      </c>
      <c r="O25" s="217" t="b">
        <f>ISNUMBER(SEARCH("M3",O24))</f>
        <v>0</v>
      </c>
      <c r="P25" s="691"/>
      <c r="Q25" s="681"/>
      <c r="W25" s="142">
        <v>20</v>
      </c>
      <c r="X25" s="143">
        <f t="shared" ref="X25:X59" si="34">IF($W25&lt;=$G$27,$E$37,0)</f>
        <v>810300</v>
      </c>
      <c r="Y25" s="144">
        <f t="shared" si="22"/>
        <v>590703.69073532673</v>
      </c>
      <c r="Z25" s="144">
        <f>IF($W25&lt;=$G$27,AA23*$AA$1/12,0)</f>
        <v>219596.3092646733</v>
      </c>
      <c r="AA25" s="145">
        <f>IF($W25&lt;=$G$27,AA23-Y25,0)</f>
        <v>32130517.008962166</v>
      </c>
      <c r="AB25" s="143">
        <f t="shared" ref="AB25:AB59" si="35">IF($W25=$G$27,X25+$Y$1-$G$28,IF($W25&lt;$G$27,X25,0))</f>
        <v>810300</v>
      </c>
      <c r="AC25" s="145">
        <f t="shared" ref="AC25:AC59" si="36">IF($W25=$G$27,X25+$Y$1-$G$28,IF($W25&lt;$G$27,X25,0))</f>
        <v>810300</v>
      </c>
      <c r="AD25" s="151">
        <f t="shared" ref="AD25:AD59" si="37">IF($W25&lt;=$G$27,1/(1+AB$2/12)^W25,0)</f>
        <v>0.90953130571246554</v>
      </c>
      <c r="AE25" s="150">
        <f t="shared" si="24"/>
        <v>736993.2170188108</v>
      </c>
      <c r="AF25" s="150">
        <f t="shared" ref="AF25:AF59" si="38">IF($W25&lt;=$G$27,AE25*W25,0)</f>
        <v>14739864.340376217</v>
      </c>
      <c r="AG25" s="152">
        <f t="shared" ref="AG25:AG59" si="39">AF25/$AE$2</f>
        <v>0.32463841560691037</v>
      </c>
      <c r="AH25" s="135"/>
      <c r="AI25" s="142">
        <v>20</v>
      </c>
      <c r="AJ25" s="143">
        <f t="shared" ref="AJ25:AJ60" si="40">IF($AI25&lt;=$L$27,$J$37,0)</f>
        <v>703600</v>
      </c>
      <c r="AK25" s="144">
        <f t="shared" si="25"/>
        <v>485264.01919948857</v>
      </c>
      <c r="AL25" s="144">
        <f>IF($AI25&lt;=$L$27,AM23*$AM$1/12,0)</f>
        <v>218335.98080051146</v>
      </c>
      <c r="AM25" s="145">
        <f>IF($AI25&lt;=$L$27,AM23-AK25,0)</f>
        <v>34077760.088834248</v>
      </c>
      <c r="AN25" s="143">
        <f t="shared" ref="AN25:AN60" si="41">IF($AI25=$L$27,AJ25+$AK$1-$L$28,IF($AI25&lt;$L$27,AJ25,0))</f>
        <v>703600</v>
      </c>
      <c r="AO25" s="145">
        <f t="shared" ref="AO25:AO60" si="42">IF($AI25=$L$27,AJ25+$AK$1-$L$28,IF($AI25&lt;$L$27,AJ25,0))</f>
        <v>703600</v>
      </c>
      <c r="AP25" s="151">
        <f t="shared" ref="AP25:AP60" si="43">IF($AI25&lt;=$L$27,1/(1+AN$2/12)^AI25,0)</f>
        <v>1.4161626913414995</v>
      </c>
      <c r="AQ25" s="150">
        <f t="shared" si="27"/>
        <v>996412.06962787907</v>
      </c>
      <c r="AR25" s="150">
        <f t="shared" ref="AR25:AR60" si="44">IF($AI25&lt;=$L$27,AQ25*AI25,0)</f>
        <v>19928241.39255758</v>
      </c>
      <c r="AS25" s="152">
        <f t="shared" ref="AS25:AS60" si="45">AR25/$AQ$2</f>
        <v>0.43890992224334285</v>
      </c>
      <c r="AT25" s="135"/>
      <c r="AU25" s="142">
        <v>20</v>
      </c>
      <c r="AV25" s="143">
        <f t="shared" ref="AV25:AV60" si="46">IF($AU25&lt;=$Q$27,$O$37,0)</f>
        <v>649400</v>
      </c>
      <c r="AW25" s="144">
        <f t="shared" si="28"/>
        <v>432982.86216181796</v>
      </c>
      <c r="AX25" s="144">
        <f>IF($AU25&lt;=$Q$27,AY23*$AY$1/12,0)</f>
        <v>216417.13783818207</v>
      </c>
      <c r="AY25" s="145">
        <f>IF($AU25&lt;=$Q$27,AY23-AW25,0)</f>
        <v>35046912.993787356</v>
      </c>
      <c r="AZ25" s="143">
        <f t="shared" ref="AZ25:AZ60" si="47">IF($AU25=$Q$27,AV25+$AW$1-$Q$28,IF($AU25&lt;$Q$27,AV25,0))</f>
        <v>649400</v>
      </c>
      <c r="BA25" s="145">
        <f t="shared" ref="BA25:BA60" si="48">IF($AU25=$Q$27,AV25+$AW$1-$Q$28,IF($AU25&lt;$Q$27,AV25,0))</f>
        <v>649400</v>
      </c>
      <c r="BB25" s="151">
        <f t="shared" ref="BB25:BB60" si="49">IF($AU25&lt;=$Q$27,1/(1+AZ$2/12)^AU25,0)</f>
        <v>0.93574959257048318</v>
      </c>
      <c r="BC25" s="150">
        <f t="shared" si="30"/>
        <v>607675.78541527176</v>
      </c>
      <c r="BD25" s="150">
        <f t="shared" ref="BD25:BD60" si="50">IF($AU25&lt;=$Q$27,BC25*AU25,0)</f>
        <v>12153515.708305435</v>
      </c>
      <c r="BE25" s="152">
        <f t="shared" ref="BE25:BE60" si="51">BD25/$BC$2</f>
        <v>0.26957421147801403</v>
      </c>
    </row>
    <row r="26" spans="2:57" ht="16.5" customHeight="1">
      <c r="B26" s="57" t="s">
        <v>1376</v>
      </c>
      <c r="C26" s="118">
        <f>VLOOKUP(견적!$BN$9,차량!$A:$T,20,0)</f>
        <v>1</v>
      </c>
      <c r="D26" s="686" t="s">
        <v>84</v>
      </c>
      <c r="E26" s="687">
        <f>VLOOKUP(견적!BN$9,차량!$A:$O,12,0)</f>
        <v>0</v>
      </c>
      <c r="F26" s="688">
        <f t="array" ref="F26">MAX(IF((견적!$BN$9=잔가율!$I$2:$I$42)*(잔가율!$J$1:$L$1=견적정보!G$27),잔가율!$J$2:$L$42))</f>
        <v>0</v>
      </c>
      <c r="G26" s="687">
        <f t="array" ref="G26">MAX(IF(($E$27=잔가율!$A$2:$A$42)*(잔가율!$B$1:$G$1=견적정보!$G$27),잔가율!$B$2:$G$42))</f>
        <v>0</v>
      </c>
      <c r="H26" s="75"/>
      <c r="I26" s="686" t="s">
        <v>1362</v>
      </c>
      <c r="J26" s="687"/>
      <c r="K26" s="688">
        <f t="array" ref="K26">MAX(IF((견적!$BN$9=잔가율!$I$2:$I$42)*(잔가율!$J$1:$L$1=견적정보!L$27),잔가율!$J$2:$L$42))</f>
        <v>0</v>
      </c>
      <c r="L26" s="687">
        <f t="array" ref="L26">MAX(IF(($J$27=잔가율!$A$2:$A$42)*(잔가율!$B$1:$G$1=견적정보!$L$27),잔가율!$B$2:$G$42))</f>
        <v>0</v>
      </c>
      <c r="M26" s="75"/>
      <c r="N26" s="686" t="s">
        <v>1363</v>
      </c>
      <c r="O26" s="687"/>
      <c r="P26" s="688">
        <f t="array" ref="P26">MAX(IF((견적!$BN$9=잔가율!$I$2:$I$42)*(잔가율!$J$1:$L$1=견적정보!Q$27),잔가율!$J$2:$L$42))</f>
        <v>0</v>
      </c>
      <c r="Q26" s="687">
        <f t="array" ref="Q26">MAX(IF(($O$27=잔가율!$A$2:$A$42)*(잔가율!$B$1:$G$1=견적정보!$Q$27),잔가율!$B$2:$G$42))</f>
        <v>0</v>
      </c>
      <c r="R26" s="655">
        <f>IF(U13&lt;=4,U13,0)</f>
        <v>0</v>
      </c>
      <c r="S26" s="655"/>
      <c r="T26" s="655"/>
      <c r="U26" s="655"/>
      <c r="W26" s="142">
        <v>21</v>
      </c>
      <c r="X26" s="143">
        <f t="shared" si="34"/>
        <v>810300</v>
      </c>
      <c r="Y26" s="144">
        <f t="shared" si="22"/>
        <v>594667.97897337819</v>
      </c>
      <c r="Z26" s="144">
        <f t="shared" ref="Z26:Z45" si="52">IF($W26&lt;=$G$27,AA25*$AA$1/12,0)</f>
        <v>215632.02102662181</v>
      </c>
      <c r="AA26" s="145">
        <f t="shared" ref="AA26:AA45" si="53">IF($W26&lt;=$G$27,AA25-Y26,0)</f>
        <v>31535849.029988788</v>
      </c>
      <c r="AB26" s="143">
        <f t="shared" si="35"/>
        <v>810300</v>
      </c>
      <c r="AC26" s="145">
        <f t="shared" si="36"/>
        <v>810300</v>
      </c>
      <c r="AD26" s="151">
        <f t="shared" si="37"/>
        <v>0.90522915819238148</v>
      </c>
      <c r="AE26" s="150">
        <f t="shared" si="24"/>
        <v>733507.18688328669</v>
      </c>
      <c r="AF26" s="150">
        <f t="shared" si="38"/>
        <v>15403650.924549021</v>
      </c>
      <c r="AG26" s="152">
        <f t="shared" si="39"/>
        <v>0.33925799554406749</v>
      </c>
      <c r="AH26" s="135"/>
      <c r="AI26" s="142">
        <v>21</v>
      </c>
      <c r="AJ26" s="143">
        <f t="shared" si="40"/>
        <v>703600</v>
      </c>
      <c r="AK26" s="144">
        <f t="shared" si="25"/>
        <v>488329.45106818003</v>
      </c>
      <c r="AL26" s="144">
        <f t="shared" ref="AL26:AL48" si="54">IF($AI26&lt;=$L$27,AM25*$AM$1/12,0)</f>
        <v>215270.54893181997</v>
      </c>
      <c r="AM26" s="145">
        <f t="shared" ref="AM26:AM48" si="55">IF($AI26&lt;=$L$27,AM25-AK26,0)</f>
        <v>33589430.637766071</v>
      </c>
      <c r="AN26" s="143">
        <f t="shared" si="41"/>
        <v>703600</v>
      </c>
      <c r="AO26" s="145">
        <f t="shared" si="42"/>
        <v>703600</v>
      </c>
      <c r="AP26" s="151">
        <f t="shared" si="43"/>
        <v>1.4410160108291845</v>
      </c>
      <c r="AQ26" s="150">
        <f t="shared" si="27"/>
        <v>1013898.8652194142</v>
      </c>
      <c r="AR26" s="150">
        <f t="shared" si="44"/>
        <v>21291876.169607699</v>
      </c>
      <c r="AS26" s="152">
        <f t="shared" si="45"/>
        <v>0.46894332168755609</v>
      </c>
      <c r="AT26" s="135"/>
      <c r="AU26" s="142">
        <v>21</v>
      </c>
      <c r="AV26" s="143">
        <f t="shared" si="46"/>
        <v>649400</v>
      </c>
      <c r="AW26" s="144">
        <f t="shared" si="28"/>
        <v>435623.93281609751</v>
      </c>
      <c r="AX26" s="144">
        <f t="shared" ref="AX26:AX48" si="56">IF($AU26&lt;=$Q$27,AY25*$AY$1/12,0)</f>
        <v>213776.06718390249</v>
      </c>
      <c r="AY26" s="145">
        <f t="shared" ref="AY26:AY48" si="57">IF($AU26&lt;=$Q$27,AY25-AW26,0)</f>
        <v>34611289.06097126</v>
      </c>
      <c r="AZ26" s="143">
        <f t="shared" si="47"/>
        <v>649400</v>
      </c>
      <c r="BA26" s="145">
        <f t="shared" si="48"/>
        <v>649400</v>
      </c>
      <c r="BB26" s="151">
        <f t="shared" si="49"/>
        <v>0.93264771175492589</v>
      </c>
      <c r="BC26" s="150">
        <f t="shared" si="30"/>
        <v>605661.42401364888</v>
      </c>
      <c r="BD26" s="150">
        <f t="shared" si="50"/>
        <v>12718889.904286627</v>
      </c>
      <c r="BE26" s="152">
        <f t="shared" si="51"/>
        <v>0.28211464066160341</v>
      </c>
    </row>
    <row r="27" spans="2:57" ht="16.5" customHeight="1">
      <c r="B27" s="57" t="s">
        <v>1377</v>
      </c>
      <c r="C27" s="65" t="str">
        <f>견적!BU16</f>
        <v>가솔린</v>
      </c>
      <c r="D27" s="60" t="s">
        <v>3439</v>
      </c>
      <c r="E27" s="62" t="str">
        <f>IF(AND(E25=TRUE,G24="선택형"),"M3",IF(AND(E25=FALSE,G24="선택형"),N14&amp;""&amp;O14&amp;""&amp;P14&amp;""&amp;Q14&amp;""&amp;R14&amp;""&amp;T14,IF(G24="반납형",U14,"ERROR")))</f>
        <v>T</v>
      </c>
      <c r="F27" s="58" t="s">
        <v>1367</v>
      </c>
      <c r="G27" s="63">
        <f>견적!BV20</f>
        <v>36</v>
      </c>
      <c r="H27" s="34">
        <f>IF(U5&lt;=4,U5,0)</f>
        <v>0</v>
      </c>
      <c r="I27" s="60" t="s">
        <v>3439</v>
      </c>
      <c r="J27" s="62" t="str">
        <f>IF(AND(J25=TRUE,L24="선택형"),"M3",IF(AND(J25=FALSE,L24="선택형"),N15&amp;""&amp;O15&amp;""&amp;P15&amp;""&amp;Q15&amp;""&amp;R15&amp;""&amp;T15,IF(L24="반납형",U15,"ERROR")))</f>
        <v>T</v>
      </c>
      <c r="K27" s="61" t="s">
        <v>1367</v>
      </c>
      <c r="L27" s="63">
        <f>견적!CD20</f>
        <v>48</v>
      </c>
      <c r="M27" s="34">
        <f>IF(U9&lt;=4,U9,0)</f>
        <v>0</v>
      </c>
      <c r="N27" s="60" t="s">
        <v>3439</v>
      </c>
      <c r="O27" s="62" t="str">
        <f>IF(AND(O25=TRUE,Q24="선택형"),"M3",IF(AND(O25=FALSE,Q24="선택형"),N16&amp;""&amp;O16&amp;""&amp;P16&amp;""&amp;Q16&amp;""&amp;R16&amp;""&amp;T16,IF(Q24="반납형",U16,"ERROR")))</f>
        <v>T</v>
      </c>
      <c r="P27" s="61" t="s">
        <v>1367</v>
      </c>
      <c r="Q27" s="63">
        <f>견적!CL20</f>
        <v>60</v>
      </c>
      <c r="R27" s="663">
        <f>(Q28+Q29)/D3</f>
        <v>0</v>
      </c>
      <c r="S27" s="655"/>
      <c r="T27" s="655"/>
      <c r="U27" s="655"/>
      <c r="V27" s="362">
        <f>(Q28+Q29)/D3</f>
        <v>0</v>
      </c>
      <c r="W27" s="142">
        <v>22</v>
      </c>
      <c r="X27" s="143">
        <f t="shared" si="34"/>
        <v>810300</v>
      </c>
      <c r="Y27" s="144">
        <f t="shared" si="22"/>
        <v>598658.87205829425</v>
      </c>
      <c r="Z27" s="144">
        <f t="shared" si="52"/>
        <v>211641.12794170572</v>
      </c>
      <c r="AA27" s="145">
        <f t="shared" si="53"/>
        <v>30937190.157930493</v>
      </c>
      <c r="AB27" s="143">
        <f t="shared" si="35"/>
        <v>810300</v>
      </c>
      <c r="AC27" s="145">
        <f t="shared" si="36"/>
        <v>810300</v>
      </c>
      <c r="AD27" s="151">
        <f t="shared" si="37"/>
        <v>0.90094736013489207</v>
      </c>
      <c r="AE27" s="150">
        <f t="shared" si="24"/>
        <v>730037.64591730305</v>
      </c>
      <c r="AF27" s="150">
        <f t="shared" si="38"/>
        <v>16060828.210180666</v>
      </c>
      <c r="AG27" s="152">
        <f t="shared" si="39"/>
        <v>0.35373200886289446</v>
      </c>
      <c r="AH27" s="135"/>
      <c r="AI27" s="142">
        <v>22</v>
      </c>
      <c r="AJ27" s="143">
        <f t="shared" si="40"/>
        <v>703600</v>
      </c>
      <c r="AK27" s="144">
        <f t="shared" si="25"/>
        <v>491414.24739038502</v>
      </c>
      <c r="AL27" s="144">
        <f t="shared" si="54"/>
        <v>212185.75260961495</v>
      </c>
      <c r="AM27" s="145">
        <f t="shared" si="55"/>
        <v>33098016.390375685</v>
      </c>
      <c r="AN27" s="143">
        <f t="shared" si="41"/>
        <v>703600</v>
      </c>
      <c r="AO27" s="145">
        <f t="shared" si="42"/>
        <v>703600</v>
      </c>
      <c r="AP27" s="151">
        <f t="shared" si="43"/>
        <v>1.4663055001816265</v>
      </c>
      <c r="AQ27" s="150">
        <f t="shared" si="27"/>
        <v>1031692.5499277924</v>
      </c>
      <c r="AR27" s="150">
        <f t="shared" si="44"/>
        <v>22697236.098411433</v>
      </c>
      <c r="AS27" s="152">
        <f t="shared" si="45"/>
        <v>0.4998956975106188</v>
      </c>
      <c r="AT27" s="135"/>
      <c r="AU27" s="142">
        <v>22</v>
      </c>
      <c r="AV27" s="143">
        <f t="shared" si="46"/>
        <v>649400</v>
      </c>
      <c r="AW27" s="144">
        <f t="shared" si="28"/>
        <v>438281.11324009427</v>
      </c>
      <c r="AX27" s="144">
        <f t="shared" si="56"/>
        <v>211118.88675990573</v>
      </c>
      <c r="AY27" s="145">
        <f t="shared" si="57"/>
        <v>34173007.947731167</v>
      </c>
      <c r="AZ27" s="143">
        <f t="shared" si="47"/>
        <v>649400</v>
      </c>
      <c r="BA27" s="145">
        <f t="shared" si="48"/>
        <v>649400</v>
      </c>
      <c r="BB27" s="151">
        <f t="shared" si="49"/>
        <v>0.92955611324637699</v>
      </c>
      <c r="BC27" s="150">
        <f t="shared" si="30"/>
        <v>603653.73994219722</v>
      </c>
      <c r="BD27" s="150">
        <f t="shared" si="50"/>
        <v>13280382.27872834</v>
      </c>
      <c r="BE27" s="152">
        <f t="shared" si="51"/>
        <v>0.29456896809441402</v>
      </c>
    </row>
    <row r="28" spans="2:57" ht="16.5" customHeight="1">
      <c r="B28" s="59" t="s">
        <v>1379</v>
      </c>
      <c r="C28" s="62" t="str">
        <f>견적!CA16</f>
        <v>3900CC 이하</v>
      </c>
      <c r="D28" s="59" t="s">
        <v>2938</v>
      </c>
      <c r="E28" s="217">
        <f>IF(G24="선택형",MAX(N5:T5),U5-H27)</f>
        <v>52.5</v>
      </c>
      <c r="F28" s="58" t="s">
        <v>1369</v>
      </c>
      <c r="G28" s="63">
        <f>견적!BY24</f>
        <v>0</v>
      </c>
      <c r="H28" s="662">
        <f>(G28+G29)/D3</f>
        <v>0</v>
      </c>
      <c r="I28" s="59" t="s">
        <v>2938</v>
      </c>
      <c r="J28" s="217">
        <f>IF(L24="선택형",MAX(N9:T9),U9-M27)</f>
        <v>45.5</v>
      </c>
      <c r="K28" s="61" t="s">
        <v>1369</v>
      </c>
      <c r="L28" s="63">
        <f>견적!CG24</f>
        <v>0</v>
      </c>
      <c r="M28" s="662">
        <f>(L28+L29)/D3</f>
        <v>0</v>
      </c>
      <c r="N28" s="59" t="s">
        <v>2938</v>
      </c>
      <c r="O28" s="217">
        <f>IF(Q24="선택형",MAX(N13:T13),U13-R26)</f>
        <v>36.5</v>
      </c>
      <c r="P28" s="61" t="s">
        <v>1369</v>
      </c>
      <c r="Q28" s="63">
        <f>견적!CO24</f>
        <v>0</v>
      </c>
      <c r="R28" s="655"/>
      <c r="S28" s="655"/>
      <c r="T28" s="655"/>
      <c r="U28" s="655"/>
      <c r="W28" s="142">
        <v>23</v>
      </c>
      <c r="X28" s="143">
        <f t="shared" si="34"/>
        <v>810300</v>
      </c>
      <c r="Y28" s="144">
        <f t="shared" si="22"/>
        <v>602676.54853861488</v>
      </c>
      <c r="Z28" s="144">
        <f t="shared" si="52"/>
        <v>207623.45146138512</v>
      </c>
      <c r="AA28" s="145">
        <f t="shared" si="53"/>
        <v>30334513.609391879</v>
      </c>
      <c r="AB28" s="143">
        <f t="shared" si="35"/>
        <v>810300</v>
      </c>
      <c r="AC28" s="145">
        <f t="shared" si="36"/>
        <v>810300</v>
      </c>
      <c r="AD28" s="151">
        <f t="shared" si="37"/>
        <v>0.89668581528559821</v>
      </c>
      <c r="AE28" s="150">
        <f t="shared" si="24"/>
        <v>726584.51612592023</v>
      </c>
      <c r="AF28" s="150">
        <f t="shared" si="38"/>
        <v>16711443.870896164</v>
      </c>
      <c r="AG28" s="152">
        <f t="shared" si="39"/>
        <v>0.3680615055520296</v>
      </c>
      <c r="AH28" s="135"/>
      <c r="AI28" s="142">
        <v>23</v>
      </c>
      <c r="AJ28" s="143">
        <f t="shared" si="40"/>
        <v>703600</v>
      </c>
      <c r="AK28" s="144">
        <f t="shared" si="25"/>
        <v>494518.53049211705</v>
      </c>
      <c r="AL28" s="144">
        <f t="shared" si="54"/>
        <v>209081.46950788295</v>
      </c>
      <c r="AM28" s="145">
        <f t="shared" si="55"/>
        <v>32603497.859883569</v>
      </c>
      <c r="AN28" s="143">
        <f t="shared" si="41"/>
        <v>703600</v>
      </c>
      <c r="AO28" s="145">
        <f t="shared" si="42"/>
        <v>703600</v>
      </c>
      <c r="AP28" s="151">
        <f t="shared" si="43"/>
        <v>1.4920388140765453</v>
      </c>
      <c r="AQ28" s="150">
        <f t="shared" si="27"/>
        <v>1049798.5095842571</v>
      </c>
      <c r="AR28" s="150">
        <f t="shared" si="44"/>
        <v>24145365.720437914</v>
      </c>
      <c r="AS28" s="152">
        <f t="shared" si="45"/>
        <v>0.53179005523549538</v>
      </c>
      <c r="AT28" s="135"/>
      <c r="AU28" s="142">
        <v>23</v>
      </c>
      <c r="AV28" s="143">
        <f t="shared" si="46"/>
        <v>649400</v>
      </c>
      <c r="AW28" s="144">
        <f t="shared" si="28"/>
        <v>440954.50169875997</v>
      </c>
      <c r="AX28" s="144">
        <f t="shared" si="56"/>
        <v>208445.49830124006</v>
      </c>
      <c r="AY28" s="145">
        <f t="shared" si="57"/>
        <v>33732053.446032405</v>
      </c>
      <c r="AZ28" s="143">
        <f t="shared" si="47"/>
        <v>649400</v>
      </c>
      <c r="BA28" s="145">
        <f t="shared" si="48"/>
        <v>649400</v>
      </c>
      <c r="BB28" s="151">
        <f t="shared" si="49"/>
        <v>0.92647476296040787</v>
      </c>
      <c r="BC28" s="150">
        <f t="shared" si="30"/>
        <v>601652.71106648888</v>
      </c>
      <c r="BD28" s="150">
        <f t="shared" si="50"/>
        <v>13838012.354529245</v>
      </c>
      <c r="BE28" s="152">
        <f t="shared" si="51"/>
        <v>0.30693762680916986</v>
      </c>
    </row>
    <row r="29" spans="2:57" ht="16.5" customHeight="1">
      <c r="B29" s="59" t="s">
        <v>1380</v>
      </c>
      <c r="C29" s="64" t="str">
        <f>견적!CL16</f>
        <v>승용</v>
      </c>
      <c r="D29" s="59" t="s">
        <v>1366</v>
      </c>
      <c r="E29" s="63">
        <f>D3*E28/100</f>
        <v>24333750</v>
      </c>
      <c r="F29" s="58" t="s">
        <v>1370</v>
      </c>
      <c r="G29" s="63">
        <f>견적!BY25</f>
        <v>0</v>
      </c>
      <c r="I29" s="59" t="s">
        <v>1366</v>
      </c>
      <c r="J29" s="63">
        <f>D3*J28/100</f>
        <v>21089250</v>
      </c>
      <c r="K29" s="61" t="s">
        <v>1370</v>
      </c>
      <c r="L29" s="63">
        <f>견적!CG25</f>
        <v>0</v>
      </c>
      <c r="N29" s="59" t="s">
        <v>1366</v>
      </c>
      <c r="O29" s="63">
        <f>D3*O28/100</f>
        <v>16917750</v>
      </c>
      <c r="P29" s="61" t="s">
        <v>1370</v>
      </c>
      <c r="Q29" s="63">
        <f>견적!CO25</f>
        <v>0</v>
      </c>
      <c r="R29" s="655"/>
      <c r="S29" s="655"/>
      <c r="T29" s="655"/>
      <c r="U29" s="655"/>
      <c r="W29" s="142">
        <v>24</v>
      </c>
      <c r="X29" s="143">
        <f t="shared" si="34"/>
        <v>810300</v>
      </c>
      <c r="Y29" s="144">
        <f t="shared" si="22"/>
        <v>606721.18816114205</v>
      </c>
      <c r="Z29" s="144">
        <f t="shared" si="52"/>
        <v>203578.81183885798</v>
      </c>
      <c r="AA29" s="145">
        <f t="shared" si="53"/>
        <v>29727792.421230737</v>
      </c>
      <c r="AB29" s="143">
        <f t="shared" si="35"/>
        <v>810300</v>
      </c>
      <c r="AC29" s="145">
        <f t="shared" si="36"/>
        <v>810300</v>
      </c>
      <c r="AD29" s="151">
        <f t="shared" si="37"/>
        <v>0.89244442784538924</v>
      </c>
      <c r="AE29" s="150">
        <f t="shared" si="24"/>
        <v>723147.71988311887</v>
      </c>
      <c r="AF29" s="150">
        <f t="shared" si="38"/>
        <v>17355545.277194854</v>
      </c>
      <c r="AG29" s="152">
        <f t="shared" si="39"/>
        <v>0.38224752892391445</v>
      </c>
      <c r="AH29" s="135"/>
      <c r="AI29" s="142">
        <v>24</v>
      </c>
      <c r="AJ29" s="143">
        <f t="shared" si="40"/>
        <v>703600</v>
      </c>
      <c r="AK29" s="144">
        <f t="shared" si="25"/>
        <v>497642.42347212764</v>
      </c>
      <c r="AL29" s="144">
        <f t="shared" si="54"/>
        <v>205957.57652787236</v>
      </c>
      <c r="AM29" s="145">
        <f t="shared" si="55"/>
        <v>32105855.43641144</v>
      </c>
      <c r="AN29" s="143">
        <f t="shared" si="41"/>
        <v>703600</v>
      </c>
      <c r="AO29" s="145">
        <f t="shared" si="42"/>
        <v>703600</v>
      </c>
      <c r="AP29" s="151">
        <f t="shared" si="43"/>
        <v>1.5182237415294382</v>
      </c>
      <c r="AQ29" s="150">
        <f t="shared" si="27"/>
        <v>1068222.2245401128</v>
      </c>
      <c r="AR29" s="150">
        <f t="shared" si="44"/>
        <v>25637333.388962708</v>
      </c>
      <c r="AS29" s="152">
        <f t="shared" si="45"/>
        <v>0.56464992482872278</v>
      </c>
      <c r="AT29" s="135"/>
      <c r="AU29" s="142">
        <v>24</v>
      </c>
      <c r="AV29" s="143">
        <f t="shared" si="46"/>
        <v>649400</v>
      </c>
      <c r="AW29" s="144">
        <f t="shared" si="28"/>
        <v>443644.197056434</v>
      </c>
      <c r="AX29" s="144">
        <f t="shared" si="56"/>
        <v>205755.80294356597</v>
      </c>
      <c r="AY29" s="145">
        <f t="shared" si="57"/>
        <v>33288409.24897597</v>
      </c>
      <c r="AZ29" s="143">
        <f t="shared" si="47"/>
        <v>649400</v>
      </c>
      <c r="BA29" s="145">
        <f t="shared" si="48"/>
        <v>649400</v>
      </c>
      <c r="BB29" s="151">
        <f t="shared" si="49"/>
        <v>0.92340362692557321</v>
      </c>
      <c r="BC29" s="150">
        <f t="shared" si="30"/>
        <v>599658.31532546727</v>
      </c>
      <c r="BD29" s="150">
        <f t="shared" si="50"/>
        <v>14391799.567811213</v>
      </c>
      <c r="BE29" s="152">
        <f t="shared" si="51"/>
        <v>0.31922104791381978</v>
      </c>
    </row>
    <row r="30" spans="2:57" ht="16.5" customHeight="1">
      <c r="B30" s="59" t="s">
        <v>1383</v>
      </c>
      <c r="C30" s="64">
        <f>견적!CQ16</f>
        <v>3500</v>
      </c>
      <c r="D30" s="61" t="s">
        <v>1368</v>
      </c>
      <c r="E30" s="63">
        <f>견적!BV34+G23</f>
        <v>2178450</v>
      </c>
      <c r="F30" s="58" t="s">
        <v>1371</v>
      </c>
      <c r="G30" s="63">
        <f>ROUNDDOWN(G29/G27,0)</f>
        <v>0</v>
      </c>
      <c r="I30" s="61" t="s">
        <v>1368</v>
      </c>
      <c r="J30" s="63">
        <f>견적!CD34+L23</f>
        <v>2178450</v>
      </c>
      <c r="K30" s="61" t="s">
        <v>1371</v>
      </c>
      <c r="L30" s="63">
        <f>ROUNDDOWN(L29/L27,0)</f>
        <v>0</v>
      </c>
      <c r="N30" s="61" t="s">
        <v>1368</v>
      </c>
      <c r="O30" s="63">
        <f>견적!CL34+Q23</f>
        <v>2178450</v>
      </c>
      <c r="P30" s="61" t="s">
        <v>1371</v>
      </c>
      <c r="Q30" s="63">
        <f>ROUNDDOWN(Q29/Q27,0)</f>
        <v>0</v>
      </c>
      <c r="R30" s="655"/>
      <c r="S30" s="655"/>
      <c r="T30" s="655"/>
      <c r="U30" s="655"/>
      <c r="W30" s="142">
        <v>25</v>
      </c>
      <c r="X30" s="143">
        <f t="shared" si="34"/>
        <v>810300</v>
      </c>
      <c r="Y30" s="144">
        <f t="shared" si="22"/>
        <v>610792.97187898157</v>
      </c>
      <c r="Z30" s="144">
        <f t="shared" si="52"/>
        <v>199507.0281210184</v>
      </c>
      <c r="AA30" s="145">
        <f t="shared" si="53"/>
        <v>29116999.449351754</v>
      </c>
      <c r="AB30" s="143">
        <f t="shared" si="35"/>
        <v>810300</v>
      </c>
      <c r="AC30" s="145">
        <f t="shared" si="36"/>
        <v>810300</v>
      </c>
      <c r="AD30" s="151">
        <f t="shared" si="37"/>
        <v>0.88822310246829261</v>
      </c>
      <c r="AE30" s="150">
        <f t="shared" si="24"/>
        <v>719727.17993005749</v>
      </c>
      <c r="AF30" s="150">
        <f t="shared" si="38"/>
        <v>17993179.498251438</v>
      </c>
      <c r="AG30" s="152">
        <f t="shared" si="39"/>
        <v>0.39629111565446051</v>
      </c>
      <c r="AH30" s="135"/>
      <c r="AI30" s="142">
        <v>25</v>
      </c>
      <c r="AJ30" s="143">
        <f t="shared" si="40"/>
        <v>703600</v>
      </c>
      <c r="AK30" s="144">
        <f t="shared" si="25"/>
        <v>500786.05020678812</v>
      </c>
      <c r="AL30" s="144">
        <f t="shared" si="54"/>
        <v>202813.94979321185</v>
      </c>
      <c r="AM30" s="145">
        <f t="shared" si="55"/>
        <v>31605069.386204652</v>
      </c>
      <c r="AN30" s="143">
        <f t="shared" si="41"/>
        <v>703600</v>
      </c>
      <c r="AO30" s="145">
        <f t="shared" si="42"/>
        <v>703600</v>
      </c>
      <c r="AP30" s="151">
        <f t="shared" si="43"/>
        <v>1.5448682082511789</v>
      </c>
      <c r="AQ30" s="150">
        <f t="shared" si="27"/>
        <v>1086969.2713255296</v>
      </c>
      <c r="AR30" s="150">
        <f t="shared" si="44"/>
        <v>27174231.783138238</v>
      </c>
      <c r="AS30" s="152">
        <f t="shared" si="45"/>
        <v>0.59849937202256409</v>
      </c>
      <c r="AT30" s="135"/>
      <c r="AU30" s="142">
        <v>25</v>
      </c>
      <c r="AV30" s="143">
        <f t="shared" si="46"/>
        <v>649400</v>
      </c>
      <c r="AW30" s="144">
        <f t="shared" si="28"/>
        <v>446350.29878050019</v>
      </c>
      <c r="AX30" s="144">
        <f t="shared" si="56"/>
        <v>203049.70121949978</v>
      </c>
      <c r="AY30" s="145">
        <f t="shared" si="57"/>
        <v>32842058.950195469</v>
      </c>
      <c r="AZ30" s="143">
        <f t="shared" si="47"/>
        <v>649400</v>
      </c>
      <c r="BA30" s="145">
        <f t="shared" si="48"/>
        <v>649400</v>
      </c>
      <c r="BB30" s="151">
        <f t="shared" si="49"/>
        <v>0.92034267128304048</v>
      </c>
      <c r="BC30" s="150">
        <f t="shared" si="30"/>
        <v>597670.53073120653</v>
      </c>
      <c r="BD30" s="150">
        <f t="shared" si="50"/>
        <v>14941763.268280163</v>
      </c>
      <c r="BE30" s="152">
        <f t="shared" si="51"/>
        <v>0.33141966059954109</v>
      </c>
    </row>
    <row r="31" spans="2:57" ht="16.5" customHeight="1">
      <c r="B31" s="59" t="s">
        <v>1387</v>
      </c>
      <c r="C31" s="64" t="str">
        <f>견적!CL28</f>
        <v>만26세이상</v>
      </c>
      <c r="D31" s="59" t="s">
        <v>1396</v>
      </c>
      <c r="E31" s="63" t="str">
        <f>견적!BV29</f>
        <v>미가입</v>
      </c>
      <c r="F31" s="58" t="s">
        <v>1384</v>
      </c>
      <c r="G31" s="63" t="str">
        <f>견적!BV28</f>
        <v>1억</v>
      </c>
      <c r="I31" s="59" t="s">
        <v>1395</v>
      </c>
      <c r="J31" s="63" t="str">
        <f>E31</f>
        <v>미가입</v>
      </c>
      <c r="K31" s="61" t="s">
        <v>1384</v>
      </c>
      <c r="L31" s="63" t="str">
        <f>G31</f>
        <v>1억</v>
      </c>
      <c r="N31" s="59" t="s">
        <v>1395</v>
      </c>
      <c r="O31" s="63" t="str">
        <f>E31</f>
        <v>미가입</v>
      </c>
      <c r="P31" s="61" t="s">
        <v>1384</v>
      </c>
      <c r="Q31" s="63" t="str">
        <f>G31</f>
        <v>1억</v>
      </c>
      <c r="R31" s="655"/>
      <c r="S31" s="655"/>
      <c r="T31" s="655"/>
      <c r="U31" s="655"/>
      <c r="W31" s="142">
        <v>26</v>
      </c>
      <c r="X31" s="143">
        <f t="shared" si="34"/>
        <v>810300</v>
      </c>
      <c r="Y31" s="144">
        <f t="shared" si="22"/>
        <v>614892.08185963903</v>
      </c>
      <c r="Z31" s="144">
        <f t="shared" si="52"/>
        <v>195407.91814036094</v>
      </c>
      <c r="AA31" s="145">
        <f t="shared" si="53"/>
        <v>28502107.367492113</v>
      </c>
      <c r="AB31" s="143">
        <f t="shared" si="35"/>
        <v>810300</v>
      </c>
      <c r="AC31" s="145">
        <f t="shared" si="36"/>
        <v>810300</v>
      </c>
      <c r="AD31" s="151">
        <f t="shared" si="37"/>
        <v>0.88402174425932789</v>
      </c>
      <c r="AE31" s="150">
        <f t="shared" si="24"/>
        <v>716322.81937333336</v>
      </c>
      <c r="AF31" s="150">
        <f t="shared" si="38"/>
        <v>18624393.303706668</v>
      </c>
      <c r="AG31" s="152">
        <f t="shared" si="39"/>
        <v>0.41019329582248804</v>
      </c>
      <c r="AH31" s="135"/>
      <c r="AI31" s="142">
        <v>26</v>
      </c>
      <c r="AJ31" s="143">
        <f t="shared" si="40"/>
        <v>703600</v>
      </c>
      <c r="AK31" s="144">
        <f t="shared" si="25"/>
        <v>503949.5353550018</v>
      </c>
      <c r="AL31" s="144">
        <f t="shared" si="54"/>
        <v>199650.46464499822</v>
      </c>
      <c r="AM31" s="145">
        <f t="shared" si="55"/>
        <v>31101119.850849651</v>
      </c>
      <c r="AN31" s="143">
        <f t="shared" si="41"/>
        <v>703600</v>
      </c>
      <c r="AO31" s="145">
        <f t="shared" si="42"/>
        <v>703600</v>
      </c>
      <c r="AP31" s="151">
        <f t="shared" si="43"/>
        <v>1.5719802790469877</v>
      </c>
      <c r="AQ31" s="150">
        <f t="shared" si="27"/>
        <v>1106045.3243374606</v>
      </c>
      <c r="AR31" s="150">
        <f t="shared" si="44"/>
        <v>28757178.432773974</v>
      </c>
      <c r="AS31" s="152">
        <f t="shared" si="45"/>
        <v>0.63336300987303951</v>
      </c>
      <c r="AT31" s="135"/>
      <c r="AU31" s="142">
        <v>26</v>
      </c>
      <c r="AV31" s="143">
        <f t="shared" si="46"/>
        <v>649400</v>
      </c>
      <c r="AW31" s="144">
        <f t="shared" si="28"/>
        <v>449072.90694506443</v>
      </c>
      <c r="AX31" s="144">
        <f t="shared" si="56"/>
        <v>200327.0930549356</v>
      </c>
      <c r="AY31" s="145">
        <f t="shared" si="57"/>
        <v>32392986.043250404</v>
      </c>
      <c r="AZ31" s="143">
        <f t="shared" si="47"/>
        <v>649400</v>
      </c>
      <c r="BA31" s="145">
        <f t="shared" si="48"/>
        <v>649400</v>
      </c>
      <c r="BB31" s="151">
        <f t="shared" si="49"/>
        <v>0.91729186228621329</v>
      </c>
      <c r="BC31" s="150">
        <f t="shared" si="30"/>
        <v>595689.33536866691</v>
      </c>
      <c r="BD31" s="150">
        <f t="shared" si="50"/>
        <v>15487922.71958534</v>
      </c>
      <c r="BE31" s="152">
        <f t="shared" si="51"/>
        <v>0.34353389214870872</v>
      </c>
    </row>
    <row r="32" spans="2:57" ht="16.5" customHeight="1">
      <c r="B32" s="59" t="s">
        <v>1388</v>
      </c>
      <c r="C32" s="62" t="str">
        <f>견적!CL10</f>
        <v>용인</v>
      </c>
      <c r="D32" s="59" t="s">
        <v>1385</v>
      </c>
      <c r="E32" s="63" t="str">
        <f>견적!BV19</f>
        <v>일반형</v>
      </c>
      <c r="F32" s="58" t="s">
        <v>1386</v>
      </c>
      <c r="G32" s="63" t="str">
        <f>견적!BV21</f>
        <v>2만km</v>
      </c>
      <c r="I32" s="59" t="s">
        <v>1385</v>
      </c>
      <c r="J32" s="63" t="str">
        <f>견적!CD19</f>
        <v>일반형</v>
      </c>
      <c r="K32" s="61" t="s">
        <v>1386</v>
      </c>
      <c r="L32" s="63" t="str">
        <f>견적!CD21</f>
        <v>2만km</v>
      </c>
      <c r="N32" s="59" t="s">
        <v>1385</v>
      </c>
      <c r="O32" s="63" t="str">
        <f>견적!CL19</f>
        <v>일반형</v>
      </c>
      <c r="P32" s="61" t="s">
        <v>1386</v>
      </c>
      <c r="Q32" s="63" t="str">
        <f>견적!CL21</f>
        <v>2만km</v>
      </c>
      <c r="R32" s="623"/>
      <c r="S32" s="623"/>
      <c r="T32" s="623"/>
      <c r="U32" s="623"/>
      <c r="W32" s="142">
        <v>27</v>
      </c>
      <c r="X32" s="143">
        <f t="shared" si="34"/>
        <v>810300</v>
      </c>
      <c r="Y32" s="144">
        <f t="shared" si="22"/>
        <v>619018.7014931693</v>
      </c>
      <c r="Z32" s="144">
        <f t="shared" si="52"/>
        <v>191281.29850683067</v>
      </c>
      <c r="AA32" s="145">
        <f t="shared" si="53"/>
        <v>27883088.665998943</v>
      </c>
      <c r="AB32" s="143">
        <f t="shared" si="35"/>
        <v>810300</v>
      </c>
      <c r="AC32" s="145">
        <f t="shared" si="36"/>
        <v>810300</v>
      </c>
      <c r="AD32" s="151">
        <f t="shared" si="37"/>
        <v>0.87984025877237548</v>
      </c>
      <c r="AE32" s="150">
        <f t="shared" si="24"/>
        <v>712934.56168325583</v>
      </c>
      <c r="AF32" s="150">
        <f t="shared" si="38"/>
        <v>19249233.165447906</v>
      </c>
      <c r="AG32" s="152">
        <f t="shared" si="39"/>
        <v>0.42395509294894235</v>
      </c>
      <c r="AH32" s="135"/>
      <c r="AI32" s="142">
        <v>27</v>
      </c>
      <c r="AJ32" s="143">
        <f t="shared" si="40"/>
        <v>703600</v>
      </c>
      <c r="AK32" s="144">
        <f t="shared" si="25"/>
        <v>507133.00436314684</v>
      </c>
      <c r="AL32" s="144">
        <f t="shared" si="54"/>
        <v>196466.99563685316</v>
      </c>
      <c r="AM32" s="145">
        <f t="shared" si="55"/>
        <v>30593986.846486505</v>
      </c>
      <c r="AN32" s="143">
        <f t="shared" si="41"/>
        <v>703600</v>
      </c>
      <c r="AO32" s="145">
        <f t="shared" si="42"/>
        <v>703600</v>
      </c>
      <c r="AP32" s="151">
        <f t="shared" si="43"/>
        <v>1.5995681602575043</v>
      </c>
      <c r="AQ32" s="150">
        <f t="shared" si="27"/>
        <v>1125456.1575571799</v>
      </c>
      <c r="AR32" s="150">
        <f t="shared" si="44"/>
        <v>30387316.254043858</v>
      </c>
      <c r="AS32" s="152">
        <f t="shared" si="45"/>
        <v>0.66926601055862445</v>
      </c>
      <c r="AT32" s="135"/>
      <c r="AU32" s="142">
        <v>27</v>
      </c>
      <c r="AV32" s="143">
        <f t="shared" si="46"/>
        <v>649400</v>
      </c>
      <c r="AW32" s="144">
        <f t="shared" si="28"/>
        <v>451812.12223465566</v>
      </c>
      <c r="AX32" s="144">
        <f t="shared" si="56"/>
        <v>197587.87776534431</v>
      </c>
      <c r="AY32" s="145">
        <f t="shared" si="57"/>
        <v>31941173.921015747</v>
      </c>
      <c r="AZ32" s="143">
        <f t="shared" si="47"/>
        <v>649400</v>
      </c>
      <c r="BA32" s="145">
        <f t="shared" si="48"/>
        <v>649400</v>
      </c>
      <c r="BB32" s="151">
        <f t="shared" si="49"/>
        <v>0.91425116630036041</v>
      </c>
      <c r="BC32" s="150">
        <f t="shared" si="30"/>
        <v>593714.70739545405</v>
      </c>
      <c r="BD32" s="150">
        <f t="shared" si="50"/>
        <v>16030297.099677259</v>
      </c>
      <c r="BE32" s="152">
        <f t="shared" si="51"/>
        <v>0.35556416794283463</v>
      </c>
    </row>
    <row r="33" spans="2:57" ht="16.5" customHeight="1">
      <c r="B33" s="59" t="s">
        <v>1398</v>
      </c>
      <c r="C33" s="64" t="str">
        <f>견적!CP10</f>
        <v>서울시</v>
      </c>
      <c r="D33" s="59" t="s">
        <v>1373</v>
      </c>
      <c r="E33" s="64" t="str">
        <f>견적!BV18</f>
        <v>선택형</v>
      </c>
      <c r="F33" s="58" t="s">
        <v>1382</v>
      </c>
      <c r="G33" s="67" t="str">
        <f>$C$29&amp;$C$31&amp;$G$31&amp;$C$34&amp;$E$34</f>
        <v>승용만26세이상1억개인N</v>
      </c>
      <c r="I33" s="59" t="s">
        <v>1373</v>
      </c>
      <c r="J33" s="64" t="str">
        <f>견적!CD18</f>
        <v>선택형</v>
      </c>
      <c r="K33" s="61"/>
      <c r="L33" s="67" t="str">
        <f>$C$29&amp;$C$31&amp;$G$31&amp;$C$34</f>
        <v>승용만26세이상1억개인</v>
      </c>
      <c r="N33" s="59" t="s">
        <v>1373</v>
      </c>
      <c r="O33" s="64" t="str">
        <f>견적!CL18</f>
        <v>선택형</v>
      </c>
      <c r="P33" s="61"/>
      <c r="Q33" s="67" t="str">
        <f>$C$29&amp;$C$31&amp;$G$31&amp;$C$34</f>
        <v>승용만26세이상1억개인</v>
      </c>
      <c r="R33" s="623"/>
      <c r="S33" s="623"/>
      <c r="T33" s="623"/>
      <c r="U33" s="623"/>
      <c r="W33" s="142">
        <v>28</v>
      </c>
      <c r="X33" s="143">
        <f t="shared" si="34"/>
        <v>810300</v>
      </c>
      <c r="Y33" s="144">
        <f t="shared" si="22"/>
        <v>623173.01540038141</v>
      </c>
      <c r="Z33" s="144">
        <f t="shared" si="52"/>
        <v>187126.98459961856</v>
      </c>
      <c r="AA33" s="145">
        <f t="shared" si="53"/>
        <v>27259915.650598563</v>
      </c>
      <c r="AB33" s="143">
        <f t="shared" si="35"/>
        <v>810300</v>
      </c>
      <c r="AC33" s="145">
        <f t="shared" si="36"/>
        <v>810300</v>
      </c>
      <c r="AD33" s="151">
        <f t="shared" si="37"/>
        <v>0.87567855200805156</v>
      </c>
      <c r="AE33" s="150">
        <f t="shared" si="24"/>
        <v>709562.3306921242</v>
      </c>
      <c r="AF33" s="150">
        <f t="shared" si="38"/>
        <v>19867745.259379476</v>
      </c>
      <c r="AG33" s="152">
        <f t="shared" si="39"/>
        <v>0.43757752403588496</v>
      </c>
      <c r="AH33" s="135"/>
      <c r="AI33" s="142">
        <v>28</v>
      </c>
      <c r="AJ33" s="143">
        <f t="shared" si="40"/>
        <v>703600</v>
      </c>
      <c r="AK33" s="144">
        <f t="shared" si="25"/>
        <v>510336.58347005141</v>
      </c>
      <c r="AL33" s="144">
        <f t="shared" si="54"/>
        <v>193263.41652994856</v>
      </c>
      <c r="AM33" s="145">
        <f t="shared" si="55"/>
        <v>30083650.263016455</v>
      </c>
      <c r="AN33" s="143">
        <f t="shared" si="41"/>
        <v>703600</v>
      </c>
      <c r="AO33" s="145">
        <f t="shared" si="42"/>
        <v>703600</v>
      </c>
      <c r="AP33" s="151">
        <f t="shared" si="43"/>
        <v>1.627640202242701</v>
      </c>
      <c r="AQ33" s="150">
        <f t="shared" si="27"/>
        <v>1145207.6462979645</v>
      </c>
      <c r="AR33" s="150">
        <f t="shared" si="44"/>
        <v>32065814.096343007</v>
      </c>
      <c r="AS33" s="152">
        <f t="shared" si="45"/>
        <v>0.70623411742450526</v>
      </c>
      <c r="AT33" s="135"/>
      <c r="AU33" s="142">
        <v>28</v>
      </c>
      <c r="AV33" s="143">
        <f t="shared" si="46"/>
        <v>649400</v>
      </c>
      <c r="AW33" s="144">
        <f t="shared" si="28"/>
        <v>454568.04594794987</v>
      </c>
      <c r="AX33" s="144">
        <f t="shared" si="56"/>
        <v>194831.9540520501</v>
      </c>
      <c r="AY33" s="145">
        <f t="shared" si="57"/>
        <v>31486605.875067797</v>
      </c>
      <c r="AZ33" s="143">
        <f t="shared" si="47"/>
        <v>649400</v>
      </c>
      <c r="BA33" s="145">
        <f t="shared" si="48"/>
        <v>649400</v>
      </c>
      <c r="BB33" s="151">
        <f t="shared" si="49"/>
        <v>0.91122054980224609</v>
      </c>
      <c r="BC33" s="150">
        <f t="shared" si="30"/>
        <v>591746.62504157866</v>
      </c>
      <c r="BD33" s="150">
        <f t="shared" si="50"/>
        <v>16568905.501164202</v>
      </c>
      <c r="BE33" s="152">
        <f t="shared" si="51"/>
        <v>0.36751091147047521</v>
      </c>
    </row>
    <row r="34" spans="2:57" ht="16.5" customHeight="1">
      <c r="B34" s="59" t="s">
        <v>1562</v>
      </c>
      <c r="C34" s="64" t="str">
        <f>견적!BV2</f>
        <v>개인</v>
      </c>
      <c r="D34" s="59" t="s">
        <v>1399</v>
      </c>
      <c r="E34" s="64" t="str">
        <f>IF(E31="가입","Y","N")</f>
        <v>N</v>
      </c>
      <c r="F34" s="58" t="s">
        <v>1400</v>
      </c>
      <c r="G34" s="67" t="str">
        <f>E32&amp;$C$28&amp;G27</f>
        <v>일반형3900CC 이하36</v>
      </c>
      <c r="I34" s="59" t="s">
        <v>1399</v>
      </c>
      <c r="J34" s="64" t="str">
        <f>IF(J31="가입",I31,"")</f>
        <v/>
      </c>
      <c r="K34" s="58" t="s">
        <v>1400</v>
      </c>
      <c r="L34" s="67" t="str">
        <f>J32&amp;$C$28&amp;L27</f>
        <v>일반형3900CC 이하48</v>
      </c>
      <c r="N34" s="59" t="s">
        <v>1399</v>
      </c>
      <c r="O34" s="64" t="str">
        <f>IF(O31="가입",N31,"")</f>
        <v/>
      </c>
      <c r="P34" s="58" t="s">
        <v>1400</v>
      </c>
      <c r="Q34" s="67" t="str">
        <f>O32&amp;$C$28&amp;Q27</f>
        <v>일반형3900CC 이하60</v>
      </c>
      <c r="R34" s="656"/>
      <c r="S34" s="656"/>
      <c r="T34" s="656"/>
      <c r="U34" s="656"/>
      <c r="V34">
        <f>IF(Q32="3만km",0,IF(AND($E$26=1,Q32="2.5만km"),0.5,IF(AND($E$26=1,Q32="2만km"),1,IF(AND($E$26=1,Q32="1.5만km"),1.5,IF(AND($E$26=1,Q32="1만km"),2,0)))))</f>
        <v>0</v>
      </c>
      <c r="W34" s="142">
        <v>29</v>
      </c>
      <c r="X34" s="143">
        <f t="shared" si="34"/>
        <v>810300</v>
      </c>
      <c r="Y34" s="144">
        <f t="shared" si="22"/>
        <v>627355.2094410985</v>
      </c>
      <c r="Z34" s="144">
        <f t="shared" si="52"/>
        <v>182944.79055890153</v>
      </c>
      <c r="AA34" s="145">
        <f t="shared" si="53"/>
        <v>26632560.441157464</v>
      </c>
      <c r="AB34" s="143">
        <f t="shared" si="35"/>
        <v>810300</v>
      </c>
      <c r="AC34" s="145">
        <f t="shared" si="36"/>
        <v>810300</v>
      </c>
      <c r="AD34" s="151">
        <f t="shared" si="37"/>
        <v>0.87153653041159729</v>
      </c>
      <c r="AE34" s="150">
        <f t="shared" si="24"/>
        <v>706206.05059251725</v>
      </c>
      <c r="AF34" s="150">
        <f t="shared" si="38"/>
        <v>20479975.467183001</v>
      </c>
      <c r="AG34" s="152">
        <f t="shared" si="39"/>
        <v>0.45106159960526387</v>
      </c>
      <c r="AH34" s="135"/>
      <c r="AI34" s="142">
        <v>29</v>
      </c>
      <c r="AJ34" s="143">
        <f t="shared" si="40"/>
        <v>703600</v>
      </c>
      <c r="AK34" s="144">
        <f t="shared" si="25"/>
        <v>513560.39971199934</v>
      </c>
      <c r="AL34" s="144">
        <f t="shared" si="54"/>
        <v>190039.60028800066</v>
      </c>
      <c r="AM34" s="145">
        <f t="shared" si="55"/>
        <v>29570089.863304455</v>
      </c>
      <c r="AN34" s="143">
        <f t="shared" si="41"/>
        <v>703600</v>
      </c>
      <c r="AO34" s="145">
        <f t="shared" si="42"/>
        <v>703600</v>
      </c>
      <c r="AP34" s="151">
        <f t="shared" si="43"/>
        <v>1.656204901909389</v>
      </c>
      <c r="AQ34" s="150">
        <f t="shared" si="27"/>
        <v>1165305.7689834461</v>
      </c>
      <c r="AR34" s="150">
        <f t="shared" si="44"/>
        <v>33793867.300519936</v>
      </c>
      <c r="AS34" s="152">
        <f t="shared" si="45"/>
        <v>0.74429365727737506</v>
      </c>
      <c r="AT34" s="135"/>
      <c r="AU34" s="142">
        <v>29</v>
      </c>
      <c r="AV34" s="143">
        <f t="shared" si="46"/>
        <v>649400</v>
      </c>
      <c r="AW34" s="144">
        <f t="shared" si="28"/>
        <v>457340.78000151552</v>
      </c>
      <c r="AX34" s="144">
        <f t="shared" si="56"/>
        <v>192059.21999848451</v>
      </c>
      <c r="AY34" s="145">
        <f t="shared" si="57"/>
        <v>31029265.095066279</v>
      </c>
      <c r="AZ34" s="143">
        <f t="shared" si="47"/>
        <v>649400</v>
      </c>
      <c r="BA34" s="145">
        <f t="shared" si="48"/>
        <v>649400</v>
      </c>
      <c r="BB34" s="151">
        <f t="shared" si="49"/>
        <v>0.90819997937975849</v>
      </c>
      <c r="BC34" s="150">
        <f t="shared" si="30"/>
        <v>589785.06660921511</v>
      </c>
      <c r="BD34" s="150">
        <f t="shared" si="50"/>
        <v>17103766.931667238</v>
      </c>
      <c r="BE34" s="152">
        <f t="shared" si="51"/>
        <v>0.37937454433510598</v>
      </c>
    </row>
    <row r="35" spans="2:57" ht="16.5" customHeight="1">
      <c r="B35" s="304" t="s">
        <v>2170</v>
      </c>
      <c r="C35" s="64">
        <f>VLOOKUP(견적!$BN$9,차량!$A:$I,9,0)</f>
        <v>4</v>
      </c>
      <c r="D35" s="59" t="s">
        <v>1665</v>
      </c>
      <c r="E35" s="64">
        <f>IF(견적!$CL$29="30만원",0,IF(견적!$CL$29="20만원",5000,IF(견적!$CL$29="10만원",10000)))</f>
        <v>0</v>
      </c>
      <c r="F35" s="58" t="s">
        <v>1701</v>
      </c>
      <c r="G35" s="288">
        <f>IF(G32="3만km",0,IF(G32="2.5만km",2,IF(G32="2만km",4,IF(G32="1.5만km",6,IF(G32="1만km",8)))))+H35</f>
        <v>4</v>
      </c>
      <c r="H35" s="289">
        <f>IF(G32="3만km",0,IF(AND($E$26=1,G32="2.5만km"),0.5,IF(AND($E$26=1,G32="2만km"),1,IF(AND($E$26=1,G32="1.5만km"),1.5,IF(AND($E$26=1,G32="1만km"),2,0)))))</f>
        <v>0</v>
      </c>
      <c r="I35" s="59"/>
      <c r="J35" s="64"/>
      <c r="K35" s="58" t="s">
        <v>1701</v>
      </c>
      <c r="L35" s="288">
        <f>IF(L32="3만km",0,IF(L32="2.5만km",2,IF(L32="2만km",4,IF(L32="1.5만km",6,IF(L32="1만km",8)))))+M35</f>
        <v>4</v>
      </c>
      <c r="M35">
        <f>IF(L32="3만km",0,IF(AND($E$26=1,L32="2.5만km"),0.5,IF(AND($E$26=1,L32="2만km"),1,IF(AND($E$26=1,L32="1.5만km"),1.5,IF(AND($E$26=1,L32="1만km"),2,0)))))</f>
        <v>0</v>
      </c>
      <c r="N35" s="59"/>
      <c r="O35" s="64"/>
      <c r="P35" s="58" t="s">
        <v>1701</v>
      </c>
      <c r="Q35" s="288">
        <f>IF(Q32="3만km",0,IF(Q32="2.5만km",2,IF(Q32="2만km",4,IF(Q32="1.5만km",6,IF(Q32="1만km",8)))))+V34</f>
        <v>4</v>
      </c>
      <c r="R35" s="657"/>
      <c r="S35" s="657"/>
      <c r="T35" s="657"/>
      <c r="U35" s="657"/>
      <c r="W35" s="142">
        <v>30</v>
      </c>
      <c r="X35" s="143">
        <f t="shared" si="34"/>
        <v>810300</v>
      </c>
      <c r="Y35" s="144">
        <f t="shared" si="22"/>
        <v>631565.47072247253</v>
      </c>
      <c r="Z35" s="144">
        <f t="shared" si="52"/>
        <v>178734.52927752747</v>
      </c>
      <c r="AA35" s="145">
        <f t="shared" si="53"/>
        <v>26000994.97043499</v>
      </c>
      <c r="AB35" s="143">
        <f t="shared" si="35"/>
        <v>810300</v>
      </c>
      <c r="AC35" s="145">
        <f t="shared" si="36"/>
        <v>810300</v>
      </c>
      <c r="AD35" s="151">
        <f t="shared" si="37"/>
        <v>0.86741410087077375</v>
      </c>
      <c r="AE35" s="150">
        <f t="shared" si="24"/>
        <v>702865.64593558793</v>
      </c>
      <c r="AF35" s="150">
        <f t="shared" si="38"/>
        <v>21085969.378067639</v>
      </c>
      <c r="AG35" s="152">
        <f t="shared" si="39"/>
        <v>0.46440832373746183</v>
      </c>
      <c r="AH35" s="135"/>
      <c r="AI35" s="142">
        <v>30</v>
      </c>
      <c r="AJ35" s="143">
        <f t="shared" si="40"/>
        <v>703600</v>
      </c>
      <c r="AK35" s="144">
        <f t="shared" si="25"/>
        <v>516804.58092776744</v>
      </c>
      <c r="AL35" s="144">
        <f t="shared" si="54"/>
        <v>186795.41907223259</v>
      </c>
      <c r="AM35" s="145">
        <f t="shared" si="55"/>
        <v>29053285.282376688</v>
      </c>
      <c r="AN35" s="143">
        <f t="shared" si="41"/>
        <v>703600</v>
      </c>
      <c r="AO35" s="145">
        <f t="shared" si="42"/>
        <v>703600</v>
      </c>
      <c r="AP35" s="151">
        <f t="shared" si="43"/>
        <v>1.6852709052830774</v>
      </c>
      <c r="AQ35" s="150">
        <f t="shared" si="27"/>
        <v>1185756.6089571733</v>
      </c>
      <c r="AR35" s="150">
        <f t="shared" si="44"/>
        <v>35572698.268715203</v>
      </c>
      <c r="AS35" s="152">
        <f t="shared" si="45"/>
        <v>0.78347155293585569</v>
      </c>
      <c r="AT35" s="135"/>
      <c r="AU35" s="142">
        <v>30</v>
      </c>
      <c r="AV35" s="143">
        <f t="shared" si="46"/>
        <v>649400</v>
      </c>
      <c r="AW35" s="144">
        <f t="shared" si="28"/>
        <v>460130.42693358264</v>
      </c>
      <c r="AX35" s="144">
        <f t="shared" si="56"/>
        <v>189269.57306641739</v>
      </c>
      <c r="AY35" s="145">
        <f t="shared" si="57"/>
        <v>30569134.668132696</v>
      </c>
      <c r="AZ35" s="143">
        <f t="shared" si="47"/>
        <v>649400</v>
      </c>
      <c r="BA35" s="145">
        <f t="shared" si="48"/>
        <v>649400</v>
      </c>
      <c r="BB35" s="151">
        <f t="shared" si="49"/>
        <v>0.90518942173154304</v>
      </c>
      <c r="BC35" s="150">
        <f t="shared" si="30"/>
        <v>587830.01047246403</v>
      </c>
      <c r="BD35" s="150">
        <f t="shared" si="50"/>
        <v>17634900.314173922</v>
      </c>
      <c r="BE35" s="152">
        <f t="shared" si="51"/>
        <v>0.3911554862629667</v>
      </c>
    </row>
    <row r="36" spans="2:57" ht="16.5" customHeight="1" thickBot="1">
      <c r="B36" s="18"/>
      <c r="C36" s="64" t="str">
        <f>+견적!$CL$9&amp;견적!$CL$11</f>
        <v>용인없음</v>
      </c>
      <c r="D36" s="304" t="s">
        <v>2169</v>
      </c>
      <c r="E36" s="64" t="str">
        <f>+견적!CL9&amp;견적!CL13</f>
        <v>용인없음</v>
      </c>
      <c r="F36" s="53" t="s">
        <v>3427</v>
      </c>
      <c r="G36" s="672">
        <f>IF(H3="Y",0.5%,0)</f>
        <v>0</v>
      </c>
      <c r="I36" s="58"/>
      <c r="J36" s="693"/>
      <c r="K36" s="58" t="s">
        <v>3424</v>
      </c>
      <c r="L36" s="692">
        <f>IF(H3="Y",0.5%,0)</f>
        <v>0</v>
      </c>
      <c r="N36" s="53"/>
      <c r="O36" s="53"/>
      <c r="P36" s="58" t="s">
        <v>3424</v>
      </c>
      <c r="Q36" s="673">
        <f>IF(H3="Y",0.5%,0)</f>
        <v>0</v>
      </c>
      <c r="R36" s="658"/>
      <c r="S36" s="658"/>
      <c r="T36" s="658"/>
      <c r="U36" s="658"/>
      <c r="V36" s="35"/>
      <c r="W36" s="142">
        <v>31</v>
      </c>
      <c r="X36" s="143">
        <f t="shared" si="34"/>
        <v>810300</v>
      </c>
      <c r="Y36" s="144">
        <f t="shared" si="22"/>
        <v>635803.98760735581</v>
      </c>
      <c r="Z36" s="144">
        <f t="shared" si="52"/>
        <v>174496.01239264416</v>
      </c>
      <c r="AA36" s="145">
        <f t="shared" si="53"/>
        <v>25365190.982827634</v>
      </c>
      <c r="AB36" s="143">
        <f t="shared" si="35"/>
        <v>810300</v>
      </c>
      <c r="AC36" s="145">
        <f t="shared" si="36"/>
        <v>810300</v>
      </c>
      <c r="AD36" s="151">
        <f t="shared" si="37"/>
        <v>0.8633111707137695</v>
      </c>
      <c r="AE36" s="150">
        <f t="shared" si="24"/>
        <v>699541.04162936739</v>
      </c>
      <c r="AF36" s="150">
        <f t="shared" si="38"/>
        <v>21685772.29051039</v>
      </c>
      <c r="AG36" s="152">
        <f t="shared" si="39"/>
        <v>0.47761869410962604</v>
      </c>
      <c r="AH36" s="135"/>
      <c r="AI36" s="142">
        <v>31</v>
      </c>
      <c r="AJ36" s="143">
        <f t="shared" si="40"/>
        <v>703600</v>
      </c>
      <c r="AK36" s="144">
        <f t="shared" si="25"/>
        <v>520069.25576369511</v>
      </c>
      <c r="AL36" s="144">
        <f t="shared" si="54"/>
        <v>183530.74423630486</v>
      </c>
      <c r="AM36" s="145">
        <f t="shared" si="55"/>
        <v>28533216.026612993</v>
      </c>
      <c r="AN36" s="143">
        <f t="shared" si="41"/>
        <v>703600</v>
      </c>
      <c r="AO36" s="145">
        <f t="shared" si="42"/>
        <v>703600</v>
      </c>
      <c r="AP36" s="151">
        <f t="shared" si="43"/>
        <v>1.7148470101249751</v>
      </c>
      <c r="AQ36" s="150">
        <f t="shared" si="27"/>
        <v>1206566.3563239325</v>
      </c>
      <c r="AR36" s="150">
        <f t="shared" si="44"/>
        <v>37403557.046041906</v>
      </c>
      <c r="AS36" s="152">
        <f t="shared" si="45"/>
        <v>0.82379533604173028</v>
      </c>
      <c r="AT36" s="135"/>
      <c r="AU36" s="142">
        <v>31</v>
      </c>
      <c r="AV36" s="143">
        <f t="shared" si="46"/>
        <v>649400</v>
      </c>
      <c r="AW36" s="144">
        <f t="shared" si="28"/>
        <v>462937.08990783512</v>
      </c>
      <c r="AX36" s="144">
        <f t="shared" si="56"/>
        <v>186462.91009216488</v>
      </c>
      <c r="AY36" s="145">
        <f t="shared" si="57"/>
        <v>30106197.57822486</v>
      </c>
      <c r="AZ36" s="143">
        <f t="shared" si="47"/>
        <v>649400</v>
      </c>
      <c r="BA36" s="145">
        <f t="shared" si="48"/>
        <v>649400</v>
      </c>
      <c r="BB36" s="151">
        <f t="shared" si="49"/>
        <v>0.90218884366663443</v>
      </c>
      <c r="BC36" s="150">
        <f t="shared" si="30"/>
        <v>585881.4350771124</v>
      </c>
      <c r="BD36" s="150">
        <f t="shared" si="50"/>
        <v>18162324.487390485</v>
      </c>
      <c r="BE36" s="152">
        <f t="shared" si="51"/>
        <v>0.40285415511087347</v>
      </c>
    </row>
    <row r="37" spans="2:57" ht="16.5" customHeight="1">
      <c r="B37" s="1571" t="s">
        <v>31</v>
      </c>
      <c r="C37" s="18"/>
      <c r="D37" s="14" t="s">
        <v>3535</v>
      </c>
      <c r="E37" s="316">
        <f>ROUNDUP(PMT(ROUND(G37/12,6),G27,-E23-E30+G28+G29,ROUNDDOWN(E29/1.1,0)-G28)+G30,-2)</f>
        <v>810300</v>
      </c>
      <c r="F37" s="16" t="s">
        <v>3426</v>
      </c>
      <c r="G37" s="779">
        <f>IF(AND(H28&gt;30%,H28&lt;=35%),E56,IF(AND(H28&gt;35%,H28&lt;=40%),E57,E55))+G36-H37</f>
        <v>5.7000000000000002E-2</v>
      </c>
      <c r="H37" s="718">
        <f>IF(견적!$BV$8="선출고_K8",0.35%,0)</f>
        <v>0</v>
      </c>
      <c r="I37" s="690" t="s">
        <v>3290</v>
      </c>
      <c r="J37" s="55">
        <f>ROUNDUP(PMT(ROUND(L37/12,6),L27,-E23-J30+L28+L29,ROUNDDOWN(J29/1.1,0)-L28)+L30,-2)</f>
        <v>703600</v>
      </c>
      <c r="K37" s="674" t="s">
        <v>3425</v>
      </c>
      <c r="L37" s="720">
        <f>IF(AND(M28&gt;30%,M28&lt;=35%),E56,IF(AND(M28&gt;35%,M28&lt;=40%),E57,E55))+L36-M37</f>
        <v>5.7000000000000002E-2</v>
      </c>
      <c r="M37" s="718">
        <f>IF(견적!$BV$8="선출고_K8",0.35%,0)</f>
        <v>0</v>
      </c>
      <c r="N37" s="14" t="s">
        <v>3290</v>
      </c>
      <c r="O37" s="55">
        <f>ROUNDUP(PMT(ROUND(Q37/12,6),Q27,-E23-O30+Q28+Q29,ROUNDDOWN(O29/1.1,0)-Q28)+Q30,-2)</f>
        <v>649400</v>
      </c>
      <c r="P37" s="674" t="s">
        <v>3425</v>
      </c>
      <c r="Q37" s="721">
        <f>IF(AND(R27&gt;30%,R27&lt;=35%),E56,IF(AND(R27&gt;35%,R27&lt;=40%),E57,E55))+Q36-R37</f>
        <v>5.7000000000000002E-2</v>
      </c>
      <c r="R37" s="719">
        <f>IF(견적!$BV$8="선출고_K8",0.35%,0)</f>
        <v>0</v>
      </c>
      <c r="S37" s="56"/>
      <c r="T37" s="56"/>
      <c r="U37" s="56"/>
      <c r="W37" s="142">
        <v>32</v>
      </c>
      <c r="X37" s="143">
        <f t="shared" si="34"/>
        <v>810300</v>
      </c>
      <c r="Y37" s="144">
        <f t="shared" si="22"/>
        <v>640070.94972272788</v>
      </c>
      <c r="Z37" s="144">
        <f t="shared" si="52"/>
        <v>170229.05027727209</v>
      </c>
      <c r="AA37" s="145">
        <f t="shared" si="53"/>
        <v>24725120.033104904</v>
      </c>
      <c r="AB37" s="143">
        <f t="shared" si="35"/>
        <v>810300</v>
      </c>
      <c r="AC37" s="145">
        <f t="shared" si="36"/>
        <v>810300</v>
      </c>
      <c r="AD37" s="151">
        <f t="shared" si="37"/>
        <v>0.85922764770711735</v>
      </c>
      <c r="AE37" s="150">
        <f t="shared" si="24"/>
        <v>696232.16293707723</v>
      </c>
      <c r="AF37" s="150">
        <f t="shared" si="38"/>
        <v>22279429.213986471</v>
      </c>
      <c r="AG37" s="152">
        <f t="shared" si="39"/>
        <v>0.49069370203377827</v>
      </c>
      <c r="AH37" s="135"/>
      <c r="AI37" s="142">
        <v>32</v>
      </c>
      <c r="AJ37" s="143">
        <f t="shared" si="40"/>
        <v>703600</v>
      </c>
      <c r="AK37" s="144">
        <f t="shared" si="25"/>
        <v>523354.55367878603</v>
      </c>
      <c r="AL37" s="144">
        <f t="shared" si="54"/>
        <v>180245.446321214</v>
      </c>
      <c r="AM37" s="145">
        <f t="shared" si="55"/>
        <v>28009861.472934209</v>
      </c>
      <c r="AN37" s="143">
        <f t="shared" si="41"/>
        <v>703600</v>
      </c>
      <c r="AO37" s="145">
        <f t="shared" si="42"/>
        <v>703600</v>
      </c>
      <c r="AP37" s="151">
        <f t="shared" si="43"/>
        <v>1.7449421685949136</v>
      </c>
      <c r="AQ37" s="150">
        <f t="shared" si="27"/>
        <v>1227741.3098233812</v>
      </c>
      <c r="AR37" s="150">
        <f t="shared" si="44"/>
        <v>39287721.9143482</v>
      </c>
      <c r="AS37" s="152">
        <f t="shared" si="45"/>
        <v>0.86529316013727731</v>
      </c>
      <c r="AT37" s="135"/>
      <c r="AU37" s="142">
        <v>32</v>
      </c>
      <c r="AV37" s="143">
        <f t="shared" si="46"/>
        <v>649400</v>
      </c>
      <c r="AW37" s="144">
        <f t="shared" si="28"/>
        <v>465760.87271722546</v>
      </c>
      <c r="AX37" s="144">
        <f t="shared" si="56"/>
        <v>183639.12728277451</v>
      </c>
      <c r="AY37" s="145">
        <f t="shared" si="57"/>
        <v>29640436.705507636</v>
      </c>
      <c r="AZ37" s="143">
        <f t="shared" si="47"/>
        <v>649400</v>
      </c>
      <c r="BA37" s="145">
        <f t="shared" si="48"/>
        <v>649400</v>
      </c>
      <c r="BB37" s="151">
        <f t="shared" si="49"/>
        <v>0.89919821210409001</v>
      </c>
      <c r="BC37" s="150">
        <f t="shared" si="30"/>
        <v>583939.31894039607</v>
      </c>
      <c r="BD37" s="150">
        <f t="shared" si="50"/>
        <v>18686058.206092674</v>
      </c>
      <c r="BE37" s="152">
        <f t="shared" si="51"/>
        <v>0.41447096687400042</v>
      </c>
    </row>
    <row r="38" spans="2:57" ht="16.5" customHeight="1">
      <c r="B38" s="1572"/>
      <c r="C38" s="19" t="s">
        <v>32</v>
      </c>
      <c r="D38" s="20"/>
      <c r="E38" s="21">
        <f>ROUNDUP(G38/12,-2)</f>
        <v>53300</v>
      </c>
      <c r="F38" s="22"/>
      <c r="G38" s="66">
        <f>VLOOKUP(견적정보!G33,'보험료(렌공삼성)_2406'!F2:G61,2,FALSE)</f>
        <v>639000</v>
      </c>
      <c r="H38" s="35"/>
      <c r="I38" s="20"/>
      <c r="J38" s="21">
        <f>E38</f>
        <v>53300</v>
      </c>
      <c r="K38" s="22"/>
      <c r="L38" s="66">
        <f>VLOOKUP(견적정보!G33,'보험료(렌공삼성)_2406'!F2:G61,2,FALSE)</f>
        <v>639000</v>
      </c>
      <c r="M38" s="35"/>
      <c r="N38" s="20"/>
      <c r="O38" s="21">
        <f>E38</f>
        <v>53300</v>
      </c>
      <c r="P38" s="22"/>
      <c r="Q38" s="66">
        <f>VLOOKUP(견적정보!G33,'보험료(렌공삼성)_2406'!F2:G61,2,FALSE)</f>
        <v>639000</v>
      </c>
      <c r="R38" s="56"/>
      <c r="S38" s="56"/>
      <c r="T38" s="56"/>
      <c r="U38" s="56"/>
      <c r="W38" s="142">
        <v>33</v>
      </c>
      <c r="X38" s="143">
        <f t="shared" si="34"/>
        <v>810300</v>
      </c>
      <c r="Y38" s="144">
        <f t="shared" si="22"/>
        <v>644366.54796817922</v>
      </c>
      <c r="Z38" s="144">
        <f t="shared" si="52"/>
        <v>165933.45203182078</v>
      </c>
      <c r="AA38" s="145">
        <f t="shared" si="53"/>
        <v>24080753.485136725</v>
      </c>
      <c r="AB38" s="143">
        <f t="shared" si="35"/>
        <v>810300</v>
      </c>
      <c r="AC38" s="145">
        <f t="shared" si="36"/>
        <v>810300</v>
      </c>
      <c r="AD38" s="151">
        <f t="shared" si="37"/>
        <v>0.85516344005362133</v>
      </c>
      <c r="AE38" s="150">
        <f t="shared" si="24"/>
        <v>692938.93547544931</v>
      </c>
      <c r="AF38" s="150">
        <f t="shared" si="38"/>
        <v>22866984.870689828</v>
      </c>
      <c r="AG38" s="152">
        <f t="shared" si="39"/>
        <v>0.50363433249470868</v>
      </c>
      <c r="AH38" s="135"/>
      <c r="AI38" s="142">
        <v>33</v>
      </c>
      <c r="AJ38" s="143">
        <f t="shared" si="40"/>
        <v>703600</v>
      </c>
      <c r="AK38" s="144">
        <f t="shared" si="25"/>
        <v>526660.60494984104</v>
      </c>
      <c r="AL38" s="144">
        <f t="shared" si="54"/>
        <v>176939.39505015896</v>
      </c>
      <c r="AM38" s="145">
        <f t="shared" si="55"/>
        <v>27483200.867984369</v>
      </c>
      <c r="AN38" s="143">
        <f t="shared" si="41"/>
        <v>703600</v>
      </c>
      <c r="AO38" s="145">
        <f t="shared" si="42"/>
        <v>703600</v>
      </c>
      <c r="AP38" s="151">
        <f t="shared" si="43"/>
        <v>1.7755654899610074</v>
      </c>
      <c r="AQ38" s="150">
        <f t="shared" si="27"/>
        <v>1249287.8787365649</v>
      </c>
      <c r="AR38" s="150">
        <f t="shared" si="44"/>
        <v>41226499.998306639</v>
      </c>
      <c r="AS38" s="152">
        <f t="shared" si="45"/>
        <v>0.90799381401409618</v>
      </c>
      <c r="AT38" s="135"/>
      <c r="AU38" s="142">
        <v>33</v>
      </c>
      <c r="AV38" s="143">
        <f t="shared" si="46"/>
        <v>649400</v>
      </c>
      <c r="AW38" s="144">
        <f t="shared" si="28"/>
        <v>468601.87978781341</v>
      </c>
      <c r="AX38" s="144">
        <f t="shared" si="56"/>
        <v>180798.12021218656</v>
      </c>
      <c r="AY38" s="145">
        <f t="shared" si="57"/>
        <v>29171834.825719822</v>
      </c>
      <c r="AZ38" s="143">
        <f t="shared" si="47"/>
        <v>649400</v>
      </c>
      <c r="BA38" s="145">
        <f t="shared" si="48"/>
        <v>649400</v>
      </c>
      <c r="BB38" s="151">
        <f t="shared" si="49"/>
        <v>0.89621749407262696</v>
      </c>
      <c r="BC38" s="150">
        <f t="shared" si="30"/>
        <v>582003.64065076399</v>
      </c>
      <c r="BD38" s="150">
        <f t="shared" si="50"/>
        <v>19206120.141475212</v>
      </c>
      <c r="BE38" s="152">
        <f t="shared" si="51"/>
        <v>0.42600633569363106</v>
      </c>
    </row>
    <row r="39" spans="2:57" ht="16.5" customHeight="1">
      <c r="B39" s="1572"/>
      <c r="C39" s="3" t="s">
        <v>33</v>
      </c>
      <c r="D39" s="4"/>
      <c r="E39" s="5">
        <f>ROUNDUP(G39/12,-2)</f>
        <v>7000</v>
      </c>
      <c r="F39" s="6"/>
      <c r="G39" s="25">
        <f>IF($C$29="승합",25000,IF($C$30&lt;=1600,$C$30*18,IF($C$30&lt;=2500,$C$30*19,IF($C$30&gt;2500,$C$30*24))))</f>
        <v>84000</v>
      </c>
      <c r="I39" s="4"/>
      <c r="J39" s="5">
        <f>E39</f>
        <v>7000</v>
      </c>
      <c r="K39" s="6"/>
      <c r="L39" s="25"/>
      <c r="N39" s="4"/>
      <c r="O39" s="5">
        <f>E39</f>
        <v>7000</v>
      </c>
      <c r="P39" s="6"/>
      <c r="Q39" s="25"/>
      <c r="R39" s="56"/>
      <c r="S39" s="56"/>
      <c r="T39" s="56"/>
      <c r="U39" s="56"/>
      <c r="W39" s="142">
        <v>34</v>
      </c>
      <c r="X39" s="143">
        <f t="shared" si="34"/>
        <v>810300</v>
      </c>
      <c r="Y39" s="144">
        <f t="shared" si="22"/>
        <v>648690.97452445189</v>
      </c>
      <c r="Z39" s="144">
        <f t="shared" si="52"/>
        <v>161609.02547554811</v>
      </c>
      <c r="AA39" s="145">
        <f t="shared" si="53"/>
        <v>23432062.510612272</v>
      </c>
      <c r="AB39" s="143">
        <f t="shared" si="35"/>
        <v>810300</v>
      </c>
      <c r="AC39" s="145">
        <f t="shared" si="36"/>
        <v>810300</v>
      </c>
      <c r="AD39" s="151">
        <f t="shared" si="37"/>
        <v>0.85111845639029227</v>
      </c>
      <c r="AE39" s="150">
        <f t="shared" si="24"/>
        <v>689661.28521305381</v>
      </c>
      <c r="AF39" s="150">
        <f t="shared" si="38"/>
        <v>23448483.697243828</v>
      </c>
      <c r="AG39" s="152">
        <f t="shared" si="39"/>
        <v>0.51644156418765319</v>
      </c>
      <c r="AH39" s="135"/>
      <c r="AI39" s="142">
        <v>34</v>
      </c>
      <c r="AJ39" s="143">
        <f t="shared" si="40"/>
        <v>703600</v>
      </c>
      <c r="AK39" s="144">
        <f t="shared" si="25"/>
        <v>529987.54067662498</v>
      </c>
      <c r="AL39" s="144">
        <f t="shared" si="54"/>
        <v>173612.45932337496</v>
      </c>
      <c r="AM39" s="145">
        <f t="shared" si="55"/>
        <v>26953213.327307746</v>
      </c>
      <c r="AN39" s="143">
        <f t="shared" si="41"/>
        <v>703600</v>
      </c>
      <c r="AO39" s="145">
        <f t="shared" si="42"/>
        <v>703600</v>
      </c>
      <c r="AP39" s="151">
        <f t="shared" si="43"/>
        <v>1.8067262433568665</v>
      </c>
      <c r="AQ39" s="150">
        <f t="shared" si="27"/>
        <v>1271212.5848258913</v>
      </c>
      <c r="AR39" s="150">
        <f t="shared" si="44"/>
        <v>43221227.884080306</v>
      </c>
      <c r="AS39" s="152">
        <f t="shared" si="45"/>
        <v>0.95192673533893102</v>
      </c>
      <c r="AT39" s="135"/>
      <c r="AU39" s="142">
        <v>34</v>
      </c>
      <c r="AV39" s="143">
        <f t="shared" si="46"/>
        <v>649400</v>
      </c>
      <c r="AW39" s="144">
        <f t="shared" si="28"/>
        <v>471460.21618262748</v>
      </c>
      <c r="AX39" s="144">
        <f t="shared" si="56"/>
        <v>177939.78381737252</v>
      </c>
      <c r="AY39" s="145">
        <f t="shared" si="57"/>
        <v>28700374.609537195</v>
      </c>
      <c r="AZ39" s="143">
        <f t="shared" si="47"/>
        <v>649400</v>
      </c>
      <c r="BA39" s="145">
        <f t="shared" si="48"/>
        <v>649400</v>
      </c>
      <c r="BB39" s="151">
        <f t="shared" si="49"/>
        <v>0.89324665671025716</v>
      </c>
      <c r="BC39" s="150">
        <f t="shared" si="30"/>
        <v>580074.37886764097</v>
      </c>
      <c r="BD39" s="150">
        <f t="shared" si="50"/>
        <v>19722528.881499793</v>
      </c>
      <c r="BE39" s="152">
        <f t="shared" si="51"/>
        <v>0.43746067386487708</v>
      </c>
    </row>
    <row r="40" spans="2:57" ht="16.5" customHeight="1">
      <c r="B40" s="1572"/>
      <c r="C40" s="3" t="s">
        <v>34</v>
      </c>
      <c r="D40" s="4"/>
      <c r="E40" s="5">
        <f>ROUNDUP(VLOOKUP(G34,정비비!$E$1:$H$109,3,0),-2)</f>
        <v>7000</v>
      </c>
      <c r="F40" s="6"/>
      <c r="G40" s="25">
        <f>VLOOKUP(G34,정비비!$E$1:$H$109,2,0)</f>
        <v>7700</v>
      </c>
      <c r="I40" s="4"/>
      <c r="J40" s="5">
        <f>ROUNDUP(VLOOKUP(L34,정비비!$E$1:$H$109,3,0),-2)</f>
        <v>7800</v>
      </c>
      <c r="K40" s="6"/>
      <c r="L40" s="25">
        <f>VLOOKUP(L34,정비비!$E$1:$H$109,2,0)</f>
        <v>8580</v>
      </c>
      <c r="N40" s="4"/>
      <c r="O40" s="5">
        <f>ROUNDUP(VLOOKUP(Q34,정비비!$E$1:$H$109,3,0),-2)</f>
        <v>8300</v>
      </c>
      <c r="P40" s="6"/>
      <c r="Q40" s="25">
        <f>VLOOKUP(Q34,정비비!$E$1:$H$109,2,0)</f>
        <v>9130</v>
      </c>
      <c r="R40" s="56"/>
      <c r="S40" s="56"/>
      <c r="T40" s="56"/>
      <c r="U40" s="56"/>
      <c r="W40" s="142">
        <v>35</v>
      </c>
      <c r="X40" s="143">
        <f t="shared" si="34"/>
        <v>810300</v>
      </c>
      <c r="Y40" s="144">
        <f t="shared" si="22"/>
        <v>653044.42286203767</v>
      </c>
      <c r="Z40" s="144">
        <f t="shared" si="52"/>
        <v>157255.57713796236</v>
      </c>
      <c r="AA40" s="145">
        <f t="shared" si="53"/>
        <v>22779018.087750234</v>
      </c>
      <c r="AB40" s="143">
        <f t="shared" si="35"/>
        <v>810300</v>
      </c>
      <c r="AC40" s="145">
        <f t="shared" si="36"/>
        <v>810300</v>
      </c>
      <c r="AD40" s="151">
        <f t="shared" si="37"/>
        <v>0.84709260578629453</v>
      </c>
      <c r="AE40" s="150">
        <f t="shared" si="24"/>
        <v>686399.13846863445</v>
      </c>
      <c r="AF40" s="150">
        <f t="shared" si="38"/>
        <v>24023969.846402206</v>
      </c>
      <c r="AG40" s="152">
        <f t="shared" si="39"/>
        <v>0.52911636955575536</v>
      </c>
      <c r="AH40" s="135"/>
      <c r="AI40" s="142">
        <v>35</v>
      </c>
      <c r="AJ40" s="143">
        <f t="shared" si="40"/>
        <v>703600</v>
      </c>
      <c r="AK40" s="144">
        <f t="shared" si="25"/>
        <v>533335.4927870651</v>
      </c>
      <c r="AL40" s="144">
        <f t="shared" si="54"/>
        <v>170264.50721293493</v>
      </c>
      <c r="AM40" s="145">
        <f t="shared" si="55"/>
        <v>26419877.834520679</v>
      </c>
      <c r="AN40" s="143">
        <f t="shared" si="41"/>
        <v>703600</v>
      </c>
      <c r="AO40" s="145">
        <f t="shared" si="42"/>
        <v>703600</v>
      </c>
      <c r="AP40" s="151">
        <f t="shared" si="43"/>
        <v>1.8384338605871982</v>
      </c>
      <c r="AQ40" s="150">
        <f t="shared" si="27"/>
        <v>1293522.0643091525</v>
      </c>
      <c r="AR40" s="150">
        <f t="shared" si="44"/>
        <v>45273272.250820339</v>
      </c>
      <c r="AS40" s="152">
        <f t="shared" si="45"/>
        <v>0.99712202456209942</v>
      </c>
      <c r="AT40" s="135"/>
      <c r="AU40" s="142">
        <v>35</v>
      </c>
      <c r="AV40" s="143">
        <f t="shared" si="46"/>
        <v>649400</v>
      </c>
      <c r="AW40" s="144">
        <f t="shared" si="28"/>
        <v>474335.98760555021</v>
      </c>
      <c r="AX40" s="144">
        <f t="shared" si="56"/>
        <v>175064.01239444976</v>
      </c>
      <c r="AY40" s="145">
        <f t="shared" si="57"/>
        <v>28226038.621931646</v>
      </c>
      <c r="AZ40" s="143">
        <f t="shared" si="47"/>
        <v>649400</v>
      </c>
      <c r="BA40" s="145">
        <f t="shared" si="48"/>
        <v>649400</v>
      </c>
      <c r="BB40" s="151">
        <f t="shared" si="49"/>
        <v>0.89028566726392588</v>
      </c>
      <c r="BC40" s="150">
        <f t="shared" si="30"/>
        <v>578151.51232119347</v>
      </c>
      <c r="BD40" s="150">
        <f t="shared" si="50"/>
        <v>20235302.931241773</v>
      </c>
      <c r="BE40" s="152">
        <f t="shared" si="51"/>
        <v>0.4488343918443683</v>
      </c>
    </row>
    <row r="41" spans="2:57" ht="16.5" customHeight="1">
      <c r="B41" s="1572"/>
      <c r="C41" s="3" t="s">
        <v>35</v>
      </c>
      <c r="D41" s="4"/>
      <c r="E41" s="5">
        <f>IF($C$31="만26세이상",VLOOKUP(견적!BN9,차량!$A:$AF,31,0),IF($C$31="만21세이상",VLOOKUP(견적!BN9,차량!$A:$AF,32,0)))+E35+IF(E$32="고급형",20000,0)</f>
        <v>41000</v>
      </c>
      <c r="F41" s="6"/>
      <c r="G41" s="25"/>
      <c r="I41" s="4"/>
      <c r="J41" s="5">
        <f>IF($C$31="만26세이상",VLOOKUP(견적!BN9,차량!$A:$AF,31,0),IF($C$31="만21세이상",VLOOKUP(견적!BN9,차량!$A:$AF,32,0)))+E35+IF(J$32="고급형",20000,0)</f>
        <v>41000</v>
      </c>
      <c r="K41" s="6"/>
      <c r="L41" s="25"/>
      <c r="N41" s="4"/>
      <c r="O41" s="5">
        <f>IF($C$31="만26세이상",VLOOKUP(견적!BN9,차량!$A:$AF,31,0),IF($C$31="만21세이상",VLOOKUP(견적!BN9,차량!$A:$AF,32,0)))+E35+IF(O$32="고급형",20000,0)</f>
        <v>41000</v>
      </c>
      <c r="P41" s="6"/>
      <c r="Q41" s="25"/>
      <c r="R41" s="56"/>
      <c r="S41" s="56"/>
      <c r="T41" s="56"/>
      <c r="U41" s="56"/>
      <c r="W41" s="142">
        <v>36</v>
      </c>
      <c r="X41" s="143">
        <f t="shared" si="34"/>
        <v>810300</v>
      </c>
      <c r="Y41" s="144">
        <f t="shared" si="22"/>
        <v>657427.08774983347</v>
      </c>
      <c r="Z41" s="144">
        <f t="shared" si="52"/>
        <v>152872.91225016656</v>
      </c>
      <c r="AA41" s="145">
        <f t="shared" si="53"/>
        <v>22121591.000000399</v>
      </c>
      <c r="AB41" s="143">
        <f t="shared" si="35"/>
        <v>22931891</v>
      </c>
      <c r="AC41" s="145">
        <f t="shared" si="36"/>
        <v>22931891</v>
      </c>
      <c r="AD41" s="151">
        <f t="shared" si="37"/>
        <v>0.84308579774090198</v>
      </c>
      <c r="AE41" s="150">
        <f t="shared" si="24"/>
        <v>19333551.61744241</v>
      </c>
      <c r="AF41" s="150">
        <f t="shared" si="38"/>
        <v>696007858.22792673</v>
      </c>
      <c r="AG41" s="152">
        <f t="shared" si="39"/>
        <v>15.329237985327762</v>
      </c>
      <c r="AH41" s="135"/>
      <c r="AI41" s="142">
        <v>36</v>
      </c>
      <c r="AJ41" s="143">
        <f t="shared" si="40"/>
        <v>703600</v>
      </c>
      <c r="AK41" s="144">
        <f t="shared" si="25"/>
        <v>536704.5940424822</v>
      </c>
      <c r="AL41" s="144">
        <f t="shared" si="54"/>
        <v>166895.4059575178</v>
      </c>
      <c r="AM41" s="145">
        <f t="shared" si="55"/>
        <v>25883173.240478195</v>
      </c>
      <c r="AN41" s="143">
        <f t="shared" si="41"/>
        <v>703600</v>
      </c>
      <c r="AO41" s="145">
        <f t="shared" si="42"/>
        <v>703600</v>
      </c>
      <c r="AP41" s="151">
        <f t="shared" si="43"/>
        <v>1.8706979389826468</v>
      </c>
      <c r="AQ41" s="150">
        <f t="shared" si="27"/>
        <v>1316223.0698681902</v>
      </c>
      <c r="AR41" s="150">
        <f t="shared" si="44"/>
        <v>47384030.515254848</v>
      </c>
      <c r="AS41" s="152">
        <f t="shared" si="45"/>
        <v>1.0436104591142537</v>
      </c>
      <c r="AT41" s="135"/>
      <c r="AU41" s="142">
        <v>36</v>
      </c>
      <c r="AV41" s="143">
        <f t="shared" si="46"/>
        <v>649400</v>
      </c>
      <c r="AW41" s="144">
        <f t="shared" si="28"/>
        <v>477229.3004052277</v>
      </c>
      <c r="AX41" s="144">
        <f t="shared" si="56"/>
        <v>172170.69959477233</v>
      </c>
      <c r="AY41" s="145">
        <f t="shared" si="57"/>
        <v>27748809.321526419</v>
      </c>
      <c r="AZ41" s="143">
        <f t="shared" si="47"/>
        <v>649400</v>
      </c>
      <c r="BA41" s="145">
        <f t="shared" si="48"/>
        <v>649400</v>
      </c>
      <c r="BB41" s="151">
        <f t="shared" si="49"/>
        <v>0.88733449308914925</v>
      </c>
      <c r="BC41" s="150">
        <f t="shared" si="30"/>
        <v>576235.01981209347</v>
      </c>
      <c r="BD41" s="150">
        <f t="shared" si="50"/>
        <v>20744460.713235363</v>
      </c>
      <c r="BE41" s="152">
        <f t="shared" si="51"/>
        <v>0.46012789825790912</v>
      </c>
    </row>
    <row r="42" spans="2:57" ht="16.5" customHeight="1">
      <c r="B42" s="1572"/>
      <c r="C42" s="3" t="s">
        <v>1364</v>
      </c>
      <c r="D42" s="4"/>
      <c r="E42" s="5">
        <v>400</v>
      </c>
      <c r="F42" s="6"/>
      <c r="G42" s="25"/>
      <c r="I42" s="4"/>
      <c r="J42" s="5">
        <f>E42</f>
        <v>400</v>
      </c>
      <c r="K42" s="6"/>
      <c r="L42" s="25"/>
      <c r="N42" s="4"/>
      <c r="O42" s="5">
        <f>E42</f>
        <v>400</v>
      </c>
      <c r="P42" s="6"/>
      <c r="Q42" s="25"/>
      <c r="R42" s="56"/>
      <c r="S42" s="56"/>
      <c r="T42" s="56"/>
      <c r="U42" s="56"/>
      <c r="W42" s="142">
        <v>37</v>
      </c>
      <c r="X42" s="143">
        <f t="shared" si="34"/>
        <v>0</v>
      </c>
      <c r="Y42" s="144">
        <f t="shared" si="22"/>
        <v>0</v>
      </c>
      <c r="Z42" s="144">
        <f t="shared" si="52"/>
        <v>0</v>
      </c>
      <c r="AA42" s="145">
        <f t="shared" si="53"/>
        <v>0</v>
      </c>
      <c r="AB42" s="143">
        <f t="shared" si="35"/>
        <v>0</v>
      </c>
      <c r="AC42" s="145">
        <f t="shared" si="36"/>
        <v>0</v>
      </c>
      <c r="AD42" s="151">
        <f t="shared" si="37"/>
        <v>0</v>
      </c>
      <c r="AE42" s="150">
        <f t="shared" si="24"/>
        <v>0</v>
      </c>
      <c r="AF42" s="150">
        <f t="shared" si="38"/>
        <v>0</v>
      </c>
      <c r="AG42" s="152">
        <f t="shared" si="39"/>
        <v>0</v>
      </c>
      <c r="AH42" s="135"/>
      <c r="AI42" s="142">
        <v>37</v>
      </c>
      <c r="AJ42" s="143">
        <f t="shared" si="40"/>
        <v>703600</v>
      </c>
      <c r="AK42" s="144">
        <f t="shared" si="25"/>
        <v>540094.97804285586</v>
      </c>
      <c r="AL42" s="144">
        <f t="shared" si="54"/>
        <v>163505.02195714417</v>
      </c>
      <c r="AM42" s="145">
        <f t="shared" si="55"/>
        <v>25343078.262435339</v>
      </c>
      <c r="AN42" s="143">
        <f t="shared" si="41"/>
        <v>703600</v>
      </c>
      <c r="AO42" s="145">
        <f t="shared" si="42"/>
        <v>703600</v>
      </c>
      <c r="AP42" s="151">
        <f t="shared" si="43"/>
        <v>1.9035282443047334</v>
      </c>
      <c r="AQ42" s="150">
        <f t="shared" si="27"/>
        <v>1339322.4726928105</v>
      </c>
      <c r="AR42" s="150">
        <f t="shared" si="44"/>
        <v>49554931.489633985</v>
      </c>
      <c r="AS42" s="152">
        <f t="shared" si="45"/>
        <v>1.0914235078973034</v>
      </c>
      <c r="AT42" s="135"/>
      <c r="AU42" s="142">
        <v>37</v>
      </c>
      <c r="AV42" s="143">
        <f t="shared" si="46"/>
        <v>649400</v>
      </c>
      <c r="AW42" s="144">
        <f t="shared" si="28"/>
        <v>480140.26157900179</v>
      </c>
      <c r="AX42" s="144">
        <f t="shared" si="56"/>
        <v>169259.73842099821</v>
      </c>
      <c r="AY42" s="145">
        <f t="shared" si="57"/>
        <v>27268669.059947416</v>
      </c>
      <c r="AZ42" s="143">
        <f t="shared" si="47"/>
        <v>649400</v>
      </c>
      <c r="BA42" s="145">
        <f t="shared" si="48"/>
        <v>649400</v>
      </c>
      <c r="BB42" s="151">
        <f t="shared" si="49"/>
        <v>0.88439310164965679</v>
      </c>
      <c r="BC42" s="150">
        <f t="shared" si="30"/>
        <v>574324.88021128706</v>
      </c>
      <c r="BD42" s="150">
        <f t="shared" si="50"/>
        <v>21250020.567817621</v>
      </c>
      <c r="BE42" s="152">
        <f t="shared" si="51"/>
        <v>0.4713415999081087</v>
      </c>
    </row>
    <row r="43" spans="2:57" ht="16.5" customHeight="1">
      <c r="B43" s="1573"/>
      <c r="C43" s="3" t="s">
        <v>36</v>
      </c>
      <c r="D43" s="4"/>
      <c r="E43" s="5">
        <f>ROUNDUP(G43/12,-2)</f>
        <v>100</v>
      </c>
      <c r="F43" s="6"/>
      <c r="G43" s="25">
        <v>1200</v>
      </c>
      <c r="I43" s="4"/>
      <c r="J43" s="5">
        <f>E43</f>
        <v>100</v>
      </c>
      <c r="K43" s="6"/>
      <c r="L43" s="25">
        <v>1200</v>
      </c>
      <c r="N43" s="4"/>
      <c r="O43" s="5">
        <f>E43</f>
        <v>100</v>
      </c>
      <c r="P43" s="6"/>
      <c r="Q43" s="25">
        <v>1200</v>
      </c>
      <c r="R43" s="621"/>
      <c r="S43" s="72"/>
      <c r="T43" s="72"/>
      <c r="U43" s="72"/>
      <c r="W43" s="142">
        <v>38</v>
      </c>
      <c r="X43" s="143">
        <f t="shared" si="34"/>
        <v>0</v>
      </c>
      <c r="Y43" s="144">
        <f t="shared" si="22"/>
        <v>0</v>
      </c>
      <c r="Z43" s="144">
        <f t="shared" si="52"/>
        <v>0</v>
      </c>
      <c r="AA43" s="145">
        <f t="shared" si="53"/>
        <v>0</v>
      </c>
      <c r="AB43" s="143">
        <f t="shared" si="35"/>
        <v>0</v>
      </c>
      <c r="AC43" s="145">
        <f t="shared" si="36"/>
        <v>0</v>
      </c>
      <c r="AD43" s="151">
        <f t="shared" si="37"/>
        <v>0</v>
      </c>
      <c r="AE43" s="150">
        <f t="shared" si="24"/>
        <v>0</v>
      </c>
      <c r="AF43" s="150">
        <f t="shared" si="38"/>
        <v>0</v>
      </c>
      <c r="AG43" s="152">
        <f t="shared" si="39"/>
        <v>0</v>
      </c>
      <c r="AH43" s="135"/>
      <c r="AI43" s="142">
        <v>38</v>
      </c>
      <c r="AJ43" s="143">
        <f t="shared" si="40"/>
        <v>703600</v>
      </c>
      <c r="AK43" s="144">
        <f t="shared" si="25"/>
        <v>543506.77923212177</v>
      </c>
      <c r="AL43" s="144">
        <f t="shared" si="54"/>
        <v>160093.2207678782</v>
      </c>
      <c r="AM43" s="145">
        <f t="shared" si="55"/>
        <v>24799571.483203217</v>
      </c>
      <c r="AN43" s="143">
        <f t="shared" si="41"/>
        <v>703600</v>
      </c>
      <c r="AO43" s="145">
        <f t="shared" si="42"/>
        <v>703600</v>
      </c>
      <c r="AP43" s="151">
        <f t="shared" si="43"/>
        <v>1.9369347137017789</v>
      </c>
      <c r="AQ43" s="150">
        <f t="shared" si="27"/>
        <v>1362827.2645605716</v>
      </c>
      <c r="AR43" s="150">
        <f t="shared" si="44"/>
        <v>51787436.053301722</v>
      </c>
      <c r="AS43" s="152">
        <f t="shared" si="45"/>
        <v>1.1405933460754607</v>
      </c>
      <c r="AT43" s="135"/>
      <c r="AU43" s="142">
        <v>38</v>
      </c>
      <c r="AV43" s="143">
        <f t="shared" si="46"/>
        <v>649400</v>
      </c>
      <c r="AW43" s="144">
        <f t="shared" si="28"/>
        <v>483068.9787768675</v>
      </c>
      <c r="AX43" s="144">
        <f t="shared" si="56"/>
        <v>166331.02122313247</v>
      </c>
      <c r="AY43" s="145">
        <f t="shared" si="57"/>
        <v>26785600.081170548</v>
      </c>
      <c r="AZ43" s="143">
        <f t="shared" si="47"/>
        <v>649400</v>
      </c>
      <c r="BA43" s="145">
        <f t="shared" si="48"/>
        <v>649400</v>
      </c>
      <c r="BB43" s="151">
        <f t="shared" si="49"/>
        <v>0.88146146051703</v>
      </c>
      <c r="BC43" s="150">
        <f t="shared" si="30"/>
        <v>572421.07245975931</v>
      </c>
      <c r="BD43" s="150">
        <f t="shared" si="50"/>
        <v>21752000.753470853</v>
      </c>
      <c r="BE43" s="152">
        <f t="shared" si="51"/>
        <v>0.48247590178197569</v>
      </c>
    </row>
    <row r="44" spans="2:57" ht="16.5" customHeight="1">
      <c r="B44" s="18" t="s">
        <v>37</v>
      </c>
      <c r="C44" s="13" t="s">
        <v>27</v>
      </c>
      <c r="D44" s="14"/>
      <c r="E44" s="15">
        <f>SUM(E38:E43)</f>
        <v>108800</v>
      </c>
      <c r="F44" s="16"/>
      <c r="G44" s="17"/>
      <c r="I44" s="14"/>
      <c r="J44" s="15">
        <f>SUM(J38:J43)</f>
        <v>109600</v>
      </c>
      <c r="K44" s="16"/>
      <c r="L44" s="17"/>
      <c r="N44" s="14"/>
      <c r="O44" s="15">
        <f>SUM(O38:O43)</f>
        <v>110100</v>
      </c>
      <c r="P44" s="16"/>
      <c r="Q44" s="17"/>
      <c r="R44" s="621"/>
      <c r="S44" s="72"/>
      <c r="T44" s="72"/>
      <c r="U44" s="72"/>
      <c r="W44" s="142">
        <v>39</v>
      </c>
      <c r="X44" s="143">
        <f t="shared" si="34"/>
        <v>0</v>
      </c>
      <c r="Y44" s="144">
        <f t="shared" si="22"/>
        <v>0</v>
      </c>
      <c r="Z44" s="144">
        <f t="shared" si="52"/>
        <v>0</v>
      </c>
      <c r="AA44" s="145">
        <f t="shared" si="53"/>
        <v>0</v>
      </c>
      <c r="AB44" s="143">
        <f t="shared" si="35"/>
        <v>0</v>
      </c>
      <c r="AC44" s="145">
        <f t="shared" si="36"/>
        <v>0</v>
      </c>
      <c r="AD44" s="151">
        <f t="shared" si="37"/>
        <v>0</v>
      </c>
      <c r="AE44" s="150">
        <f t="shared" si="24"/>
        <v>0</v>
      </c>
      <c r="AF44" s="150">
        <f t="shared" si="38"/>
        <v>0</v>
      </c>
      <c r="AG44" s="152">
        <f t="shared" si="39"/>
        <v>0</v>
      </c>
      <c r="AH44" s="135"/>
      <c r="AI44" s="142">
        <v>39</v>
      </c>
      <c r="AJ44" s="143">
        <f t="shared" si="40"/>
        <v>703600</v>
      </c>
      <c r="AK44" s="144">
        <f t="shared" si="25"/>
        <v>546940.13290350349</v>
      </c>
      <c r="AL44" s="144">
        <f t="shared" si="54"/>
        <v>156659.86709649648</v>
      </c>
      <c r="AM44" s="145">
        <f t="shared" si="55"/>
        <v>24252631.350299712</v>
      </c>
      <c r="AN44" s="143">
        <f t="shared" si="41"/>
        <v>703600</v>
      </c>
      <c r="AO44" s="145">
        <f t="shared" si="42"/>
        <v>703600</v>
      </c>
      <c r="AP44" s="151">
        <f t="shared" si="43"/>
        <v>1.9709274587167012</v>
      </c>
      <c r="AQ44" s="150">
        <f t="shared" si="27"/>
        <v>1386744.5599530709</v>
      </c>
      <c r="AR44" s="150">
        <f t="shared" si="44"/>
        <v>54083037.838169768</v>
      </c>
      <c r="AS44" s="152">
        <f t="shared" si="45"/>
        <v>1.1911528701724741</v>
      </c>
      <c r="AT44" s="135"/>
      <c r="AU44" s="142">
        <v>39</v>
      </c>
      <c r="AV44" s="143">
        <f t="shared" si="46"/>
        <v>649400</v>
      </c>
      <c r="AW44" s="144">
        <f t="shared" si="28"/>
        <v>486015.56030545378</v>
      </c>
      <c r="AX44" s="144">
        <f t="shared" si="56"/>
        <v>163384.43969454622</v>
      </c>
      <c r="AY44" s="145">
        <f t="shared" si="57"/>
        <v>26299584.520865094</v>
      </c>
      <c r="AZ44" s="143">
        <f t="shared" si="47"/>
        <v>649400</v>
      </c>
      <c r="BA44" s="145">
        <f t="shared" si="48"/>
        <v>649400</v>
      </c>
      <c r="BB44" s="151">
        <f t="shared" si="49"/>
        <v>0.8785395373703474</v>
      </c>
      <c r="BC44" s="150">
        <f t="shared" si="30"/>
        <v>570523.57556830358</v>
      </c>
      <c r="BD44" s="150">
        <f t="shared" si="50"/>
        <v>22250419.447163839</v>
      </c>
      <c r="BE44" s="152">
        <f t="shared" si="51"/>
        <v>0.49353120705848669</v>
      </c>
    </row>
    <row r="45" spans="2:57" ht="16.5" customHeight="1">
      <c r="B45" s="18" t="s">
        <v>1439</v>
      </c>
      <c r="C45" s="26" t="s">
        <v>38</v>
      </c>
      <c r="D45" s="68">
        <f>IF(OR(견적!BV37=1,견적!BV38=1,견적!BV22=0%,견적!BV41=1,견적!CD41=1,견적!BW37=1),"Error",E45+F45)</f>
        <v>1011010</v>
      </c>
      <c r="E45" s="1">
        <f>E44+E37</f>
        <v>919100</v>
      </c>
      <c r="F45" s="52">
        <f>ROUND(E45*10%,0)</f>
        <v>91910</v>
      </c>
      <c r="G45" s="47"/>
      <c r="I45" s="68">
        <f>IF(OR(견적!CD37=1,견적!CD38=1,견적!CD22=0,견적!CD41=1,견적!CD41=1,견적!CE37=1),"Error",J45+K45)</f>
        <v>894520</v>
      </c>
      <c r="J45" s="1">
        <f>J44+J37</f>
        <v>813200</v>
      </c>
      <c r="K45" s="2">
        <f>ROUND(J45*10%,0)</f>
        <v>81320</v>
      </c>
      <c r="L45" s="47"/>
      <c r="N45" s="68">
        <f>IF(OR(견적!CL37=1,견적!CL38=1,견적!CL22=0,견적!BV41=1,견적!CD41=1,견적!CM37=1),"Error",O45+P45)</f>
        <v>835450</v>
      </c>
      <c r="O45" s="1">
        <f>O44+O37</f>
        <v>759500</v>
      </c>
      <c r="P45" s="2">
        <f>ROUND(O45*10%,0)</f>
        <v>75950</v>
      </c>
      <c r="Q45" s="47"/>
      <c r="R45" s="621"/>
      <c r="S45" s="72"/>
      <c r="T45" s="72"/>
      <c r="U45" s="72"/>
      <c r="W45" s="142">
        <v>40</v>
      </c>
      <c r="X45" s="143">
        <f t="shared" si="34"/>
        <v>0</v>
      </c>
      <c r="Y45" s="144">
        <f t="shared" si="22"/>
        <v>0</v>
      </c>
      <c r="Z45" s="144">
        <f t="shared" si="52"/>
        <v>0</v>
      </c>
      <c r="AA45" s="145">
        <f t="shared" si="53"/>
        <v>0</v>
      </c>
      <c r="AB45" s="143">
        <f t="shared" si="35"/>
        <v>0</v>
      </c>
      <c r="AC45" s="145">
        <f t="shared" si="36"/>
        <v>0</v>
      </c>
      <c r="AD45" s="151">
        <f t="shared" si="37"/>
        <v>0</v>
      </c>
      <c r="AE45" s="150">
        <f t="shared" si="24"/>
        <v>0</v>
      </c>
      <c r="AF45" s="150">
        <f t="shared" si="38"/>
        <v>0</v>
      </c>
      <c r="AG45" s="152">
        <f t="shared" si="39"/>
        <v>0</v>
      </c>
      <c r="AH45" s="135"/>
      <c r="AI45" s="142">
        <v>40</v>
      </c>
      <c r="AJ45" s="143">
        <f t="shared" si="40"/>
        <v>703600</v>
      </c>
      <c r="AK45" s="144">
        <f t="shared" si="25"/>
        <v>550395.17520487704</v>
      </c>
      <c r="AL45" s="144">
        <f t="shared" si="54"/>
        <v>153204.82479512299</v>
      </c>
      <c r="AM45" s="145">
        <f t="shared" si="55"/>
        <v>23702236.175094835</v>
      </c>
      <c r="AN45" s="143">
        <f t="shared" si="41"/>
        <v>703600</v>
      </c>
      <c r="AO45" s="145">
        <f t="shared" si="42"/>
        <v>703600</v>
      </c>
      <c r="AP45" s="151">
        <f t="shared" si="43"/>
        <v>2.0055167683475994</v>
      </c>
      <c r="AQ45" s="150">
        <f t="shared" si="27"/>
        <v>1411081.5982093709</v>
      </c>
      <c r="AR45" s="150">
        <f t="shared" si="44"/>
        <v>56443263.928374834</v>
      </c>
      <c r="AS45" s="152">
        <f t="shared" si="45"/>
        <v>1.2431357134812415</v>
      </c>
      <c r="AT45" s="135"/>
      <c r="AU45" s="142">
        <v>40</v>
      </c>
      <c r="AV45" s="143">
        <f t="shared" si="46"/>
        <v>649400</v>
      </c>
      <c r="AW45" s="144">
        <f t="shared" si="28"/>
        <v>488980.11513202859</v>
      </c>
      <c r="AX45" s="144">
        <f t="shared" si="56"/>
        <v>160419.88486797138</v>
      </c>
      <c r="AY45" s="145">
        <f t="shared" si="57"/>
        <v>25810604.405733064</v>
      </c>
      <c r="AZ45" s="143">
        <f t="shared" si="47"/>
        <v>649400</v>
      </c>
      <c r="BA45" s="145">
        <f t="shared" si="48"/>
        <v>649400</v>
      </c>
      <c r="BB45" s="151">
        <f t="shared" si="49"/>
        <v>0.87562729999582511</v>
      </c>
      <c r="BC45" s="150">
        <f t="shared" si="30"/>
        <v>568632.36861728888</v>
      </c>
      <c r="BD45" s="150">
        <f t="shared" si="50"/>
        <v>22745294.744691554</v>
      </c>
      <c r="BE45" s="152">
        <f t="shared" si="51"/>
        <v>0.50450791711612175</v>
      </c>
    </row>
    <row r="46" spans="2:57" ht="16.5" customHeight="1" thickBot="1">
      <c r="B46" s="312"/>
      <c r="C46" s="26"/>
      <c r="D46" s="624">
        <f>IF(G30&gt;0,D45-G30,0)</f>
        <v>0</v>
      </c>
      <c r="E46" s="49"/>
      <c r="F46" s="625"/>
      <c r="G46" s="626"/>
      <c r="I46" s="48">
        <f>IF(L30&gt;0,I45-L30,0)</f>
        <v>0</v>
      </c>
      <c r="J46" s="49"/>
      <c r="K46" s="50"/>
      <c r="L46" s="51"/>
      <c r="N46" s="624">
        <f>IF(Q30&gt;0,N45-Q30,0)</f>
        <v>0</v>
      </c>
      <c r="O46" s="49"/>
      <c r="P46" s="625"/>
      <c r="Q46" s="626"/>
      <c r="R46" s="621"/>
      <c r="S46" s="72"/>
      <c r="T46" s="72"/>
      <c r="U46" s="72"/>
      <c r="W46" s="142">
        <v>42</v>
      </c>
      <c r="X46" s="639">
        <f t="shared" si="34"/>
        <v>0</v>
      </c>
      <c r="Y46" s="640">
        <f t="shared" si="22"/>
        <v>0</v>
      </c>
      <c r="Z46" s="640">
        <f>IF($W46&lt;=$G$27,#REF!*$AA$1/12,0)</f>
        <v>0</v>
      </c>
      <c r="AA46" s="641">
        <f>IF($W46&lt;=$G$27,#REF!-Y46,0)</f>
        <v>0</v>
      </c>
      <c r="AB46" s="639">
        <f t="shared" si="35"/>
        <v>0</v>
      </c>
      <c r="AC46" s="641">
        <f t="shared" si="36"/>
        <v>0</v>
      </c>
      <c r="AD46" s="642">
        <f t="shared" si="37"/>
        <v>0</v>
      </c>
      <c r="AE46" s="643">
        <f t="shared" si="24"/>
        <v>0</v>
      </c>
      <c r="AF46" s="643">
        <f t="shared" si="38"/>
        <v>0</v>
      </c>
      <c r="AG46" s="644">
        <f t="shared" si="39"/>
        <v>0</v>
      </c>
      <c r="AH46" s="645"/>
      <c r="AI46" s="142">
        <v>41</v>
      </c>
      <c r="AJ46" s="639">
        <f t="shared" si="40"/>
        <v>703600</v>
      </c>
      <c r="AK46" s="640">
        <f t="shared" si="25"/>
        <v>553872.04314416985</v>
      </c>
      <c r="AL46" s="640">
        <f t="shared" si="54"/>
        <v>149727.95685583018</v>
      </c>
      <c r="AM46" s="641">
        <f t="shared" si="55"/>
        <v>23148364.131950665</v>
      </c>
      <c r="AN46" s="639">
        <f t="shared" si="41"/>
        <v>703600</v>
      </c>
      <c r="AO46" s="641">
        <f t="shared" si="42"/>
        <v>703600</v>
      </c>
      <c r="AP46" s="642">
        <f t="shared" si="43"/>
        <v>2.0407131121620492</v>
      </c>
      <c r="AQ46" s="643">
        <f t="shared" si="27"/>
        <v>1435845.7457172179</v>
      </c>
      <c r="AR46" s="643">
        <f t="shared" si="44"/>
        <v>58869675.574405931</v>
      </c>
      <c r="AS46" s="644">
        <f t="shared" si="45"/>
        <v>1.2965762617921215</v>
      </c>
      <c r="AT46" s="645"/>
      <c r="AU46" s="142">
        <v>41</v>
      </c>
      <c r="AV46" s="639">
        <f t="shared" si="46"/>
        <v>649400</v>
      </c>
      <c r="AW46" s="640">
        <f t="shared" si="28"/>
        <v>491962.7528885291</v>
      </c>
      <c r="AX46" s="640">
        <f t="shared" si="56"/>
        <v>157437.2471114709</v>
      </c>
      <c r="AY46" s="641">
        <f t="shared" si="57"/>
        <v>25318641.652844533</v>
      </c>
      <c r="AZ46" s="639">
        <f t="shared" si="47"/>
        <v>649400</v>
      </c>
      <c r="BA46" s="641">
        <f t="shared" si="48"/>
        <v>649400</v>
      </c>
      <c r="BB46" s="642">
        <f t="shared" si="49"/>
        <v>0.87272471628646531</v>
      </c>
      <c r="BC46" s="643">
        <f t="shared" si="30"/>
        <v>566747.43075643061</v>
      </c>
      <c r="BD46" s="643">
        <f t="shared" si="50"/>
        <v>23236644.661013655</v>
      </c>
      <c r="BE46" s="644">
        <f t="shared" si="51"/>
        <v>0.51540643154037191</v>
      </c>
    </row>
    <row r="47" spans="2:57" ht="16.5" customHeight="1">
      <c r="B47" s="620"/>
      <c r="C47" s="313"/>
      <c r="D47" s="627"/>
      <c r="E47" s="632" t="s">
        <v>3284</v>
      </c>
      <c r="F47" s="628" t="s">
        <v>3285</v>
      </c>
      <c r="G47" s="629" t="s">
        <v>3291</v>
      </c>
      <c r="I47" s="627"/>
      <c r="J47" s="632" t="s">
        <v>3284</v>
      </c>
      <c r="K47" s="628" t="s">
        <v>3285</v>
      </c>
      <c r="L47" s="629" t="s">
        <v>3291</v>
      </c>
      <c r="N47" s="627"/>
      <c r="O47" s="632" t="s">
        <v>3284</v>
      </c>
      <c r="P47" s="628" t="s">
        <v>3285</v>
      </c>
      <c r="Q47" s="629" t="s">
        <v>3291</v>
      </c>
      <c r="R47" s="649">
        <f>O44+Q48</f>
        <v>759500</v>
      </c>
      <c r="S47" s="72"/>
      <c r="T47" s="72"/>
      <c r="U47" s="72"/>
      <c r="W47" s="142">
        <v>43</v>
      </c>
      <c r="X47" s="143">
        <f t="shared" si="34"/>
        <v>0</v>
      </c>
      <c r="Y47" s="144">
        <f t="shared" si="22"/>
        <v>0</v>
      </c>
      <c r="Z47" s="144">
        <f>IF($W47&lt;=$G$27,AA46*$AA$1/12,0)</f>
        <v>0</v>
      </c>
      <c r="AA47" s="145">
        <f>IF($W47&lt;=$G$27,AA46-Y47,0)</f>
        <v>0</v>
      </c>
      <c r="AB47" s="143">
        <f t="shared" si="35"/>
        <v>0</v>
      </c>
      <c r="AC47" s="145">
        <f t="shared" si="36"/>
        <v>0</v>
      </c>
      <c r="AD47" s="151">
        <f t="shared" si="37"/>
        <v>0</v>
      </c>
      <c r="AE47" s="150">
        <f t="shared" si="24"/>
        <v>0</v>
      </c>
      <c r="AF47" s="150">
        <f t="shared" si="38"/>
        <v>0</v>
      </c>
      <c r="AG47" s="152">
        <f t="shared" si="39"/>
        <v>0</v>
      </c>
      <c r="AH47" s="135"/>
      <c r="AI47" s="142">
        <v>42</v>
      </c>
      <c r="AJ47" s="143">
        <f t="shared" si="40"/>
        <v>703600</v>
      </c>
      <c r="AK47" s="144">
        <f t="shared" si="25"/>
        <v>557370.87459479389</v>
      </c>
      <c r="AL47" s="144">
        <f t="shared" si="54"/>
        <v>146229.12540520614</v>
      </c>
      <c r="AM47" s="145">
        <f t="shared" si="55"/>
        <v>22590993.257355873</v>
      </c>
      <c r="AN47" s="143">
        <f t="shared" si="41"/>
        <v>703600</v>
      </c>
      <c r="AO47" s="145">
        <f t="shared" si="42"/>
        <v>703600</v>
      </c>
      <c r="AP47" s="151">
        <f t="shared" si="43"/>
        <v>2.0765271434660559</v>
      </c>
      <c r="AQ47" s="150">
        <f t="shared" si="27"/>
        <v>1461044.4981427169</v>
      </c>
      <c r="AR47" s="150">
        <f t="shared" si="44"/>
        <v>61363868.921994112</v>
      </c>
      <c r="AS47" s="152">
        <f t="shared" si="45"/>
        <v>1.3515096694463777</v>
      </c>
      <c r="AT47" s="135"/>
      <c r="AU47" s="142">
        <v>42</v>
      </c>
      <c r="AV47" s="143">
        <f t="shared" si="46"/>
        <v>649400</v>
      </c>
      <c r="AW47" s="144">
        <f t="shared" si="28"/>
        <v>494963.58387561544</v>
      </c>
      <c r="AX47" s="144">
        <f t="shared" si="56"/>
        <v>154436.41612438456</v>
      </c>
      <c r="AY47" s="145">
        <f t="shared" si="57"/>
        <v>24823678.068968918</v>
      </c>
      <c r="AZ47" s="143">
        <f t="shared" si="47"/>
        <v>649400</v>
      </c>
      <c r="BA47" s="145">
        <f t="shared" si="48"/>
        <v>649400</v>
      </c>
      <c r="BB47" s="151">
        <f t="shared" si="49"/>
        <v>0.86983175424169934</v>
      </c>
      <c r="BC47" s="150">
        <f t="shared" si="30"/>
        <v>564868.74120455957</v>
      </c>
      <c r="BD47" s="150">
        <f t="shared" si="50"/>
        <v>23724487.130591501</v>
      </c>
      <c r="BE47" s="152">
        <f t="shared" si="51"/>
        <v>0.52622714813121518</v>
      </c>
    </row>
    <row r="48" spans="2:57" ht="16.5" customHeight="1">
      <c r="B48" s="620"/>
      <c r="C48" s="313"/>
      <c r="D48" s="1574" t="s">
        <v>3293</v>
      </c>
      <c r="E48" s="1562">
        <f>MAX(N5:S5)</f>
        <v>52.5</v>
      </c>
      <c r="F48" s="1564">
        <f>(D3*E48)/100</f>
        <v>24333750</v>
      </c>
      <c r="G48" s="646">
        <f>ROUNDUP(PMT(ROUND(G37/12,6),G27,-E23-E30+G28+G29,ROUNDDOWN(F48/1.1,0)-G28)+G30,-2)</f>
        <v>810300</v>
      </c>
      <c r="H48" s="622">
        <f>E44+G48</f>
        <v>919100</v>
      </c>
      <c r="I48" s="1561" t="s">
        <v>1374</v>
      </c>
      <c r="J48" s="1556">
        <f>MAX(N9:S9)</f>
        <v>45.5</v>
      </c>
      <c r="K48" s="1560">
        <f>D3*J48/100</f>
        <v>21089250</v>
      </c>
      <c r="L48" s="646">
        <f>ROUNDUP(PMT(ROUND(L37/12,6),L27,-E23-J30+L28+L29,ROUNDDOWN(K48/1.1,0)-L28)+L30,-2)</f>
        <v>703600</v>
      </c>
      <c r="M48" s="647">
        <f>J44+L48</f>
        <v>813200</v>
      </c>
      <c r="N48" s="1561" t="s">
        <v>1374</v>
      </c>
      <c r="O48" s="1556">
        <f>MAX(N13:S13)</f>
        <v>36.5</v>
      </c>
      <c r="P48" s="1558">
        <f>D3*O48/100</f>
        <v>16917750</v>
      </c>
      <c r="Q48" s="646">
        <f>ROUNDUP(PMT(ROUND(Q37/12,6),Q27,-E23-O30+Q28+Q29,ROUNDDOWN(P48/1.1,0)-Q28)+Q30,-2)</f>
        <v>649400</v>
      </c>
      <c r="R48" s="649"/>
      <c r="S48" s="72"/>
      <c r="T48" s="72"/>
      <c r="U48" s="72"/>
      <c r="W48" s="142">
        <v>44</v>
      </c>
      <c r="X48" s="143">
        <f t="shared" si="34"/>
        <v>0</v>
      </c>
      <c r="Y48" s="144">
        <f t="shared" si="22"/>
        <v>0</v>
      </c>
      <c r="Z48" s="144">
        <f>IF($W48&lt;=$G$27,AA47*$AA$1/12,0)</f>
        <v>0</v>
      </c>
      <c r="AA48" s="145">
        <f>IF($W48&lt;=$G$27,AA47-Y48,0)</f>
        <v>0</v>
      </c>
      <c r="AB48" s="143">
        <f t="shared" si="35"/>
        <v>0</v>
      </c>
      <c r="AC48" s="145">
        <f t="shared" si="36"/>
        <v>0</v>
      </c>
      <c r="AD48" s="151">
        <f t="shared" si="37"/>
        <v>0</v>
      </c>
      <c r="AE48" s="150">
        <f t="shared" si="24"/>
        <v>0</v>
      </c>
      <c r="AF48" s="150">
        <f t="shared" si="38"/>
        <v>0</v>
      </c>
      <c r="AG48" s="152">
        <f t="shared" si="39"/>
        <v>0</v>
      </c>
      <c r="AH48" s="135"/>
      <c r="AI48" s="142">
        <v>43</v>
      </c>
      <c r="AJ48" s="143">
        <f t="shared" si="40"/>
        <v>703600</v>
      </c>
      <c r="AK48" s="144">
        <f t="shared" si="25"/>
        <v>560891.80830111285</v>
      </c>
      <c r="AL48" s="144">
        <f t="shared" si="54"/>
        <v>142708.19169888712</v>
      </c>
      <c r="AM48" s="145">
        <f t="shared" si="55"/>
        <v>22030101.449054759</v>
      </c>
      <c r="AN48" s="143">
        <f t="shared" si="41"/>
        <v>703600</v>
      </c>
      <c r="AO48" s="145">
        <f t="shared" si="42"/>
        <v>703600</v>
      </c>
      <c r="AP48" s="151">
        <f t="shared" si="43"/>
        <v>2.1129697025286198</v>
      </c>
      <c r="AQ48" s="150">
        <f t="shared" si="27"/>
        <v>1486685.4826991369</v>
      </c>
      <c r="AR48" s="150">
        <f t="shared" si="44"/>
        <v>63927475.756062888</v>
      </c>
      <c r="AS48" s="152">
        <f t="shared" si="45"/>
        <v>1.40797187572133</v>
      </c>
      <c r="AT48" s="135"/>
      <c r="AU48" s="142">
        <v>43</v>
      </c>
      <c r="AV48" s="143">
        <f t="shared" si="46"/>
        <v>649400</v>
      </c>
      <c r="AW48" s="144">
        <f t="shared" si="28"/>
        <v>497982.71906675014</v>
      </c>
      <c r="AX48" s="144">
        <f t="shared" si="56"/>
        <v>151417.28093324989</v>
      </c>
      <c r="AY48" s="145">
        <f t="shared" si="57"/>
        <v>24325695.349902168</v>
      </c>
      <c r="AZ48" s="143">
        <f t="shared" si="47"/>
        <v>649400</v>
      </c>
      <c r="BA48" s="145">
        <f t="shared" si="48"/>
        <v>649400</v>
      </c>
      <c r="BB48" s="151">
        <f t="shared" si="49"/>
        <v>0.86694838196703639</v>
      </c>
      <c r="BC48" s="150">
        <f t="shared" si="30"/>
        <v>562996.27924939338</v>
      </c>
      <c r="BD48" s="150">
        <f t="shared" si="50"/>
        <v>24208840.007723916</v>
      </c>
      <c r="BE48" s="152">
        <f t="shared" si="51"/>
        <v>0.53697046291056338</v>
      </c>
    </row>
    <row r="49" spans="2:57" ht="16.5" customHeight="1">
      <c r="B49" s="620"/>
      <c r="C49" s="313"/>
      <c r="D49" s="1575"/>
      <c r="E49" s="1563"/>
      <c r="F49" s="1565"/>
      <c r="G49" s="630">
        <f>H48*1.1</f>
        <v>1011010.0000000001</v>
      </c>
      <c r="H49" s="238"/>
      <c r="I49" s="1561"/>
      <c r="J49" s="1556"/>
      <c r="K49" s="1560"/>
      <c r="L49" s="651">
        <f>M48*1.1</f>
        <v>894520.00000000012</v>
      </c>
      <c r="M49" s="647"/>
      <c r="N49" s="1561"/>
      <c r="O49" s="1556"/>
      <c r="P49" s="1559"/>
      <c r="Q49" s="630">
        <f>R47*1.1</f>
        <v>835450.00000000012</v>
      </c>
      <c r="R49" s="649">
        <f>O44+Q50</f>
        <v>975400</v>
      </c>
      <c r="S49" s="72"/>
      <c r="T49" s="72"/>
      <c r="U49" s="72"/>
      <c r="W49" s="142">
        <v>50</v>
      </c>
      <c r="X49" s="143">
        <f t="shared" si="34"/>
        <v>0</v>
      </c>
      <c r="Y49" s="144">
        <f t="shared" si="22"/>
        <v>0</v>
      </c>
      <c r="Z49" s="144">
        <f>IF($W49&lt;=$G$27,#REF!*$AA$1/12,0)</f>
        <v>0</v>
      </c>
      <c r="AA49" s="145">
        <f>IF($W49&lt;=$G$27,#REF!-Y49,0)</f>
        <v>0</v>
      </c>
      <c r="AB49" s="143">
        <f t="shared" si="35"/>
        <v>0</v>
      </c>
      <c r="AC49" s="145">
        <f t="shared" si="36"/>
        <v>0</v>
      </c>
      <c r="AD49" s="151">
        <f t="shared" si="37"/>
        <v>0</v>
      </c>
      <c r="AE49" s="150">
        <f t="shared" si="24"/>
        <v>0</v>
      </c>
      <c r="AF49" s="150">
        <f t="shared" si="38"/>
        <v>0</v>
      </c>
      <c r="AG49" s="152">
        <f t="shared" si="39"/>
        <v>0</v>
      </c>
      <c r="AH49" s="135"/>
      <c r="AI49" s="142">
        <v>49</v>
      </c>
      <c r="AJ49" s="143">
        <f t="shared" si="40"/>
        <v>0</v>
      </c>
      <c r="AK49" s="144">
        <f t="shared" si="25"/>
        <v>0</v>
      </c>
      <c r="AL49" s="144">
        <f>IF($AI49&lt;=$L$27,#REF!*$AM$1/12,0)</f>
        <v>0</v>
      </c>
      <c r="AM49" s="145">
        <f>IF($AI49&lt;=$L$27,#REF!-AK49,0)</f>
        <v>0</v>
      </c>
      <c r="AN49" s="143">
        <f t="shared" si="41"/>
        <v>0</v>
      </c>
      <c r="AO49" s="145">
        <f t="shared" si="42"/>
        <v>0</v>
      </c>
      <c r="AP49" s="151">
        <f t="shared" si="43"/>
        <v>0</v>
      </c>
      <c r="AQ49" s="150">
        <f t="shared" si="27"/>
        <v>0</v>
      </c>
      <c r="AR49" s="150">
        <f t="shared" si="44"/>
        <v>0</v>
      </c>
      <c r="AS49" s="152">
        <f t="shared" si="45"/>
        <v>0</v>
      </c>
      <c r="AT49" s="135"/>
      <c r="AU49" s="142">
        <v>49</v>
      </c>
      <c r="AV49" s="143">
        <f t="shared" si="46"/>
        <v>649400</v>
      </c>
      <c r="AW49" s="144" t="e">
        <f t="shared" si="28"/>
        <v>#REF!</v>
      </c>
      <c r="AX49" s="144" t="e">
        <f>IF($AU49&lt;=$Q$27,#REF!*$AY$1/12,0)</f>
        <v>#REF!</v>
      </c>
      <c r="AY49" s="145" t="e">
        <f>IF($AU49&lt;=$Q$27,#REF!-AW49,0)</f>
        <v>#REF!</v>
      </c>
      <c r="AZ49" s="143">
        <f t="shared" si="47"/>
        <v>649400</v>
      </c>
      <c r="BA49" s="145">
        <f t="shared" si="48"/>
        <v>649400</v>
      </c>
      <c r="BB49" s="151">
        <f t="shared" si="49"/>
        <v>0.8498477606771303</v>
      </c>
      <c r="BC49" s="150">
        <f t="shared" si="30"/>
        <v>551891.13578372844</v>
      </c>
      <c r="BD49" s="150">
        <f t="shared" si="50"/>
        <v>27042665.653402694</v>
      </c>
      <c r="BE49" s="152">
        <f t="shared" si="51"/>
        <v>0.59982686859883516</v>
      </c>
    </row>
    <row r="50" spans="2:57" ht="16.5" customHeight="1">
      <c r="B50" s="620"/>
      <c r="C50" s="313"/>
      <c r="D50" s="1574" t="s">
        <v>3294</v>
      </c>
      <c r="E50" s="1562">
        <f>U5</f>
        <v>0</v>
      </c>
      <c r="F50" s="1564">
        <f>(D3*E50)/100</f>
        <v>0</v>
      </c>
      <c r="G50" s="646">
        <f>ROUNDUP(PMT(ROUND(G37/12,6),G27,-E23-견적!BV34+G28+G29,ROUNDDOWN(F50/1.1,0)-G28)+G30,-2)</f>
        <v>1365300</v>
      </c>
      <c r="H50" s="622">
        <f>E44+G50</f>
        <v>1474100</v>
      </c>
      <c r="I50" s="1561" t="s">
        <v>3288</v>
      </c>
      <c r="J50" s="1557">
        <f>U9</f>
        <v>0</v>
      </c>
      <c r="K50" s="1560">
        <f>D3*J50/100</f>
        <v>0</v>
      </c>
      <c r="L50" s="646">
        <f>ROUNDUP(PMT(ROUND(L37/12,6),L27,-E23-견적!CD34+L28+L29,ROUNDDOWN(K50/1.1,0)-L28)+L30,-2)</f>
        <v>1052600</v>
      </c>
      <c r="M50" s="647">
        <f>J44+L50</f>
        <v>1162200</v>
      </c>
      <c r="N50" s="1561" t="s">
        <v>3288</v>
      </c>
      <c r="O50" s="1557">
        <f>U13</f>
        <v>0</v>
      </c>
      <c r="P50" s="1558">
        <f>D3*O50/100</f>
        <v>0</v>
      </c>
      <c r="Q50" s="646">
        <f>ROUNDUP(PMT(ROUND(Q37/12,6),Q27,-E23-견적!CL34+Q28+Q29,ROUNDDOWN(P50/1.1,0)-Q28)+Q30,-2)</f>
        <v>865300</v>
      </c>
      <c r="R50" s="621"/>
      <c r="S50" s="72"/>
      <c r="T50" s="72"/>
      <c r="U50" s="72"/>
      <c r="W50" s="142">
        <v>51</v>
      </c>
      <c r="X50" s="143">
        <f t="shared" si="34"/>
        <v>0</v>
      </c>
      <c r="Y50" s="144">
        <f t="shared" si="22"/>
        <v>0</v>
      </c>
      <c r="Z50" s="144">
        <f t="shared" ref="Z50:Z59" si="58">IF($W50&lt;=$G$27,AA49*$AA$1/12,0)</f>
        <v>0</v>
      </c>
      <c r="AA50" s="145">
        <f t="shared" ref="AA50:AA59" si="59">IF($W50&lt;=$G$27,AA49-Y50,0)</f>
        <v>0</v>
      </c>
      <c r="AB50" s="143">
        <f t="shared" si="35"/>
        <v>0</v>
      </c>
      <c r="AC50" s="145">
        <f t="shared" si="36"/>
        <v>0</v>
      </c>
      <c r="AD50" s="151">
        <f t="shared" si="37"/>
        <v>0</v>
      </c>
      <c r="AE50" s="150">
        <f t="shared" si="24"/>
        <v>0</v>
      </c>
      <c r="AF50" s="150">
        <f t="shared" si="38"/>
        <v>0</v>
      </c>
      <c r="AG50" s="152">
        <f t="shared" si="39"/>
        <v>0</v>
      </c>
      <c r="AH50" s="135"/>
      <c r="AI50" s="142">
        <v>50</v>
      </c>
      <c r="AJ50" s="143">
        <f t="shared" si="40"/>
        <v>0</v>
      </c>
      <c r="AK50" s="144">
        <f t="shared" si="25"/>
        <v>0</v>
      </c>
      <c r="AL50" s="144">
        <f t="shared" ref="AL50:AL60" si="60">IF($AI50&lt;=$L$27,AM49*$AM$1/12,0)</f>
        <v>0</v>
      </c>
      <c r="AM50" s="145">
        <f t="shared" ref="AM50:AM60" si="61">IF($AI50&lt;=$L$27,AM49-AK50,0)</f>
        <v>0</v>
      </c>
      <c r="AN50" s="143">
        <f t="shared" si="41"/>
        <v>0</v>
      </c>
      <c r="AO50" s="145">
        <f t="shared" si="42"/>
        <v>0</v>
      </c>
      <c r="AP50" s="151">
        <f t="shared" si="43"/>
        <v>0</v>
      </c>
      <c r="AQ50" s="150">
        <f t="shared" si="27"/>
        <v>0</v>
      </c>
      <c r="AR50" s="150">
        <f t="shared" si="44"/>
        <v>0</v>
      </c>
      <c r="AS50" s="152">
        <f t="shared" si="45"/>
        <v>0</v>
      </c>
      <c r="AT50" s="135"/>
      <c r="AU50" s="142">
        <v>50</v>
      </c>
      <c r="AV50" s="143">
        <f t="shared" si="46"/>
        <v>649400</v>
      </c>
      <c r="AW50" s="144" t="e">
        <f t="shared" si="28"/>
        <v>#REF!</v>
      </c>
      <c r="AX50" s="144" t="e">
        <f t="shared" ref="AX50:AX60" si="62">IF($AU50&lt;=$Q$27,AY49*$AY$1/12,0)</f>
        <v>#REF!</v>
      </c>
      <c r="AY50" s="145" t="e">
        <f t="shared" ref="AY50:AY60" si="63">IF($AU50&lt;=$Q$27,AY49-AW50,0)</f>
        <v>#REF!</v>
      </c>
      <c r="AZ50" s="143">
        <f t="shared" si="47"/>
        <v>649400</v>
      </c>
      <c r="BA50" s="145">
        <f t="shared" si="48"/>
        <v>649400</v>
      </c>
      <c r="BB50" s="151">
        <f t="shared" si="49"/>
        <v>0.8470306325844027</v>
      </c>
      <c r="BC50" s="150">
        <f t="shared" si="30"/>
        <v>550061.69280031114</v>
      </c>
      <c r="BD50" s="150">
        <f t="shared" si="50"/>
        <v>27503084.640015557</v>
      </c>
      <c r="BE50" s="152">
        <f t="shared" si="51"/>
        <v>0.61003931150380053</v>
      </c>
    </row>
    <row r="51" spans="2:57" ht="16.5" customHeight="1">
      <c r="B51" s="620"/>
      <c r="C51" s="313"/>
      <c r="D51" s="1575"/>
      <c r="E51" s="1563"/>
      <c r="F51" s="1565"/>
      <c r="G51" s="630">
        <f>H50*1.1</f>
        <v>1621510.0000000002</v>
      </c>
      <c r="H51" s="238"/>
      <c r="I51" s="1561"/>
      <c r="J51" s="1557"/>
      <c r="K51" s="1560"/>
      <c r="L51" s="630">
        <f>M50*1.1</f>
        <v>1278420</v>
      </c>
      <c r="M51" s="238"/>
      <c r="N51" s="1561"/>
      <c r="O51" s="1557"/>
      <c r="P51" s="1559"/>
      <c r="Q51" s="630">
        <f>R49*1.1</f>
        <v>1072940</v>
      </c>
      <c r="R51" s="621"/>
      <c r="S51" s="72"/>
      <c r="T51" s="72"/>
      <c r="U51" s="72"/>
      <c r="W51" s="142">
        <v>52</v>
      </c>
      <c r="X51" s="143">
        <f t="shared" si="34"/>
        <v>0</v>
      </c>
      <c r="Y51" s="144">
        <f t="shared" si="22"/>
        <v>0</v>
      </c>
      <c r="Z51" s="144">
        <f t="shared" si="58"/>
        <v>0</v>
      </c>
      <c r="AA51" s="145">
        <f t="shared" si="59"/>
        <v>0</v>
      </c>
      <c r="AB51" s="143">
        <f t="shared" si="35"/>
        <v>0</v>
      </c>
      <c r="AC51" s="145">
        <f t="shared" si="36"/>
        <v>0</v>
      </c>
      <c r="AD51" s="151">
        <f t="shared" si="37"/>
        <v>0</v>
      </c>
      <c r="AE51" s="150">
        <f t="shared" si="24"/>
        <v>0</v>
      </c>
      <c r="AF51" s="150">
        <f t="shared" si="38"/>
        <v>0</v>
      </c>
      <c r="AG51" s="152">
        <f t="shared" si="39"/>
        <v>0</v>
      </c>
      <c r="AH51" s="135"/>
      <c r="AI51" s="142">
        <v>51</v>
      </c>
      <c r="AJ51" s="143">
        <f t="shared" si="40"/>
        <v>0</v>
      </c>
      <c r="AK51" s="144">
        <f t="shared" si="25"/>
        <v>0</v>
      </c>
      <c r="AL51" s="144">
        <f t="shared" si="60"/>
        <v>0</v>
      </c>
      <c r="AM51" s="145">
        <f t="shared" si="61"/>
        <v>0</v>
      </c>
      <c r="AN51" s="143">
        <f t="shared" si="41"/>
        <v>0</v>
      </c>
      <c r="AO51" s="145">
        <f t="shared" si="42"/>
        <v>0</v>
      </c>
      <c r="AP51" s="151">
        <f t="shared" si="43"/>
        <v>0</v>
      </c>
      <c r="AQ51" s="150">
        <f t="shared" si="27"/>
        <v>0</v>
      </c>
      <c r="AR51" s="150">
        <f t="shared" si="44"/>
        <v>0</v>
      </c>
      <c r="AS51" s="152">
        <f t="shared" si="45"/>
        <v>0</v>
      </c>
      <c r="AT51" s="135"/>
      <c r="AU51" s="142">
        <v>51</v>
      </c>
      <c r="AV51" s="143">
        <f t="shared" si="46"/>
        <v>649400</v>
      </c>
      <c r="AW51" s="144" t="e">
        <f t="shared" si="28"/>
        <v>#REF!</v>
      </c>
      <c r="AX51" s="144" t="e">
        <f t="shared" si="62"/>
        <v>#REF!</v>
      </c>
      <c r="AY51" s="145" t="e">
        <f t="shared" si="63"/>
        <v>#REF!</v>
      </c>
      <c r="AZ51" s="143">
        <f t="shared" si="47"/>
        <v>649400</v>
      </c>
      <c r="BA51" s="145">
        <f t="shared" si="48"/>
        <v>649400</v>
      </c>
      <c r="BB51" s="151">
        <f t="shared" si="49"/>
        <v>0.84422284288268845</v>
      </c>
      <c r="BC51" s="150">
        <f t="shared" si="30"/>
        <v>548238.31416801782</v>
      </c>
      <c r="BD51" s="150">
        <f t="shared" si="50"/>
        <v>27960154.022568908</v>
      </c>
      <c r="BE51" s="152">
        <f t="shared" si="51"/>
        <v>0.62017745764602017</v>
      </c>
    </row>
    <row r="52" spans="2:57" ht="16.5" customHeight="1">
      <c r="B52" s="620"/>
      <c r="C52" s="313"/>
      <c r="D52" s="633" t="s">
        <v>3292</v>
      </c>
      <c r="E52" s="634"/>
      <c r="F52" s="634"/>
      <c r="G52" s="635">
        <f>G51-G49</f>
        <v>610500.00000000012</v>
      </c>
      <c r="H52" s="238"/>
      <c r="I52" s="633" t="s">
        <v>3292</v>
      </c>
      <c r="J52" s="631"/>
      <c r="K52" s="631"/>
      <c r="L52" s="648">
        <f>L51-L49</f>
        <v>383899.99999999988</v>
      </c>
      <c r="M52" s="238"/>
      <c r="N52" s="633" t="s">
        <v>3292</v>
      </c>
      <c r="O52" s="650"/>
      <c r="P52" s="650"/>
      <c r="Q52" s="648">
        <f>Q51-Q49</f>
        <v>237489.99999999988</v>
      </c>
      <c r="R52" s="621"/>
      <c r="S52" s="72"/>
      <c r="T52" s="72"/>
      <c r="U52" s="72"/>
      <c r="W52" s="142">
        <v>53</v>
      </c>
      <c r="X52" s="143">
        <f t="shared" si="34"/>
        <v>0</v>
      </c>
      <c r="Y52" s="144">
        <f t="shared" si="22"/>
        <v>0</v>
      </c>
      <c r="Z52" s="144">
        <f t="shared" si="58"/>
        <v>0</v>
      </c>
      <c r="AA52" s="145">
        <f t="shared" si="59"/>
        <v>0</v>
      </c>
      <c r="AB52" s="143">
        <f t="shared" si="35"/>
        <v>0</v>
      </c>
      <c r="AC52" s="145">
        <f t="shared" si="36"/>
        <v>0</v>
      </c>
      <c r="AD52" s="151">
        <f t="shared" si="37"/>
        <v>0</v>
      </c>
      <c r="AE52" s="150">
        <f t="shared" si="24"/>
        <v>0</v>
      </c>
      <c r="AF52" s="150">
        <f t="shared" si="38"/>
        <v>0</v>
      </c>
      <c r="AG52" s="152">
        <f t="shared" si="39"/>
        <v>0</v>
      </c>
      <c r="AH52" s="135"/>
      <c r="AI52" s="142">
        <v>52</v>
      </c>
      <c r="AJ52" s="143">
        <f t="shared" si="40"/>
        <v>0</v>
      </c>
      <c r="AK52" s="144">
        <f t="shared" si="25"/>
        <v>0</v>
      </c>
      <c r="AL52" s="144">
        <f t="shared" si="60"/>
        <v>0</v>
      </c>
      <c r="AM52" s="145">
        <f t="shared" si="61"/>
        <v>0</v>
      </c>
      <c r="AN52" s="143">
        <f t="shared" si="41"/>
        <v>0</v>
      </c>
      <c r="AO52" s="145">
        <f t="shared" si="42"/>
        <v>0</v>
      </c>
      <c r="AP52" s="151">
        <f t="shared" si="43"/>
        <v>0</v>
      </c>
      <c r="AQ52" s="150">
        <f t="shared" si="27"/>
        <v>0</v>
      </c>
      <c r="AR52" s="150">
        <f t="shared" si="44"/>
        <v>0</v>
      </c>
      <c r="AS52" s="152">
        <f t="shared" si="45"/>
        <v>0</v>
      </c>
      <c r="AT52" s="135"/>
      <c r="AU52" s="142">
        <v>52</v>
      </c>
      <c r="AV52" s="143">
        <f t="shared" si="46"/>
        <v>649400</v>
      </c>
      <c r="AW52" s="144" t="e">
        <f t="shared" si="28"/>
        <v>#REF!</v>
      </c>
      <c r="AX52" s="144" t="e">
        <f t="shared" si="62"/>
        <v>#REF!</v>
      </c>
      <c r="AY52" s="145" t="e">
        <f t="shared" si="63"/>
        <v>#REF!</v>
      </c>
      <c r="AZ52" s="143">
        <f t="shared" si="47"/>
        <v>649400</v>
      </c>
      <c r="BA52" s="145">
        <f t="shared" si="48"/>
        <v>649400</v>
      </c>
      <c r="BB52" s="151">
        <f t="shared" si="49"/>
        <v>0.84142436061650905</v>
      </c>
      <c r="BC52" s="150">
        <f t="shared" si="30"/>
        <v>546420.97978436097</v>
      </c>
      <c r="BD52" s="150">
        <f t="shared" si="50"/>
        <v>28413890.948786769</v>
      </c>
      <c r="BE52" s="152">
        <f t="shared" si="51"/>
        <v>0.63024168737504005</v>
      </c>
    </row>
    <row r="53" spans="2:57" ht="16.5" customHeight="1">
      <c r="B53" s="620"/>
      <c r="C53" s="313"/>
      <c r="D53" s="636"/>
      <c r="E53" s="637"/>
      <c r="F53" s="637"/>
      <c r="G53" s="638"/>
      <c r="H53" s="238"/>
      <c r="I53" s="73"/>
      <c r="J53" s="54"/>
      <c r="K53" s="54"/>
      <c r="L53" s="621"/>
      <c r="M53" s="238"/>
      <c r="N53" s="73"/>
      <c r="O53" s="54"/>
      <c r="P53" s="54"/>
      <c r="Q53" s="621"/>
      <c r="R53" s="72"/>
      <c r="S53" s="72"/>
      <c r="T53" s="72"/>
      <c r="U53" s="72"/>
      <c r="W53" s="142">
        <v>54</v>
      </c>
      <c r="X53" s="143">
        <f t="shared" si="34"/>
        <v>0</v>
      </c>
      <c r="Y53" s="144">
        <f t="shared" si="22"/>
        <v>0</v>
      </c>
      <c r="Z53" s="144">
        <f t="shared" si="58"/>
        <v>0</v>
      </c>
      <c r="AA53" s="145">
        <f t="shared" si="59"/>
        <v>0</v>
      </c>
      <c r="AB53" s="143">
        <f t="shared" si="35"/>
        <v>0</v>
      </c>
      <c r="AC53" s="145">
        <f t="shared" si="36"/>
        <v>0</v>
      </c>
      <c r="AD53" s="151">
        <f t="shared" si="37"/>
        <v>0</v>
      </c>
      <c r="AE53" s="150">
        <f t="shared" si="24"/>
        <v>0</v>
      </c>
      <c r="AF53" s="150">
        <f t="shared" si="38"/>
        <v>0</v>
      </c>
      <c r="AG53" s="152">
        <f t="shared" si="39"/>
        <v>0</v>
      </c>
      <c r="AH53" s="135"/>
      <c r="AI53" s="142">
        <v>53</v>
      </c>
      <c r="AJ53" s="143">
        <f t="shared" si="40"/>
        <v>0</v>
      </c>
      <c r="AK53" s="144">
        <f t="shared" si="25"/>
        <v>0</v>
      </c>
      <c r="AL53" s="144">
        <f t="shared" si="60"/>
        <v>0</v>
      </c>
      <c r="AM53" s="145">
        <f t="shared" si="61"/>
        <v>0</v>
      </c>
      <c r="AN53" s="143">
        <f t="shared" si="41"/>
        <v>0</v>
      </c>
      <c r="AO53" s="145">
        <f t="shared" si="42"/>
        <v>0</v>
      </c>
      <c r="AP53" s="151">
        <f t="shared" si="43"/>
        <v>0</v>
      </c>
      <c r="AQ53" s="150">
        <f t="shared" si="27"/>
        <v>0</v>
      </c>
      <c r="AR53" s="150">
        <f t="shared" si="44"/>
        <v>0</v>
      </c>
      <c r="AS53" s="152">
        <f t="shared" si="45"/>
        <v>0</v>
      </c>
      <c r="AT53" s="135"/>
      <c r="AU53" s="142">
        <v>53</v>
      </c>
      <c r="AV53" s="143">
        <f t="shared" si="46"/>
        <v>649400</v>
      </c>
      <c r="AW53" s="144" t="e">
        <f t="shared" si="28"/>
        <v>#REF!</v>
      </c>
      <c r="AX53" s="144" t="e">
        <f t="shared" si="62"/>
        <v>#REF!</v>
      </c>
      <c r="AY53" s="145" t="e">
        <f t="shared" si="63"/>
        <v>#REF!</v>
      </c>
      <c r="AZ53" s="143">
        <f t="shared" si="47"/>
        <v>649400</v>
      </c>
      <c r="BA53" s="145">
        <f t="shared" si="48"/>
        <v>649400</v>
      </c>
      <c r="BB53" s="151">
        <f t="shared" si="49"/>
        <v>0.83863515493300012</v>
      </c>
      <c r="BC53" s="150">
        <f t="shared" si="30"/>
        <v>544609.66961349023</v>
      </c>
      <c r="BD53" s="150">
        <f t="shared" si="50"/>
        <v>28864312.48951498</v>
      </c>
      <c r="BE53" s="152">
        <f t="shared" si="51"/>
        <v>0.64023237933518973</v>
      </c>
    </row>
    <row r="54" spans="2:57" ht="16.5" customHeight="1">
      <c r="B54" s="620"/>
      <c r="C54" s="313"/>
      <c r="D54" s="79" t="s">
        <v>3317</v>
      </c>
      <c r="E54" s="81" t="s">
        <v>3316</v>
      </c>
      <c r="F54" s="54"/>
      <c r="G54" s="621"/>
      <c r="H54" s="238"/>
      <c r="I54" s="73"/>
      <c r="J54" s="54"/>
      <c r="K54" s="54"/>
      <c r="L54" s="621"/>
      <c r="M54" s="238"/>
      <c r="N54" s="73"/>
      <c r="O54" s="54"/>
      <c r="P54" s="54"/>
      <c r="Q54" s="621"/>
      <c r="R54" s="72"/>
      <c r="S54" s="72"/>
      <c r="T54" s="72"/>
      <c r="U54" s="72"/>
      <c r="W54" s="142">
        <v>55</v>
      </c>
      <c r="X54" s="143">
        <f t="shared" si="34"/>
        <v>0</v>
      </c>
      <c r="Y54" s="144">
        <f t="shared" si="22"/>
        <v>0</v>
      </c>
      <c r="Z54" s="144">
        <f t="shared" si="58"/>
        <v>0</v>
      </c>
      <c r="AA54" s="145">
        <f t="shared" si="59"/>
        <v>0</v>
      </c>
      <c r="AB54" s="143">
        <f t="shared" si="35"/>
        <v>0</v>
      </c>
      <c r="AC54" s="145">
        <f t="shared" si="36"/>
        <v>0</v>
      </c>
      <c r="AD54" s="151">
        <f t="shared" si="37"/>
        <v>0</v>
      </c>
      <c r="AE54" s="150">
        <f t="shared" si="24"/>
        <v>0</v>
      </c>
      <c r="AF54" s="150">
        <f t="shared" si="38"/>
        <v>0</v>
      </c>
      <c r="AG54" s="152">
        <f t="shared" si="39"/>
        <v>0</v>
      </c>
      <c r="AH54" s="135"/>
      <c r="AI54" s="142">
        <v>54</v>
      </c>
      <c r="AJ54" s="143">
        <f t="shared" si="40"/>
        <v>0</v>
      </c>
      <c r="AK54" s="144">
        <f t="shared" si="25"/>
        <v>0</v>
      </c>
      <c r="AL54" s="144">
        <f t="shared" si="60"/>
        <v>0</v>
      </c>
      <c r="AM54" s="145">
        <f t="shared" si="61"/>
        <v>0</v>
      </c>
      <c r="AN54" s="143">
        <f t="shared" si="41"/>
        <v>0</v>
      </c>
      <c r="AO54" s="145">
        <f t="shared" si="42"/>
        <v>0</v>
      </c>
      <c r="AP54" s="151">
        <f t="shared" si="43"/>
        <v>0</v>
      </c>
      <c r="AQ54" s="150">
        <f t="shared" si="27"/>
        <v>0</v>
      </c>
      <c r="AR54" s="150">
        <f t="shared" si="44"/>
        <v>0</v>
      </c>
      <c r="AS54" s="152">
        <f t="shared" si="45"/>
        <v>0</v>
      </c>
      <c r="AT54" s="135"/>
      <c r="AU54" s="142">
        <v>54</v>
      </c>
      <c r="AV54" s="143">
        <f t="shared" si="46"/>
        <v>649400</v>
      </c>
      <c r="AW54" s="144" t="e">
        <f t="shared" si="28"/>
        <v>#REF!</v>
      </c>
      <c r="AX54" s="144" t="e">
        <f t="shared" si="62"/>
        <v>#REF!</v>
      </c>
      <c r="AY54" s="145" t="e">
        <f t="shared" si="63"/>
        <v>#REF!</v>
      </c>
      <c r="AZ54" s="143">
        <f t="shared" si="47"/>
        <v>649400</v>
      </c>
      <c r="BA54" s="145">
        <f t="shared" si="48"/>
        <v>649400</v>
      </c>
      <c r="BB54" s="151">
        <f t="shared" si="49"/>
        <v>0.83585519508156914</v>
      </c>
      <c r="BC54" s="150">
        <f t="shared" si="30"/>
        <v>542804.36368597101</v>
      </c>
      <c r="BD54" s="150">
        <f t="shared" si="50"/>
        <v>29311435.639042433</v>
      </c>
      <c r="BE54" s="152">
        <f t="shared" si="51"/>
        <v>0.65014991047270743</v>
      </c>
    </row>
    <row r="55" spans="2:57" ht="16.5" customHeight="1">
      <c r="B55" s="620"/>
      <c r="C55" s="313"/>
      <c r="D55" s="79" t="s">
        <v>3318</v>
      </c>
      <c r="E55" s="661">
        <v>5.7000000000000002E-2</v>
      </c>
      <c r="F55" s="54"/>
      <c r="G55" s="621"/>
      <c r="H55" s="238"/>
      <c r="I55" s="73"/>
      <c r="J55" s="54"/>
      <c r="K55" s="54"/>
      <c r="L55" s="621"/>
      <c r="M55" s="238"/>
      <c r="N55" s="73"/>
      <c r="O55" s="54"/>
      <c r="P55" s="54"/>
      <c r="Q55" s="621"/>
      <c r="R55" s="72"/>
      <c r="S55" s="72"/>
      <c r="T55" s="72"/>
      <c r="U55" s="72"/>
      <c r="W55" s="142">
        <v>56</v>
      </c>
      <c r="X55" s="143">
        <f t="shared" si="34"/>
        <v>0</v>
      </c>
      <c r="Y55" s="144">
        <f t="shared" si="22"/>
        <v>0</v>
      </c>
      <c r="Z55" s="144">
        <f t="shared" si="58"/>
        <v>0</v>
      </c>
      <c r="AA55" s="145">
        <f t="shared" si="59"/>
        <v>0</v>
      </c>
      <c r="AB55" s="143">
        <f t="shared" si="35"/>
        <v>0</v>
      </c>
      <c r="AC55" s="145">
        <f t="shared" si="36"/>
        <v>0</v>
      </c>
      <c r="AD55" s="151">
        <f t="shared" si="37"/>
        <v>0</v>
      </c>
      <c r="AE55" s="150">
        <f t="shared" si="24"/>
        <v>0</v>
      </c>
      <c r="AF55" s="150">
        <f t="shared" si="38"/>
        <v>0</v>
      </c>
      <c r="AG55" s="152">
        <f t="shared" si="39"/>
        <v>0</v>
      </c>
      <c r="AH55" s="135"/>
      <c r="AI55" s="142">
        <v>55</v>
      </c>
      <c r="AJ55" s="143">
        <f t="shared" si="40"/>
        <v>0</v>
      </c>
      <c r="AK55" s="144">
        <f t="shared" si="25"/>
        <v>0</v>
      </c>
      <c r="AL55" s="144">
        <f t="shared" si="60"/>
        <v>0</v>
      </c>
      <c r="AM55" s="145">
        <f t="shared" si="61"/>
        <v>0</v>
      </c>
      <c r="AN55" s="143">
        <f t="shared" si="41"/>
        <v>0</v>
      </c>
      <c r="AO55" s="145">
        <f t="shared" si="42"/>
        <v>0</v>
      </c>
      <c r="AP55" s="151">
        <f t="shared" si="43"/>
        <v>0</v>
      </c>
      <c r="AQ55" s="150">
        <f t="shared" si="27"/>
        <v>0</v>
      </c>
      <c r="AR55" s="150">
        <f t="shared" si="44"/>
        <v>0</v>
      </c>
      <c r="AS55" s="152">
        <f t="shared" si="45"/>
        <v>0</v>
      </c>
      <c r="AT55" s="135"/>
      <c r="AU55" s="142">
        <v>55</v>
      </c>
      <c r="AV55" s="143">
        <f t="shared" si="46"/>
        <v>649400</v>
      </c>
      <c r="AW55" s="144" t="e">
        <f t="shared" si="28"/>
        <v>#REF!</v>
      </c>
      <c r="AX55" s="144" t="e">
        <f t="shared" si="62"/>
        <v>#REF!</v>
      </c>
      <c r="AY55" s="145" t="e">
        <f t="shared" si="63"/>
        <v>#REF!</v>
      </c>
      <c r="AZ55" s="143">
        <f t="shared" si="47"/>
        <v>649400</v>
      </c>
      <c r="BA55" s="145">
        <f t="shared" si="48"/>
        <v>649400</v>
      </c>
      <c r="BB55" s="151">
        <f t="shared" si="49"/>
        <v>0.83308445041355927</v>
      </c>
      <c r="BC55" s="150">
        <f t="shared" si="30"/>
        <v>541005.04209856538</v>
      </c>
      <c r="BD55" s="150">
        <f t="shared" si="50"/>
        <v>29755277.315421097</v>
      </c>
      <c r="BE55" s="152">
        <f t="shared" si="51"/>
        <v>0.65999465604283847</v>
      </c>
    </row>
    <row r="56" spans="2:57" ht="16.5" customHeight="1">
      <c r="B56" s="620"/>
      <c r="C56" s="313"/>
      <c r="D56" s="79" t="s">
        <v>3318</v>
      </c>
      <c r="E56" s="661">
        <v>0.06</v>
      </c>
      <c r="F56" s="54"/>
      <c r="G56" s="621"/>
      <c r="H56" s="238"/>
      <c r="I56" s="73"/>
      <c r="J56" s="54"/>
      <c r="K56" s="54"/>
      <c r="L56" s="621"/>
      <c r="M56" s="238"/>
      <c r="N56" s="73"/>
      <c r="O56" s="54"/>
      <c r="P56" s="54"/>
      <c r="Q56" s="621"/>
      <c r="R56" s="72"/>
      <c r="S56" s="72"/>
      <c r="T56" s="72"/>
      <c r="U56" s="72"/>
      <c r="W56" s="142">
        <v>57</v>
      </c>
      <c r="X56" s="143">
        <f t="shared" si="34"/>
        <v>0</v>
      </c>
      <c r="Y56" s="144">
        <f t="shared" si="22"/>
        <v>0</v>
      </c>
      <c r="Z56" s="144">
        <f t="shared" si="58"/>
        <v>0</v>
      </c>
      <c r="AA56" s="145">
        <f t="shared" si="59"/>
        <v>0</v>
      </c>
      <c r="AB56" s="143">
        <f t="shared" si="35"/>
        <v>0</v>
      </c>
      <c r="AC56" s="145">
        <f t="shared" si="36"/>
        <v>0</v>
      </c>
      <c r="AD56" s="151">
        <f t="shared" si="37"/>
        <v>0</v>
      </c>
      <c r="AE56" s="150">
        <f t="shared" si="24"/>
        <v>0</v>
      </c>
      <c r="AF56" s="150">
        <f t="shared" si="38"/>
        <v>0</v>
      </c>
      <c r="AG56" s="152">
        <f t="shared" si="39"/>
        <v>0</v>
      </c>
      <c r="AH56" s="135"/>
      <c r="AI56" s="142">
        <v>56</v>
      </c>
      <c r="AJ56" s="143">
        <f t="shared" si="40"/>
        <v>0</v>
      </c>
      <c r="AK56" s="144">
        <f t="shared" si="25"/>
        <v>0</v>
      </c>
      <c r="AL56" s="144">
        <f t="shared" si="60"/>
        <v>0</v>
      </c>
      <c r="AM56" s="145">
        <f t="shared" si="61"/>
        <v>0</v>
      </c>
      <c r="AN56" s="143">
        <f t="shared" si="41"/>
        <v>0</v>
      </c>
      <c r="AO56" s="145">
        <f t="shared" si="42"/>
        <v>0</v>
      </c>
      <c r="AP56" s="151">
        <f t="shared" si="43"/>
        <v>0</v>
      </c>
      <c r="AQ56" s="150">
        <f t="shared" si="27"/>
        <v>0</v>
      </c>
      <c r="AR56" s="150">
        <f t="shared" si="44"/>
        <v>0</v>
      </c>
      <c r="AS56" s="152">
        <f t="shared" si="45"/>
        <v>0</v>
      </c>
      <c r="AT56" s="135"/>
      <c r="AU56" s="142">
        <v>56</v>
      </c>
      <c r="AV56" s="143">
        <f t="shared" si="46"/>
        <v>649400</v>
      </c>
      <c r="AW56" s="144" t="e">
        <f t="shared" si="28"/>
        <v>#REF!</v>
      </c>
      <c r="AX56" s="144" t="e">
        <f t="shared" si="62"/>
        <v>#REF!</v>
      </c>
      <c r="AY56" s="145" t="e">
        <f t="shared" si="63"/>
        <v>#REF!</v>
      </c>
      <c r="AZ56" s="143">
        <f t="shared" si="47"/>
        <v>649400</v>
      </c>
      <c r="BA56" s="145">
        <f t="shared" si="48"/>
        <v>649400</v>
      </c>
      <c r="BB56" s="151">
        <f t="shared" si="49"/>
        <v>0.83032289038190765</v>
      </c>
      <c r="BC56" s="150">
        <f t="shared" si="30"/>
        <v>539211.68501401087</v>
      </c>
      <c r="BD56" s="150">
        <f t="shared" si="50"/>
        <v>30195854.360784609</v>
      </c>
      <c r="BE56" s="152">
        <f t="shared" si="51"/>
        <v>0.66976698961690206</v>
      </c>
    </row>
    <row r="57" spans="2:57" ht="16.5" customHeight="1">
      <c r="B57" s="620"/>
      <c r="C57" s="313"/>
      <c r="D57" s="79" t="s">
        <v>3318</v>
      </c>
      <c r="E57" s="661">
        <v>6.2E-2</v>
      </c>
      <c r="F57" s="54"/>
      <c r="G57" s="621"/>
      <c r="H57" s="238"/>
      <c r="I57" s="73"/>
      <c r="J57" s="54"/>
      <c r="K57" s="54"/>
      <c r="L57" s="621"/>
      <c r="M57" s="238"/>
      <c r="N57" s="73"/>
      <c r="O57" s="54"/>
      <c r="P57" s="54"/>
      <c r="Q57" s="621"/>
      <c r="R57" s="72"/>
      <c r="S57" s="72"/>
      <c r="T57" s="72"/>
      <c r="U57" s="72"/>
      <c r="W57" s="142">
        <v>58</v>
      </c>
      <c r="X57" s="143">
        <f t="shared" si="34"/>
        <v>0</v>
      </c>
      <c r="Y57" s="144">
        <f t="shared" si="22"/>
        <v>0</v>
      </c>
      <c r="Z57" s="144">
        <f t="shared" si="58"/>
        <v>0</v>
      </c>
      <c r="AA57" s="145">
        <f t="shared" si="59"/>
        <v>0</v>
      </c>
      <c r="AB57" s="143">
        <f t="shared" si="35"/>
        <v>0</v>
      </c>
      <c r="AC57" s="145">
        <f t="shared" si="36"/>
        <v>0</v>
      </c>
      <c r="AD57" s="151">
        <f t="shared" si="37"/>
        <v>0</v>
      </c>
      <c r="AE57" s="150">
        <f t="shared" si="24"/>
        <v>0</v>
      </c>
      <c r="AF57" s="150">
        <f t="shared" si="38"/>
        <v>0</v>
      </c>
      <c r="AG57" s="152">
        <f t="shared" si="39"/>
        <v>0</v>
      </c>
      <c r="AH57" s="135"/>
      <c r="AI57" s="142">
        <v>57</v>
      </c>
      <c r="AJ57" s="143">
        <f t="shared" si="40"/>
        <v>0</v>
      </c>
      <c r="AK57" s="144">
        <f t="shared" si="25"/>
        <v>0</v>
      </c>
      <c r="AL57" s="144">
        <f t="shared" si="60"/>
        <v>0</v>
      </c>
      <c r="AM57" s="145">
        <f t="shared" si="61"/>
        <v>0</v>
      </c>
      <c r="AN57" s="143">
        <f t="shared" si="41"/>
        <v>0</v>
      </c>
      <c r="AO57" s="145">
        <f t="shared" si="42"/>
        <v>0</v>
      </c>
      <c r="AP57" s="151">
        <f t="shared" si="43"/>
        <v>0</v>
      </c>
      <c r="AQ57" s="150">
        <f t="shared" si="27"/>
        <v>0</v>
      </c>
      <c r="AR57" s="150">
        <f t="shared" si="44"/>
        <v>0</v>
      </c>
      <c r="AS57" s="152">
        <f t="shared" si="45"/>
        <v>0</v>
      </c>
      <c r="AT57" s="135"/>
      <c r="AU57" s="142">
        <v>57</v>
      </c>
      <c r="AV57" s="143">
        <f t="shared" si="46"/>
        <v>649400</v>
      </c>
      <c r="AW57" s="144" t="e">
        <f t="shared" si="28"/>
        <v>#REF!</v>
      </c>
      <c r="AX57" s="144" t="e">
        <f t="shared" si="62"/>
        <v>#REF!</v>
      </c>
      <c r="AY57" s="145" t="e">
        <f t="shared" si="63"/>
        <v>#REF!</v>
      </c>
      <c r="AZ57" s="143">
        <f t="shared" si="47"/>
        <v>649400</v>
      </c>
      <c r="BA57" s="145">
        <f t="shared" si="48"/>
        <v>649400</v>
      </c>
      <c r="BB57" s="151">
        <f t="shared" si="49"/>
        <v>0.82757048454081228</v>
      </c>
      <c r="BC57" s="150">
        <f t="shared" si="30"/>
        <v>537424.27266080352</v>
      </c>
      <c r="BD57" s="150">
        <f t="shared" si="50"/>
        <v>30633183.5416658</v>
      </c>
      <c r="BE57" s="152">
        <f t="shared" si="51"/>
        <v>0.6794672830893338</v>
      </c>
    </row>
    <row r="58" spans="2:57" ht="16.5" customHeight="1">
      <c r="B58" s="620"/>
      <c r="C58" s="313"/>
      <c r="D58" s="73"/>
      <c r="E58" s="54"/>
      <c r="F58" s="54"/>
      <c r="G58" s="621"/>
      <c r="H58" s="238"/>
      <c r="I58" s="73"/>
      <c r="J58" s="54"/>
      <c r="K58" s="54"/>
      <c r="L58" s="621"/>
      <c r="M58" s="238"/>
      <c r="N58" s="73"/>
      <c r="O58" s="54"/>
      <c r="P58" s="54"/>
      <c r="Q58" s="621"/>
      <c r="R58" s="72"/>
      <c r="S58" s="72"/>
      <c r="T58" s="72"/>
      <c r="U58" s="72"/>
      <c r="W58" s="142">
        <v>59</v>
      </c>
      <c r="X58" s="143">
        <f t="shared" si="34"/>
        <v>0</v>
      </c>
      <c r="Y58" s="144">
        <f t="shared" si="22"/>
        <v>0</v>
      </c>
      <c r="Z58" s="144">
        <f t="shared" si="58"/>
        <v>0</v>
      </c>
      <c r="AA58" s="145">
        <f t="shared" si="59"/>
        <v>0</v>
      </c>
      <c r="AB58" s="143">
        <f t="shared" si="35"/>
        <v>0</v>
      </c>
      <c r="AC58" s="145">
        <f t="shared" si="36"/>
        <v>0</v>
      </c>
      <c r="AD58" s="151">
        <f t="shared" si="37"/>
        <v>0</v>
      </c>
      <c r="AE58" s="150">
        <f t="shared" si="24"/>
        <v>0</v>
      </c>
      <c r="AF58" s="150">
        <f t="shared" si="38"/>
        <v>0</v>
      </c>
      <c r="AG58" s="152">
        <f t="shared" si="39"/>
        <v>0</v>
      </c>
      <c r="AH58" s="135"/>
      <c r="AI58" s="142">
        <v>58</v>
      </c>
      <c r="AJ58" s="143">
        <f t="shared" si="40"/>
        <v>0</v>
      </c>
      <c r="AK58" s="144">
        <f t="shared" si="25"/>
        <v>0</v>
      </c>
      <c r="AL58" s="144">
        <f t="shared" si="60"/>
        <v>0</v>
      </c>
      <c r="AM58" s="145">
        <f t="shared" si="61"/>
        <v>0</v>
      </c>
      <c r="AN58" s="143">
        <f t="shared" si="41"/>
        <v>0</v>
      </c>
      <c r="AO58" s="145">
        <f t="shared" si="42"/>
        <v>0</v>
      </c>
      <c r="AP58" s="151">
        <f t="shared" si="43"/>
        <v>0</v>
      </c>
      <c r="AQ58" s="150">
        <f t="shared" si="27"/>
        <v>0</v>
      </c>
      <c r="AR58" s="150">
        <f t="shared" si="44"/>
        <v>0</v>
      </c>
      <c r="AS58" s="152">
        <f t="shared" si="45"/>
        <v>0</v>
      </c>
      <c r="AT58" s="135"/>
      <c r="AU58" s="142">
        <v>58</v>
      </c>
      <c r="AV58" s="143">
        <f t="shared" si="46"/>
        <v>649400</v>
      </c>
      <c r="AW58" s="144" t="e">
        <f t="shared" si="28"/>
        <v>#REF!</v>
      </c>
      <c r="AX58" s="144" t="e">
        <f t="shared" si="62"/>
        <v>#REF!</v>
      </c>
      <c r="AY58" s="145" t="e">
        <f t="shared" si="63"/>
        <v>#REF!</v>
      </c>
      <c r="AZ58" s="143">
        <f t="shared" si="47"/>
        <v>649400</v>
      </c>
      <c r="BA58" s="145">
        <f t="shared" si="48"/>
        <v>649400</v>
      </c>
      <c r="BB58" s="151">
        <f t="shared" si="49"/>
        <v>0.8248272025453941</v>
      </c>
      <c r="BC58" s="150">
        <f t="shared" si="30"/>
        <v>535642.78533297894</v>
      </c>
      <c r="BD58" s="150">
        <f t="shared" si="50"/>
        <v>31067281.549312778</v>
      </c>
      <c r="BE58" s="152">
        <f t="shared" si="51"/>
        <v>0.68909590668469733</v>
      </c>
    </row>
    <row r="59" spans="2:57" ht="16.5" customHeight="1">
      <c r="B59" s="620"/>
      <c r="C59" s="313"/>
      <c r="D59" s="73"/>
      <c r="E59" s="54"/>
      <c r="F59" s="54"/>
      <c r="G59" s="621"/>
      <c r="H59" s="238"/>
      <c r="I59" s="73"/>
      <c r="J59" s="54"/>
      <c r="K59" s="54"/>
      <c r="L59" s="621"/>
      <c r="M59" s="238"/>
      <c r="N59" s="73"/>
      <c r="O59" s="54"/>
      <c r="P59" s="54"/>
      <c r="Q59" s="621"/>
      <c r="R59" s="72"/>
      <c r="S59" s="72"/>
      <c r="T59" s="72"/>
      <c r="U59" s="72"/>
      <c r="W59" s="146">
        <v>60</v>
      </c>
      <c r="X59" s="147">
        <f t="shared" si="34"/>
        <v>0</v>
      </c>
      <c r="Y59" s="148">
        <f t="shared" si="22"/>
        <v>0</v>
      </c>
      <c r="Z59" s="148">
        <f t="shared" si="58"/>
        <v>0</v>
      </c>
      <c r="AA59" s="149">
        <f t="shared" si="59"/>
        <v>0</v>
      </c>
      <c r="AB59" s="147">
        <f t="shared" si="35"/>
        <v>0</v>
      </c>
      <c r="AC59" s="149">
        <f t="shared" si="36"/>
        <v>0</v>
      </c>
      <c r="AD59" s="615">
        <f t="shared" si="37"/>
        <v>0</v>
      </c>
      <c r="AE59" s="616">
        <f t="shared" si="24"/>
        <v>0</v>
      </c>
      <c r="AF59" s="616">
        <f t="shared" si="38"/>
        <v>0</v>
      </c>
      <c r="AG59" s="617">
        <f t="shared" si="39"/>
        <v>0</v>
      </c>
      <c r="AH59" s="135"/>
      <c r="AI59" s="142">
        <v>59</v>
      </c>
      <c r="AJ59" s="143">
        <f t="shared" si="40"/>
        <v>0</v>
      </c>
      <c r="AK59" s="144">
        <f t="shared" si="25"/>
        <v>0</v>
      </c>
      <c r="AL59" s="144">
        <f t="shared" si="60"/>
        <v>0</v>
      </c>
      <c r="AM59" s="145">
        <f t="shared" si="61"/>
        <v>0</v>
      </c>
      <c r="AN59" s="143">
        <f t="shared" si="41"/>
        <v>0</v>
      </c>
      <c r="AO59" s="145">
        <f t="shared" si="42"/>
        <v>0</v>
      </c>
      <c r="AP59" s="151">
        <f t="shared" si="43"/>
        <v>0</v>
      </c>
      <c r="AQ59" s="150">
        <f t="shared" si="27"/>
        <v>0</v>
      </c>
      <c r="AR59" s="150">
        <f t="shared" si="44"/>
        <v>0</v>
      </c>
      <c r="AS59" s="152">
        <f t="shared" si="45"/>
        <v>0</v>
      </c>
      <c r="AT59" s="135"/>
      <c r="AU59" s="142">
        <v>59</v>
      </c>
      <c r="AV59" s="143">
        <f t="shared" si="46"/>
        <v>649400</v>
      </c>
      <c r="AW59" s="144" t="e">
        <f t="shared" si="28"/>
        <v>#REF!</v>
      </c>
      <c r="AX59" s="144" t="e">
        <f t="shared" si="62"/>
        <v>#REF!</v>
      </c>
      <c r="AY59" s="145" t="e">
        <f t="shared" si="63"/>
        <v>#REF!</v>
      </c>
      <c r="AZ59" s="143">
        <f t="shared" si="47"/>
        <v>649400</v>
      </c>
      <c r="BA59" s="145">
        <f t="shared" si="48"/>
        <v>649400</v>
      </c>
      <c r="BB59" s="151">
        <f t="shared" si="49"/>
        <v>0.82209301415136316</v>
      </c>
      <c r="BC59" s="150">
        <f t="shared" si="30"/>
        <v>533867.20338989526</v>
      </c>
      <c r="BD59" s="150">
        <f t="shared" si="50"/>
        <v>31498165.000003822</v>
      </c>
      <c r="BE59" s="152">
        <f t="shared" si="51"/>
        <v>0.6986532289646683</v>
      </c>
    </row>
    <row r="60" spans="2:57" ht="16.5" customHeight="1">
      <c r="B60" s="620"/>
      <c r="C60" s="313"/>
      <c r="D60" s="73"/>
      <c r="E60" s="54"/>
      <c r="F60" s="54"/>
      <c r="G60" s="621"/>
      <c r="H60" s="238"/>
      <c r="I60" s="73"/>
      <c r="J60" s="54"/>
      <c r="K60" s="54"/>
      <c r="L60" s="621"/>
      <c r="M60" s="238"/>
      <c r="N60" s="73"/>
      <c r="O60" s="54"/>
      <c r="P60" s="54"/>
      <c r="Q60" s="621"/>
      <c r="R60" s="72"/>
      <c r="S60" s="72"/>
      <c r="T60" s="72"/>
      <c r="U60" s="72"/>
      <c r="AH60" s="135"/>
      <c r="AI60" s="146">
        <v>60</v>
      </c>
      <c r="AJ60" s="147">
        <f t="shared" si="40"/>
        <v>0</v>
      </c>
      <c r="AK60" s="148">
        <f t="shared" si="25"/>
        <v>0</v>
      </c>
      <c r="AL60" s="148">
        <f t="shared" si="60"/>
        <v>0</v>
      </c>
      <c r="AM60" s="149">
        <f t="shared" si="61"/>
        <v>0</v>
      </c>
      <c r="AN60" s="147">
        <f t="shared" si="41"/>
        <v>0</v>
      </c>
      <c r="AO60" s="149">
        <f t="shared" si="42"/>
        <v>0</v>
      </c>
      <c r="AP60" s="615">
        <f t="shared" si="43"/>
        <v>0</v>
      </c>
      <c r="AQ60" s="616">
        <f t="shared" si="27"/>
        <v>0</v>
      </c>
      <c r="AR60" s="616">
        <f t="shared" si="44"/>
        <v>0</v>
      </c>
      <c r="AS60" s="617">
        <f t="shared" si="45"/>
        <v>0</v>
      </c>
      <c r="AT60" s="135"/>
      <c r="AU60" s="146">
        <v>60</v>
      </c>
      <c r="AV60" s="147">
        <f t="shared" si="46"/>
        <v>649400</v>
      </c>
      <c r="AW60" s="148" t="e">
        <f t="shared" si="28"/>
        <v>#REF!</v>
      </c>
      <c r="AX60" s="148" t="e">
        <f t="shared" si="62"/>
        <v>#REF!</v>
      </c>
      <c r="AY60" s="149" t="e">
        <f t="shared" si="63"/>
        <v>#REF!</v>
      </c>
      <c r="AZ60" s="147">
        <f t="shared" si="47"/>
        <v>16029173</v>
      </c>
      <c r="BA60" s="149">
        <f t="shared" si="48"/>
        <v>16029173</v>
      </c>
      <c r="BB60" s="615">
        <f t="shared" si="49"/>
        <v>0.81936788921468551</v>
      </c>
      <c r="BC60" s="616">
        <f t="shared" si="30"/>
        <v>13133789.646867028</v>
      </c>
      <c r="BD60" s="616">
        <f t="shared" si="50"/>
        <v>788027378.81202161</v>
      </c>
      <c r="BE60" s="617">
        <f t="shared" si="51"/>
        <v>17.479045929168127</v>
      </c>
    </row>
    <row r="61" spans="2:57" ht="16.5" customHeight="1">
      <c r="B61" s="620"/>
      <c r="C61" s="313"/>
      <c r="D61" s="73"/>
      <c r="E61" s="54"/>
      <c r="F61" s="54"/>
      <c r="G61" s="621"/>
      <c r="H61" s="238"/>
      <c r="I61" s="73"/>
      <c r="J61" s="54"/>
      <c r="K61" s="54"/>
      <c r="L61" s="621"/>
      <c r="M61" s="238"/>
      <c r="N61" s="73"/>
      <c r="O61" s="54"/>
      <c r="P61" s="54"/>
      <c r="Q61" s="621"/>
      <c r="R61" s="72"/>
      <c r="S61" s="72"/>
      <c r="T61" s="72"/>
      <c r="U61" s="72"/>
      <c r="AH61" s="135"/>
      <c r="AT61" s="135"/>
    </row>
    <row r="62" spans="2:57" ht="16.5" customHeight="1">
      <c r="B62" s="620"/>
      <c r="C62" s="313"/>
      <c r="D62" s="73"/>
      <c r="E62" s="54"/>
      <c r="F62" s="54"/>
      <c r="G62" s="621"/>
      <c r="H62" s="238"/>
      <c r="I62" s="73"/>
      <c r="J62" s="54"/>
      <c r="K62" s="54"/>
      <c r="L62" s="621"/>
      <c r="M62" s="238"/>
      <c r="N62" s="73"/>
      <c r="O62" s="54"/>
      <c r="P62" s="54"/>
      <c r="Q62" s="621"/>
      <c r="R62" s="72"/>
      <c r="S62" s="72"/>
      <c r="T62" s="72"/>
      <c r="U62" s="72"/>
      <c r="AH62" s="135"/>
      <c r="AT62" s="135"/>
    </row>
    <row r="63" spans="2:57" ht="16.5" customHeight="1">
      <c r="B63" s="620"/>
      <c r="C63" s="313"/>
      <c r="D63" s="73"/>
      <c r="E63" s="54"/>
      <c r="F63" s="54"/>
      <c r="G63" s="621"/>
      <c r="H63" s="238"/>
      <c r="I63" s="73"/>
      <c r="J63" s="54"/>
      <c r="K63" s="54"/>
      <c r="L63" s="621"/>
      <c r="M63" s="238"/>
      <c r="N63" s="73"/>
      <c r="O63" s="54"/>
      <c r="P63" s="54"/>
      <c r="Q63" s="621"/>
      <c r="R63" s="72"/>
      <c r="S63" s="72"/>
      <c r="T63" s="72"/>
      <c r="U63" s="72"/>
      <c r="AH63" s="135"/>
      <c r="AT63" s="135"/>
    </row>
    <row r="64" spans="2:57" ht="16.5" customHeight="1">
      <c r="B64" s="620"/>
      <c r="C64" s="313"/>
      <c r="D64" s="73"/>
      <c r="E64" s="54"/>
      <c r="F64" s="54"/>
      <c r="G64" s="621"/>
      <c r="H64" s="238"/>
      <c r="I64" s="73"/>
      <c r="J64" s="54"/>
      <c r="K64" s="54"/>
      <c r="L64" s="621"/>
      <c r="M64" s="238"/>
      <c r="N64" s="73"/>
      <c r="O64" s="54"/>
      <c r="P64" s="54"/>
      <c r="Q64" s="621"/>
      <c r="R64" s="72"/>
      <c r="S64" s="72"/>
      <c r="T64" s="72"/>
      <c r="U64" s="72"/>
      <c r="AH64" s="135"/>
      <c r="AT64" s="135"/>
    </row>
    <row r="65" spans="2:46" ht="16.5" customHeight="1">
      <c r="B65" s="620"/>
      <c r="C65" s="313"/>
      <c r="D65" s="73"/>
      <c r="E65" s="54"/>
      <c r="F65" s="54"/>
      <c r="G65" s="621"/>
      <c r="H65" s="238"/>
      <c r="I65" s="73"/>
      <c r="J65" s="54"/>
      <c r="K65" s="54"/>
      <c r="L65" s="621"/>
      <c r="M65" s="238"/>
      <c r="N65" s="73"/>
      <c r="O65" s="54"/>
      <c r="P65" s="54"/>
      <c r="Q65" s="621"/>
      <c r="R65" s="72"/>
      <c r="S65" s="72"/>
      <c r="T65" s="72"/>
      <c r="U65" s="72"/>
      <c r="AH65" s="135"/>
      <c r="AT65" s="135"/>
    </row>
    <row r="66" spans="2:46" ht="16.5" customHeight="1">
      <c r="B66" s="312"/>
      <c r="C66" s="313"/>
      <c r="D66" s="73"/>
      <c r="E66" s="54"/>
      <c r="F66" s="54"/>
      <c r="G66" s="621"/>
      <c r="H66" s="238"/>
      <c r="I66" s="73"/>
      <c r="J66" s="54"/>
      <c r="K66" s="54"/>
      <c r="L66" s="621"/>
      <c r="M66" s="238"/>
      <c r="N66" s="73"/>
      <c r="O66" s="54"/>
      <c r="P66" s="54"/>
      <c r="Q66" s="621"/>
      <c r="R66" s="72"/>
      <c r="S66" s="72"/>
      <c r="T66" s="72"/>
      <c r="U66" s="72"/>
      <c r="AH66" s="135"/>
      <c r="AT66" s="135"/>
    </row>
    <row r="67" spans="2:46" ht="16.5" customHeight="1">
      <c r="C67" s="313"/>
      <c r="D67" s="73"/>
      <c r="E67" s="54"/>
      <c r="F67" s="54"/>
      <c r="G67" s="361"/>
      <c r="I67" s="73"/>
      <c r="J67" s="54"/>
      <c r="K67" s="54"/>
      <c r="L67" s="72"/>
      <c r="N67" s="73"/>
      <c r="O67" s="54"/>
      <c r="P67" s="54"/>
      <c r="Q67" s="72"/>
      <c r="AH67" s="135"/>
      <c r="AT67" s="135"/>
    </row>
    <row r="68" spans="2:46">
      <c r="AH68" s="135"/>
      <c r="AT68" s="135"/>
    </row>
    <row r="69" spans="2:46">
      <c r="AH69" s="135"/>
      <c r="AT69" s="135"/>
    </row>
    <row r="70" spans="2:46">
      <c r="AH70" s="135"/>
      <c r="AT70" s="135"/>
    </row>
    <row r="71" spans="2:46">
      <c r="AH71" s="135"/>
      <c r="AT71" s="135"/>
    </row>
    <row r="72" spans="2:46">
      <c r="AH72" s="135"/>
      <c r="AT72" s="135"/>
    </row>
    <row r="73" spans="2:46">
      <c r="AH73" s="135"/>
      <c r="AT73" s="135"/>
    </row>
    <row r="74" spans="2:46">
      <c r="AH74" s="135"/>
      <c r="AT74" s="135"/>
    </row>
    <row r="75" spans="2:46">
      <c r="AH75" s="135"/>
      <c r="AT75" s="135"/>
    </row>
    <row r="76" spans="2:46">
      <c r="AH76" s="135"/>
      <c r="AT76" s="135"/>
    </row>
    <row r="77" spans="2:46">
      <c r="AH77" s="135"/>
      <c r="AT77" s="135"/>
    </row>
    <row r="78" spans="2:46">
      <c r="AH78" s="135"/>
      <c r="AT78" s="135"/>
    </row>
    <row r="79" spans="2:46">
      <c r="AH79" s="135"/>
      <c r="AT79" s="135"/>
    </row>
    <row r="80" spans="2:46">
      <c r="AH80" s="135"/>
      <c r="AT80" s="135"/>
    </row>
    <row r="81" spans="34:46">
      <c r="AH81" s="135"/>
      <c r="AT81" s="135"/>
    </row>
    <row r="82" spans="34:46">
      <c r="AH82" s="135"/>
      <c r="AT82" s="135"/>
    </row>
    <row r="83" spans="34:46">
      <c r="AH83" s="135"/>
      <c r="AT83" s="135"/>
    </row>
    <row r="84" spans="34:46">
      <c r="AH84" s="135"/>
      <c r="AT84" s="135"/>
    </row>
    <row r="85" spans="34:46">
      <c r="AH85" s="135"/>
      <c r="AT85" s="135"/>
    </row>
    <row r="86" spans="34:46">
      <c r="AH86" s="135"/>
      <c r="AT86" s="135"/>
    </row>
    <row r="87" spans="34:46"/>
    <row r="88" spans="34:46"/>
    <row r="89" spans="34:46"/>
    <row r="90" spans="34:46"/>
    <row r="91" spans="34:46"/>
  </sheetData>
  <mergeCells count="21">
    <mergeCell ref="B3:B9"/>
    <mergeCell ref="B10:B21"/>
    <mergeCell ref="B37:B43"/>
    <mergeCell ref="D48:D49"/>
    <mergeCell ref="D50:D51"/>
    <mergeCell ref="E48:E49"/>
    <mergeCell ref="F48:F49"/>
    <mergeCell ref="F50:F51"/>
    <mergeCell ref="E50:E51"/>
    <mergeCell ref="I48:I49"/>
    <mergeCell ref="I50:I51"/>
    <mergeCell ref="O48:O49"/>
    <mergeCell ref="O50:O51"/>
    <mergeCell ref="P50:P51"/>
    <mergeCell ref="P48:P49"/>
    <mergeCell ref="J48:J49"/>
    <mergeCell ref="J50:J51"/>
    <mergeCell ref="K48:K49"/>
    <mergeCell ref="K50:K51"/>
    <mergeCell ref="N48:N49"/>
    <mergeCell ref="N50:N51"/>
  </mergeCells>
  <phoneticPr fontId="1" type="noConversion"/>
  <conditionalFormatting sqref="B2:G19 O3:R3 N4:R4 O14:R14 S14:S16 N15:R16 I15:L20 N17:S19 B20:B22 N20:Q22 C20:G23 R20:S24 I21:I22 N24:Q25 P27:Q30 B28:B37 C29:C31 I31:L47 N31:Q47 C33 C34:G48 B44:B66 K48:L48 Q48:Q51 C49 G49 L49 C50:G50 C51 G51 L51 C52:G67">
    <cfRule type="containsText" dxfId="18" priority="107" operator="containsText" text="Error">
      <formula>NOT(ISERROR(SEARCH("Error",B2)))</formula>
    </cfRule>
  </conditionalFormatting>
  <conditionalFormatting sqref="H2:J2">
    <cfRule type="containsText" dxfId="17" priority="2" operator="containsText" text="Error">
      <formula>NOT(ISERROR(SEARCH("Error",H2)))</formula>
    </cfRule>
  </conditionalFormatting>
  <conditionalFormatting sqref="H4:J4">
    <cfRule type="containsText" dxfId="16" priority="1" operator="containsText" text="Error">
      <formula>NOT(ISERROR(SEARCH("Error",H4)))</formula>
    </cfRule>
  </conditionalFormatting>
  <conditionalFormatting sqref="I48 I50:L50 I52:L67">
    <cfRule type="containsText" dxfId="15" priority="7" operator="containsText" text="Error">
      <formula>NOT(ISERROR(SEARCH("Error",I48)))</formula>
    </cfRule>
  </conditionalFormatting>
  <conditionalFormatting sqref="K2:K8 K10">
    <cfRule type="containsText" dxfId="14" priority="48" operator="containsText" text="Error">
      <formula>NOT(ISERROR(SEARCH("Error",K2)))</formula>
    </cfRule>
  </conditionalFormatting>
  <conditionalFormatting sqref="L5">
    <cfRule type="containsText" dxfId="13" priority="44" operator="containsText" text="Error">
      <formula>NOT(ISERROR(SEARCH("Error",L5)))</formula>
    </cfRule>
  </conditionalFormatting>
  <conditionalFormatting sqref="L7">
    <cfRule type="containsText" dxfId="12" priority="23" operator="containsText" text="Error">
      <formula>NOT(ISERROR(SEARCH("Error",L7)))</formula>
    </cfRule>
  </conditionalFormatting>
  <conditionalFormatting sqref="L9">
    <cfRule type="containsText" dxfId="11" priority="22" operator="containsText" text="Error">
      <formula>NOT(ISERROR(SEARCH("Error",L9)))</formula>
    </cfRule>
  </conditionalFormatting>
  <conditionalFormatting sqref="L11">
    <cfRule type="containsText" dxfId="10" priority="21" operator="containsText" text="Error">
      <formula>NOT(ISERROR(SEARCH("Error",L11)))</formula>
    </cfRule>
  </conditionalFormatting>
  <conditionalFormatting sqref="L13:L14">
    <cfRule type="containsText" dxfId="9" priority="20" operator="containsText" text="Error">
      <formula>NOT(ISERROR(SEARCH("Error",L13)))</formula>
    </cfRule>
  </conditionalFormatting>
  <conditionalFormatting sqref="L23">
    <cfRule type="containsText" dxfId="8" priority="4" operator="containsText" text="Error">
      <formula>NOT(ISERROR(SEARCH("Error",L23)))</formula>
    </cfRule>
  </conditionalFormatting>
  <conditionalFormatting sqref="L1:M1 L3 N6 K22:L22 I23:J23 N23:O23 D24:G25 I24:L25 K27:L30 F27:G33 I28:J30 N28:O30 D28:E33">
    <cfRule type="containsText" dxfId="7" priority="119" operator="containsText" text="Error">
      <formula>NOT(ISERROR(SEARCH("Error",D1)))</formula>
    </cfRule>
  </conditionalFormatting>
  <conditionalFormatting sqref="N48">
    <cfRule type="containsText" dxfId="6" priority="6" operator="containsText" text="Error">
      <formula>NOT(ISERROR(SEARCH("Error",N48)))</formula>
    </cfRule>
  </conditionalFormatting>
  <conditionalFormatting sqref="N50:O50 N52:Q67">
    <cfRule type="containsText" dxfId="5" priority="5" operator="containsText" text="Error">
      <formula>NOT(ISERROR(SEARCH("Error",N50)))</formula>
    </cfRule>
  </conditionalFormatting>
  <conditionalFormatting sqref="N9:S9">
    <cfRule type="top10" dxfId="4" priority="132" rank="1"/>
  </conditionalFormatting>
  <conditionalFormatting sqref="N13:S13">
    <cfRule type="top10" dxfId="3" priority="136" rank="1"/>
  </conditionalFormatting>
  <conditionalFormatting sqref="N5:U5">
    <cfRule type="top10" dxfId="2" priority="134" rank="1"/>
  </conditionalFormatting>
  <conditionalFormatting sqref="O1:U1 S3:U4 I5:J9 O6:U8 H6:H9 H10:J13 I14:J14 T14:U24 R26:U66">
    <cfRule type="containsText" dxfId="1" priority="59" operator="containsText" text="Error">
      <formula>NOT(ISERROR(SEARCH("Error",H1)))</formula>
    </cfRule>
  </conditionalFormatting>
  <conditionalFormatting sqref="Q23">
    <cfRule type="containsText" dxfId="0" priority="3" operator="containsText" text="Error">
      <formula>NOT(ISERROR(SEARCH("Error",Q23)))</formula>
    </cfRule>
  </conditionalFormatting>
  <pageMargins left="0.7" right="0.7" top="0.75" bottom="0.75" header="0.3" footer="0.3"/>
  <pageSetup paperSize="9" scale="1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1"/>
  </sheetPr>
  <dimension ref="A1"/>
  <sheetViews>
    <sheetView workbookViewId="0">
      <selection activeCell="BV28" sqref="BV28:BY28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AA193"/>
  <sheetViews>
    <sheetView topLeftCell="A177" zoomScale="90" zoomScaleNormal="90" workbookViewId="0">
      <selection activeCell="F193" sqref="F193"/>
    </sheetView>
  </sheetViews>
  <sheetFormatPr defaultColWidth="9" defaultRowHeight="13.5"/>
  <cols>
    <col min="1" max="7" width="9" style="33"/>
    <col min="8" max="8" width="15.375" style="33" bestFit="1" customWidth="1"/>
    <col min="9" max="9" width="8.625" style="182" customWidth="1"/>
    <col min="10" max="12" width="8.625" style="33" customWidth="1"/>
    <col min="13" max="16384" width="9" style="33"/>
  </cols>
  <sheetData>
    <row r="1" spans="1:27" ht="16.5" customHeight="1">
      <c r="A1" s="493" t="s">
        <v>1700</v>
      </c>
      <c r="B1" s="336">
        <v>1</v>
      </c>
      <c r="C1" s="336">
        <v>12</v>
      </c>
      <c r="D1" s="336">
        <v>24</v>
      </c>
      <c r="E1" s="336">
        <v>36</v>
      </c>
      <c r="F1" s="336">
        <v>48</v>
      </c>
      <c r="G1" s="336">
        <v>60</v>
      </c>
      <c r="H1" s="493" t="s">
        <v>2574</v>
      </c>
      <c r="I1" s="222" t="s">
        <v>2347</v>
      </c>
      <c r="J1" s="222" t="s">
        <v>2348</v>
      </c>
      <c r="K1" s="222" t="s">
        <v>2349</v>
      </c>
      <c r="L1" s="1582" t="s">
        <v>2953</v>
      </c>
    </row>
    <row r="2" spans="1:27" ht="16.5" customHeight="1">
      <c r="A2" s="337" t="s">
        <v>1666</v>
      </c>
      <c r="B2" s="338">
        <v>89</v>
      </c>
      <c r="C2" s="338">
        <v>72.5</v>
      </c>
      <c r="D2" s="338">
        <v>64</v>
      </c>
      <c r="E2" s="338">
        <v>57</v>
      </c>
      <c r="F2" s="338">
        <v>50</v>
      </c>
      <c r="G2" s="338">
        <v>41</v>
      </c>
      <c r="H2" s="337" t="s">
        <v>1666</v>
      </c>
      <c r="I2" s="342">
        <f>+(E2+4)/100</f>
        <v>0.61</v>
      </c>
      <c r="J2" s="342">
        <f t="shared" ref="J2:J37" si="0">+(F2+4)/100</f>
        <v>0.54</v>
      </c>
      <c r="K2" s="342">
        <f t="shared" ref="K2:K37" si="1">+(G2+4)/100</f>
        <v>0.45</v>
      </c>
      <c r="L2" s="1582"/>
      <c r="N2" s="496"/>
      <c r="O2" s="496"/>
      <c r="P2" s="32"/>
      <c r="Q2" s="214"/>
      <c r="R2" s="216"/>
      <c r="S2" s="216"/>
      <c r="T2" s="216"/>
      <c r="U2" s="214"/>
      <c r="V2" s="214"/>
      <c r="W2" s="216"/>
      <c r="X2" s="216"/>
      <c r="Y2" s="216"/>
      <c r="Z2" s="216"/>
      <c r="AA2" s="216"/>
    </row>
    <row r="3" spans="1:27" ht="16.5" customHeight="1">
      <c r="A3" s="339" t="s">
        <v>1667</v>
      </c>
      <c r="B3" s="340">
        <v>87</v>
      </c>
      <c r="C3" s="340">
        <v>70.5</v>
      </c>
      <c r="D3" s="340">
        <v>62</v>
      </c>
      <c r="E3" s="340">
        <v>55</v>
      </c>
      <c r="F3" s="340">
        <v>48</v>
      </c>
      <c r="G3" s="340">
        <v>39</v>
      </c>
      <c r="H3" s="339" t="s">
        <v>1667</v>
      </c>
      <c r="I3" s="342">
        <f t="shared" ref="I3:I37" si="2">+(E3+4)/100</f>
        <v>0.59</v>
      </c>
      <c r="J3" s="342">
        <f t="shared" si="0"/>
        <v>0.52</v>
      </c>
      <c r="K3" s="342">
        <f t="shared" si="1"/>
        <v>0.43</v>
      </c>
      <c r="L3" s="1582"/>
      <c r="N3" s="496"/>
      <c r="O3" s="496"/>
      <c r="P3" s="496"/>
      <c r="Q3" s="214"/>
      <c r="R3" s="216"/>
      <c r="S3" s="216"/>
      <c r="T3" s="216"/>
      <c r="V3" s="214"/>
      <c r="W3" s="216"/>
      <c r="X3" s="216"/>
      <c r="Y3" s="216"/>
      <c r="Z3" s="216"/>
      <c r="AA3" s="216"/>
    </row>
    <row r="4" spans="1:27" ht="16.5" customHeight="1">
      <c r="A4" s="339" t="s">
        <v>1668</v>
      </c>
      <c r="B4" s="340">
        <v>85</v>
      </c>
      <c r="C4" s="340">
        <v>68.5</v>
      </c>
      <c r="D4" s="340">
        <v>60</v>
      </c>
      <c r="E4" s="340">
        <v>53</v>
      </c>
      <c r="F4" s="340">
        <v>46</v>
      </c>
      <c r="G4" s="340">
        <v>37</v>
      </c>
      <c r="H4" s="339" t="s">
        <v>1668</v>
      </c>
      <c r="I4" s="342">
        <f t="shared" si="2"/>
        <v>0.56999999999999995</v>
      </c>
      <c r="J4" s="342">
        <f t="shared" si="0"/>
        <v>0.5</v>
      </c>
      <c r="K4" s="342">
        <f t="shared" si="1"/>
        <v>0.41</v>
      </c>
      <c r="L4" s="1582"/>
      <c r="N4" s="496"/>
      <c r="O4" s="496"/>
      <c r="P4" s="496"/>
      <c r="Q4" s="214"/>
      <c r="R4" s="216"/>
      <c r="S4" s="216"/>
      <c r="T4" s="216"/>
      <c r="V4" s="214"/>
      <c r="W4" s="216"/>
      <c r="X4" s="216"/>
      <c r="Y4" s="216"/>
      <c r="Z4" s="216"/>
      <c r="AA4" s="216"/>
    </row>
    <row r="5" spans="1:27" ht="16.5" customHeight="1">
      <c r="A5" s="339" t="s">
        <v>1669</v>
      </c>
      <c r="B5" s="340">
        <v>82</v>
      </c>
      <c r="C5" s="340">
        <v>65.5</v>
      </c>
      <c r="D5" s="340">
        <v>57</v>
      </c>
      <c r="E5" s="340">
        <v>50</v>
      </c>
      <c r="F5" s="340">
        <v>43</v>
      </c>
      <c r="G5" s="340">
        <v>35</v>
      </c>
      <c r="H5" s="339" t="s">
        <v>1669</v>
      </c>
      <c r="I5" s="342">
        <f t="shared" si="2"/>
        <v>0.54</v>
      </c>
      <c r="J5" s="342">
        <f t="shared" si="0"/>
        <v>0.47</v>
      </c>
      <c r="K5" s="342">
        <f t="shared" si="1"/>
        <v>0.39</v>
      </c>
      <c r="L5" s="1582"/>
      <c r="N5" s="496"/>
      <c r="O5" s="496"/>
      <c r="P5" s="496"/>
      <c r="Q5" s="214"/>
      <c r="R5" s="216"/>
      <c r="S5" s="216"/>
      <c r="T5" s="216"/>
      <c r="V5" s="214"/>
      <c r="W5" s="216"/>
      <c r="X5" s="216"/>
      <c r="Y5" s="216"/>
      <c r="Z5" s="216"/>
      <c r="AA5" s="216"/>
    </row>
    <row r="6" spans="1:27" ht="16.5" customHeight="1">
      <c r="A6" s="339" t="s">
        <v>1670</v>
      </c>
      <c r="B6" s="340">
        <v>79</v>
      </c>
      <c r="C6" s="340">
        <v>62.5</v>
      </c>
      <c r="D6" s="340">
        <v>54</v>
      </c>
      <c r="E6" s="340">
        <v>47</v>
      </c>
      <c r="F6" s="340">
        <v>40</v>
      </c>
      <c r="G6" s="340">
        <v>32</v>
      </c>
      <c r="H6" s="339" t="s">
        <v>1670</v>
      </c>
      <c r="I6" s="342">
        <f t="shared" si="2"/>
        <v>0.51</v>
      </c>
      <c r="J6" s="342">
        <f t="shared" si="0"/>
        <v>0.44</v>
      </c>
      <c r="K6" s="342">
        <f t="shared" si="1"/>
        <v>0.36</v>
      </c>
      <c r="L6" s="1582"/>
      <c r="N6" s="496"/>
      <c r="O6" s="496"/>
      <c r="P6" s="496"/>
      <c r="Q6" s="214"/>
      <c r="R6" s="216"/>
      <c r="S6" s="216"/>
      <c r="T6" s="216"/>
      <c r="V6" s="214"/>
      <c r="W6" s="216"/>
      <c r="X6" s="216"/>
      <c r="Y6" s="216"/>
      <c r="Z6" s="216"/>
      <c r="AA6" s="216"/>
    </row>
    <row r="7" spans="1:27" ht="16.5" customHeight="1">
      <c r="A7" s="339" t="s">
        <v>1671</v>
      </c>
      <c r="B7" s="340">
        <v>77</v>
      </c>
      <c r="C7" s="340">
        <v>60.5</v>
      </c>
      <c r="D7" s="340">
        <v>52</v>
      </c>
      <c r="E7" s="340">
        <v>45</v>
      </c>
      <c r="F7" s="340">
        <v>38</v>
      </c>
      <c r="G7" s="340">
        <v>29</v>
      </c>
      <c r="H7" s="339" t="s">
        <v>1671</v>
      </c>
      <c r="I7" s="342">
        <f t="shared" si="2"/>
        <v>0.49</v>
      </c>
      <c r="J7" s="342">
        <f t="shared" si="0"/>
        <v>0.42</v>
      </c>
      <c r="K7" s="342">
        <f t="shared" si="1"/>
        <v>0.33</v>
      </c>
      <c r="L7" s="1582"/>
      <c r="N7" s="496"/>
      <c r="O7" s="496"/>
      <c r="P7" s="496"/>
      <c r="Q7" s="214"/>
      <c r="R7" s="216"/>
      <c r="S7" s="216"/>
      <c r="T7" s="216"/>
      <c r="V7" s="214"/>
      <c r="W7" s="216"/>
      <c r="X7" s="216"/>
      <c r="Y7" s="216"/>
      <c r="Z7" s="216"/>
      <c r="AA7" s="216"/>
    </row>
    <row r="8" spans="1:27" ht="16.5" customHeight="1">
      <c r="A8" s="339" t="s">
        <v>1672</v>
      </c>
      <c r="B8" s="340">
        <v>74</v>
      </c>
      <c r="C8" s="340">
        <v>57.5</v>
      </c>
      <c r="D8" s="340">
        <v>49</v>
      </c>
      <c r="E8" s="340">
        <v>42</v>
      </c>
      <c r="F8" s="340">
        <v>34</v>
      </c>
      <c r="G8" s="340">
        <v>26</v>
      </c>
      <c r="H8" s="339" t="s">
        <v>1672</v>
      </c>
      <c r="I8" s="342">
        <f t="shared" si="2"/>
        <v>0.46</v>
      </c>
      <c r="J8" s="342">
        <f t="shared" si="0"/>
        <v>0.38</v>
      </c>
      <c r="K8" s="342">
        <f t="shared" si="1"/>
        <v>0.3</v>
      </c>
      <c r="L8" s="1582"/>
      <c r="N8" s="496"/>
      <c r="O8" s="496"/>
      <c r="P8" s="32"/>
      <c r="Q8" s="214"/>
      <c r="R8" s="216"/>
      <c r="S8" s="216"/>
      <c r="T8" s="216"/>
      <c r="U8" s="214"/>
      <c r="V8" s="214"/>
      <c r="W8" s="216"/>
      <c r="X8" s="216"/>
      <c r="Y8" s="216"/>
      <c r="Z8" s="216"/>
      <c r="AA8" s="216"/>
    </row>
    <row r="9" spans="1:27" ht="16.5" customHeight="1">
      <c r="A9" s="339" t="s">
        <v>1673</v>
      </c>
      <c r="B9" s="340">
        <v>72</v>
      </c>
      <c r="C9" s="340">
        <v>55.5</v>
      </c>
      <c r="D9" s="340">
        <v>47</v>
      </c>
      <c r="E9" s="340">
        <v>40</v>
      </c>
      <c r="F9" s="340">
        <v>32</v>
      </c>
      <c r="G9" s="340">
        <v>24</v>
      </c>
      <c r="H9" s="339" t="s">
        <v>1673</v>
      </c>
      <c r="I9" s="342">
        <f t="shared" si="2"/>
        <v>0.44</v>
      </c>
      <c r="J9" s="342">
        <f t="shared" si="0"/>
        <v>0.36</v>
      </c>
      <c r="K9" s="342">
        <f t="shared" si="1"/>
        <v>0.28000000000000003</v>
      </c>
      <c r="L9" s="1582"/>
      <c r="N9" s="496"/>
      <c r="O9" s="496"/>
      <c r="P9" s="32"/>
      <c r="Q9" s="214"/>
      <c r="R9" s="216"/>
      <c r="S9" s="216"/>
      <c r="T9" s="216"/>
      <c r="U9" s="214"/>
      <c r="V9" s="214"/>
      <c r="W9" s="216"/>
      <c r="X9" s="216"/>
      <c r="Y9" s="216"/>
      <c r="Z9" s="216"/>
      <c r="AA9" s="216"/>
    </row>
    <row r="10" spans="1:27" ht="16.5" customHeight="1">
      <c r="A10" s="337" t="s">
        <v>1674</v>
      </c>
      <c r="B10" s="338">
        <v>70</v>
      </c>
      <c r="C10" s="338">
        <v>53.5</v>
      </c>
      <c r="D10" s="338">
        <v>45</v>
      </c>
      <c r="E10" s="338">
        <v>38</v>
      </c>
      <c r="F10" s="338">
        <v>30</v>
      </c>
      <c r="G10" s="338">
        <v>22</v>
      </c>
      <c r="H10" s="337" t="s">
        <v>1674</v>
      </c>
      <c r="I10" s="342">
        <f t="shared" si="2"/>
        <v>0.42</v>
      </c>
      <c r="J10" s="342">
        <f t="shared" si="0"/>
        <v>0.34</v>
      </c>
      <c r="K10" s="342">
        <f t="shared" si="1"/>
        <v>0.26</v>
      </c>
      <c r="L10" s="1582"/>
      <c r="N10" s="496"/>
      <c r="O10" s="496"/>
      <c r="P10" s="32"/>
      <c r="Q10" s="214"/>
      <c r="R10" s="216"/>
      <c r="S10" s="216"/>
      <c r="T10" s="216"/>
      <c r="V10" s="214"/>
      <c r="W10" s="216"/>
      <c r="X10" s="216"/>
      <c r="Y10" s="216"/>
      <c r="Z10" s="216"/>
      <c r="AA10" s="216"/>
    </row>
    <row r="11" spans="1:27" ht="16.5" customHeight="1">
      <c r="A11" s="339" t="s">
        <v>1675</v>
      </c>
      <c r="B11" s="340">
        <v>66</v>
      </c>
      <c r="C11" s="340">
        <v>49.5</v>
      </c>
      <c r="D11" s="340">
        <v>41</v>
      </c>
      <c r="E11" s="340">
        <v>34</v>
      </c>
      <c r="F11" s="340">
        <v>26</v>
      </c>
      <c r="G11" s="340">
        <v>17</v>
      </c>
      <c r="H11" s="339" t="s">
        <v>1675</v>
      </c>
      <c r="I11" s="342">
        <f t="shared" si="2"/>
        <v>0.38</v>
      </c>
      <c r="J11" s="342">
        <f t="shared" si="0"/>
        <v>0.3</v>
      </c>
      <c r="K11" s="342">
        <f t="shared" si="1"/>
        <v>0.21</v>
      </c>
      <c r="L11" s="1582"/>
      <c r="N11" s="496"/>
      <c r="O11" s="496"/>
      <c r="P11" s="32"/>
      <c r="Q11" s="214"/>
      <c r="R11" s="216"/>
      <c r="S11" s="216"/>
      <c r="T11" s="216"/>
      <c r="V11" s="214"/>
      <c r="W11" s="216"/>
      <c r="X11" s="216"/>
      <c r="Y11" s="216"/>
      <c r="Z11" s="216"/>
      <c r="AA11" s="216"/>
    </row>
    <row r="12" spans="1:27" ht="16.5" customHeight="1">
      <c r="A12" s="339" t="s">
        <v>1676</v>
      </c>
      <c r="B12" s="340">
        <v>88</v>
      </c>
      <c r="C12" s="340">
        <v>71.5</v>
      </c>
      <c r="D12" s="340">
        <v>63</v>
      </c>
      <c r="E12" s="340">
        <v>56</v>
      </c>
      <c r="F12" s="340">
        <v>49</v>
      </c>
      <c r="G12" s="340">
        <v>40</v>
      </c>
      <c r="H12" s="339" t="s">
        <v>1676</v>
      </c>
      <c r="I12" s="342">
        <f t="shared" si="2"/>
        <v>0.6</v>
      </c>
      <c r="J12" s="342">
        <f t="shared" si="0"/>
        <v>0.53</v>
      </c>
      <c r="K12" s="342">
        <f t="shared" si="1"/>
        <v>0.44</v>
      </c>
      <c r="L12" s="1582"/>
      <c r="N12" s="496"/>
      <c r="O12" s="496"/>
      <c r="P12" s="32"/>
      <c r="Q12" s="214"/>
      <c r="R12" s="216"/>
      <c r="S12" s="216"/>
      <c r="T12" s="216"/>
      <c r="V12" s="214"/>
      <c r="W12" s="216"/>
      <c r="X12" s="216"/>
      <c r="Y12" s="216"/>
      <c r="Z12" s="216"/>
      <c r="AA12" s="216"/>
    </row>
    <row r="13" spans="1:27" ht="16.5" customHeight="1">
      <c r="A13" s="339" t="s">
        <v>1677</v>
      </c>
      <c r="B13" s="340">
        <v>80</v>
      </c>
      <c r="C13" s="340">
        <v>63.5</v>
      </c>
      <c r="D13" s="340">
        <v>53</v>
      </c>
      <c r="E13" s="340">
        <v>46</v>
      </c>
      <c r="F13" s="340">
        <v>39</v>
      </c>
      <c r="G13" s="340">
        <v>31</v>
      </c>
      <c r="H13" s="339" t="s">
        <v>1677</v>
      </c>
      <c r="I13" s="342">
        <f t="shared" si="2"/>
        <v>0.5</v>
      </c>
      <c r="J13" s="342">
        <f t="shared" si="0"/>
        <v>0.43</v>
      </c>
      <c r="K13" s="342">
        <f t="shared" si="1"/>
        <v>0.35</v>
      </c>
      <c r="L13" s="1582"/>
      <c r="N13" s="496"/>
      <c r="O13" s="496"/>
      <c r="P13" s="32"/>
      <c r="Q13" s="214"/>
      <c r="R13" s="216"/>
      <c r="S13" s="216"/>
      <c r="T13" s="216"/>
      <c r="V13" s="214"/>
      <c r="W13" s="216"/>
      <c r="X13" s="216"/>
      <c r="Y13" s="216"/>
      <c r="Z13" s="216"/>
      <c r="AA13" s="216"/>
    </row>
    <row r="14" spans="1:27" ht="16.5" customHeight="1">
      <c r="A14" s="339" t="s">
        <v>1678</v>
      </c>
      <c r="B14" s="340">
        <v>86</v>
      </c>
      <c r="C14" s="340">
        <v>69.5</v>
      </c>
      <c r="D14" s="340">
        <v>61</v>
      </c>
      <c r="E14" s="340">
        <v>54</v>
      </c>
      <c r="F14" s="340">
        <v>47</v>
      </c>
      <c r="G14" s="340">
        <v>38</v>
      </c>
      <c r="H14" s="339" t="s">
        <v>1678</v>
      </c>
      <c r="I14" s="342">
        <f t="shared" si="2"/>
        <v>0.57999999999999996</v>
      </c>
      <c r="J14" s="342">
        <f t="shared" si="0"/>
        <v>0.51</v>
      </c>
      <c r="K14" s="342">
        <f t="shared" si="1"/>
        <v>0.42</v>
      </c>
      <c r="L14" s="1582"/>
      <c r="N14" s="496"/>
      <c r="O14" s="496"/>
      <c r="P14" s="32"/>
      <c r="Q14" s="214"/>
      <c r="R14" s="216"/>
      <c r="S14" s="216"/>
      <c r="T14" s="216"/>
      <c r="U14" s="214"/>
      <c r="V14" s="214"/>
      <c r="W14" s="216"/>
      <c r="X14" s="216"/>
      <c r="Y14" s="216"/>
      <c r="Z14" s="216"/>
      <c r="AA14" s="216"/>
    </row>
    <row r="15" spans="1:27" ht="16.5" customHeight="1">
      <c r="A15" s="339" t="s">
        <v>1679</v>
      </c>
      <c r="B15" s="340">
        <v>81</v>
      </c>
      <c r="C15" s="340">
        <v>64.5</v>
      </c>
      <c r="D15" s="340">
        <v>54</v>
      </c>
      <c r="E15" s="340">
        <v>47</v>
      </c>
      <c r="F15" s="340">
        <v>40</v>
      </c>
      <c r="G15" s="340">
        <v>32</v>
      </c>
      <c r="H15" s="339" t="s">
        <v>1679</v>
      </c>
      <c r="I15" s="342">
        <f t="shared" si="2"/>
        <v>0.51</v>
      </c>
      <c r="J15" s="342">
        <f t="shared" si="0"/>
        <v>0.44</v>
      </c>
      <c r="K15" s="342">
        <f t="shared" si="1"/>
        <v>0.36</v>
      </c>
      <c r="L15" s="1582"/>
      <c r="N15" s="496"/>
      <c r="O15" s="496"/>
      <c r="P15" s="32"/>
      <c r="Q15" s="214"/>
      <c r="R15" s="216"/>
      <c r="S15" s="216"/>
      <c r="T15" s="216"/>
      <c r="U15" s="214"/>
      <c r="V15" s="214"/>
      <c r="W15" s="216"/>
      <c r="X15" s="216"/>
      <c r="Y15" s="216"/>
      <c r="Z15" s="216"/>
      <c r="AA15" s="216"/>
    </row>
    <row r="16" spans="1:27" ht="16.5" customHeight="1">
      <c r="A16" s="339" t="s">
        <v>1680</v>
      </c>
      <c r="B16" s="340">
        <v>78.5</v>
      </c>
      <c r="C16" s="340">
        <v>62.5</v>
      </c>
      <c r="D16" s="340">
        <v>53.5</v>
      </c>
      <c r="E16" s="340">
        <v>47</v>
      </c>
      <c r="F16" s="340">
        <v>38</v>
      </c>
      <c r="G16" s="340">
        <v>29</v>
      </c>
      <c r="H16" s="339" t="s">
        <v>1680</v>
      </c>
      <c r="I16" s="342">
        <f t="shared" si="2"/>
        <v>0.51</v>
      </c>
      <c r="J16" s="342">
        <f t="shared" si="0"/>
        <v>0.42</v>
      </c>
      <c r="K16" s="342">
        <f t="shared" si="1"/>
        <v>0.33</v>
      </c>
      <c r="L16" s="1582"/>
      <c r="N16" s="496"/>
      <c r="O16" s="496"/>
      <c r="P16" s="32"/>
      <c r="Q16" s="214"/>
      <c r="R16" s="216"/>
      <c r="S16" s="216"/>
      <c r="T16" s="216"/>
      <c r="U16" s="214"/>
      <c r="V16" s="214"/>
      <c r="W16" s="216"/>
      <c r="X16" s="216"/>
      <c r="Y16" s="216"/>
      <c r="Z16" s="216"/>
      <c r="AA16" s="216"/>
    </row>
    <row r="17" spans="1:27" ht="16.5" customHeight="1">
      <c r="A17" s="339" t="s">
        <v>1681</v>
      </c>
      <c r="B17" s="340">
        <v>76.5</v>
      </c>
      <c r="C17" s="340">
        <v>60</v>
      </c>
      <c r="D17" s="340">
        <v>52</v>
      </c>
      <c r="E17" s="340">
        <v>45</v>
      </c>
      <c r="F17" s="340">
        <v>36</v>
      </c>
      <c r="G17" s="340">
        <v>27</v>
      </c>
      <c r="H17" s="339" t="s">
        <v>1681</v>
      </c>
      <c r="I17" s="342">
        <f t="shared" si="2"/>
        <v>0.49</v>
      </c>
      <c r="J17" s="342">
        <f t="shared" si="0"/>
        <v>0.4</v>
      </c>
      <c r="K17" s="342">
        <f t="shared" si="1"/>
        <v>0.31</v>
      </c>
      <c r="L17" s="1582"/>
      <c r="N17" s="496"/>
      <c r="O17" s="496"/>
      <c r="P17" s="496"/>
      <c r="Q17" s="214"/>
      <c r="R17" s="216"/>
      <c r="S17" s="216"/>
      <c r="T17" s="216"/>
      <c r="V17" s="214"/>
      <c r="W17" s="216"/>
      <c r="X17" s="216"/>
      <c r="Y17" s="216"/>
      <c r="Z17" s="216"/>
      <c r="AA17" s="216"/>
    </row>
    <row r="18" spans="1:27" ht="16.5" customHeight="1">
      <c r="A18" s="339" t="s">
        <v>1682</v>
      </c>
      <c r="B18" s="340">
        <v>75</v>
      </c>
      <c r="C18" s="340">
        <v>58.5</v>
      </c>
      <c r="D18" s="340">
        <v>50</v>
      </c>
      <c r="E18" s="340">
        <v>43</v>
      </c>
      <c r="F18" s="340">
        <v>34</v>
      </c>
      <c r="G18" s="340">
        <v>25</v>
      </c>
      <c r="H18" s="339" t="s">
        <v>1682</v>
      </c>
      <c r="I18" s="342">
        <f t="shared" si="2"/>
        <v>0.47</v>
      </c>
      <c r="J18" s="342">
        <f t="shared" si="0"/>
        <v>0.38</v>
      </c>
      <c r="K18" s="342">
        <f t="shared" si="1"/>
        <v>0.28999999999999998</v>
      </c>
      <c r="L18" s="1582"/>
      <c r="N18" s="496"/>
      <c r="O18" s="496"/>
      <c r="P18" s="496"/>
      <c r="Q18" s="214"/>
      <c r="R18" s="216"/>
      <c r="S18" s="216"/>
      <c r="T18" s="216"/>
      <c r="V18" s="214"/>
      <c r="W18" s="216"/>
      <c r="X18" s="216"/>
      <c r="Y18" s="216"/>
      <c r="Z18" s="216"/>
      <c r="AA18" s="216"/>
    </row>
    <row r="19" spans="1:27" ht="16.5" customHeight="1">
      <c r="A19" s="339" t="s">
        <v>1683</v>
      </c>
      <c r="B19" s="340">
        <v>73</v>
      </c>
      <c r="C19" s="340">
        <v>56.5</v>
      </c>
      <c r="D19" s="340">
        <v>48</v>
      </c>
      <c r="E19" s="340">
        <v>41</v>
      </c>
      <c r="F19" s="340">
        <v>32</v>
      </c>
      <c r="G19" s="340">
        <v>23</v>
      </c>
      <c r="H19" s="339" t="s">
        <v>1683</v>
      </c>
      <c r="I19" s="342">
        <f t="shared" si="2"/>
        <v>0.45</v>
      </c>
      <c r="J19" s="342">
        <f t="shared" si="0"/>
        <v>0.36</v>
      </c>
      <c r="K19" s="342">
        <f t="shared" si="1"/>
        <v>0.27</v>
      </c>
      <c r="L19" s="1582"/>
      <c r="X19" s="216"/>
    </row>
    <row r="20" spans="1:27" ht="16.5" customHeight="1">
      <c r="A20" s="339" t="s">
        <v>1684</v>
      </c>
      <c r="B20" s="340">
        <v>72</v>
      </c>
      <c r="C20" s="340">
        <v>55.5</v>
      </c>
      <c r="D20" s="340">
        <v>47</v>
      </c>
      <c r="E20" s="340">
        <v>40</v>
      </c>
      <c r="F20" s="340">
        <v>31</v>
      </c>
      <c r="G20" s="340">
        <v>22</v>
      </c>
      <c r="H20" s="339" t="s">
        <v>1684</v>
      </c>
      <c r="I20" s="342">
        <f t="shared" si="2"/>
        <v>0.44</v>
      </c>
      <c r="J20" s="342">
        <f t="shared" si="0"/>
        <v>0.35</v>
      </c>
      <c r="K20" s="342">
        <f t="shared" si="1"/>
        <v>0.26</v>
      </c>
      <c r="L20" s="1582"/>
    </row>
    <row r="21" spans="1:27" ht="16.5" customHeight="1">
      <c r="A21" s="339" t="s">
        <v>1685</v>
      </c>
      <c r="B21" s="340">
        <v>70</v>
      </c>
      <c r="C21" s="340">
        <v>53.5</v>
      </c>
      <c r="D21" s="340">
        <v>45</v>
      </c>
      <c r="E21" s="340">
        <v>38</v>
      </c>
      <c r="F21" s="340">
        <v>29</v>
      </c>
      <c r="G21" s="340">
        <v>20</v>
      </c>
      <c r="H21" s="339" t="s">
        <v>1685</v>
      </c>
      <c r="I21" s="342">
        <f t="shared" si="2"/>
        <v>0.42</v>
      </c>
      <c r="J21" s="342">
        <f t="shared" si="0"/>
        <v>0.33</v>
      </c>
      <c r="K21" s="342">
        <f t="shared" si="1"/>
        <v>0.24</v>
      </c>
      <c r="L21" s="1582"/>
    </row>
    <row r="22" spans="1:27" ht="16.5" customHeight="1">
      <c r="A22" s="339" t="s">
        <v>1686</v>
      </c>
      <c r="B22" s="340">
        <v>68</v>
      </c>
      <c r="C22" s="340">
        <v>51.5</v>
      </c>
      <c r="D22" s="340">
        <v>43</v>
      </c>
      <c r="E22" s="340">
        <v>36</v>
      </c>
      <c r="F22" s="340">
        <v>27</v>
      </c>
      <c r="G22" s="340">
        <v>18</v>
      </c>
      <c r="H22" s="339" t="s">
        <v>1686</v>
      </c>
      <c r="I22" s="342">
        <f t="shared" si="2"/>
        <v>0.4</v>
      </c>
      <c r="J22" s="342">
        <f t="shared" si="0"/>
        <v>0.31</v>
      </c>
      <c r="K22" s="342">
        <f t="shared" si="1"/>
        <v>0.22</v>
      </c>
      <c r="L22" s="1582"/>
    </row>
    <row r="23" spans="1:27" ht="16.5" customHeight="1">
      <c r="A23" s="337" t="s">
        <v>1687</v>
      </c>
      <c r="B23" s="338">
        <v>65</v>
      </c>
      <c r="C23" s="338">
        <v>48.5</v>
      </c>
      <c r="D23" s="338">
        <v>40</v>
      </c>
      <c r="E23" s="338">
        <v>33</v>
      </c>
      <c r="F23" s="338">
        <v>24</v>
      </c>
      <c r="G23" s="338">
        <v>15</v>
      </c>
      <c r="H23" s="337" t="s">
        <v>1687</v>
      </c>
      <c r="I23" s="342">
        <f t="shared" si="2"/>
        <v>0.37</v>
      </c>
      <c r="J23" s="342">
        <f t="shared" si="0"/>
        <v>0.28000000000000003</v>
      </c>
      <c r="K23" s="342">
        <f t="shared" si="1"/>
        <v>0.19</v>
      </c>
      <c r="L23" s="1582"/>
    </row>
    <row r="24" spans="1:27" ht="16.5" customHeight="1">
      <c r="A24" s="337" t="s">
        <v>1688</v>
      </c>
      <c r="B24" s="338">
        <v>76</v>
      </c>
      <c r="C24" s="338">
        <v>67</v>
      </c>
      <c r="D24" s="338">
        <v>59</v>
      </c>
      <c r="E24" s="338">
        <v>49</v>
      </c>
      <c r="F24" s="338">
        <v>41</v>
      </c>
      <c r="G24" s="338">
        <v>34</v>
      </c>
      <c r="H24" s="337" t="s">
        <v>1688</v>
      </c>
      <c r="I24" s="342">
        <f t="shared" si="2"/>
        <v>0.53</v>
      </c>
      <c r="J24" s="342">
        <f t="shared" si="0"/>
        <v>0.45</v>
      </c>
      <c r="K24" s="342">
        <f t="shared" si="1"/>
        <v>0.38</v>
      </c>
      <c r="L24" s="1582"/>
    </row>
    <row r="25" spans="1:27" ht="16.5" customHeight="1">
      <c r="A25" s="337" t="s">
        <v>1689</v>
      </c>
      <c r="B25" s="338">
        <v>75</v>
      </c>
      <c r="C25" s="338">
        <v>66</v>
      </c>
      <c r="D25" s="338">
        <v>58</v>
      </c>
      <c r="E25" s="338">
        <v>48</v>
      </c>
      <c r="F25" s="338">
        <v>40</v>
      </c>
      <c r="G25" s="338">
        <v>33</v>
      </c>
      <c r="H25" s="337" t="s">
        <v>1689</v>
      </c>
      <c r="I25" s="342">
        <f t="shared" si="2"/>
        <v>0.52</v>
      </c>
      <c r="J25" s="342">
        <f t="shared" si="0"/>
        <v>0.44</v>
      </c>
      <c r="K25" s="342">
        <f t="shared" si="1"/>
        <v>0.37</v>
      </c>
      <c r="L25" s="1582"/>
    </row>
    <row r="26" spans="1:27" ht="16.5" customHeight="1">
      <c r="A26" s="337" t="s">
        <v>1690</v>
      </c>
      <c r="B26" s="338">
        <v>73</v>
      </c>
      <c r="C26" s="338">
        <v>64</v>
      </c>
      <c r="D26" s="338">
        <v>56</v>
      </c>
      <c r="E26" s="338">
        <v>46</v>
      </c>
      <c r="F26" s="338">
        <v>38</v>
      </c>
      <c r="G26" s="338">
        <v>31</v>
      </c>
      <c r="H26" s="337" t="s">
        <v>1690</v>
      </c>
      <c r="I26" s="342">
        <f t="shared" si="2"/>
        <v>0.5</v>
      </c>
      <c r="J26" s="342">
        <f t="shared" si="0"/>
        <v>0.42</v>
      </c>
      <c r="K26" s="342">
        <f t="shared" si="1"/>
        <v>0.35</v>
      </c>
      <c r="L26" s="1582"/>
    </row>
    <row r="27" spans="1:27" ht="16.5" customHeight="1">
      <c r="A27" s="337" t="s">
        <v>1691</v>
      </c>
      <c r="B27" s="338">
        <v>71</v>
      </c>
      <c r="C27" s="338">
        <v>62</v>
      </c>
      <c r="D27" s="338">
        <v>54</v>
      </c>
      <c r="E27" s="338">
        <v>44</v>
      </c>
      <c r="F27" s="338">
        <v>37</v>
      </c>
      <c r="G27" s="338">
        <v>30</v>
      </c>
      <c r="H27" s="337" t="s">
        <v>1691</v>
      </c>
      <c r="I27" s="342">
        <f t="shared" si="2"/>
        <v>0.48</v>
      </c>
      <c r="J27" s="342">
        <f t="shared" si="0"/>
        <v>0.41</v>
      </c>
      <c r="K27" s="342">
        <f t="shared" si="1"/>
        <v>0.34</v>
      </c>
      <c r="L27" s="1582"/>
    </row>
    <row r="28" spans="1:27" ht="16.5" customHeight="1">
      <c r="A28" s="337" t="s">
        <v>1692</v>
      </c>
      <c r="B28" s="338">
        <v>69</v>
      </c>
      <c r="C28" s="338">
        <v>60</v>
      </c>
      <c r="D28" s="338">
        <v>52</v>
      </c>
      <c r="E28" s="338">
        <v>42</v>
      </c>
      <c r="F28" s="338">
        <v>35</v>
      </c>
      <c r="G28" s="338">
        <v>28</v>
      </c>
      <c r="H28" s="337" t="s">
        <v>1692</v>
      </c>
      <c r="I28" s="342">
        <f t="shared" si="2"/>
        <v>0.46</v>
      </c>
      <c r="J28" s="342">
        <f t="shared" si="0"/>
        <v>0.39</v>
      </c>
      <c r="K28" s="342">
        <f t="shared" si="1"/>
        <v>0.32</v>
      </c>
      <c r="L28" s="1582"/>
    </row>
    <row r="29" spans="1:27" ht="16.5" customHeight="1">
      <c r="A29" s="337" t="s">
        <v>1693</v>
      </c>
      <c r="B29" s="338">
        <v>68</v>
      </c>
      <c r="C29" s="338">
        <v>59</v>
      </c>
      <c r="D29" s="338">
        <v>51</v>
      </c>
      <c r="E29" s="338">
        <v>40</v>
      </c>
      <c r="F29" s="338">
        <v>33</v>
      </c>
      <c r="G29" s="338">
        <v>26</v>
      </c>
      <c r="H29" s="337" t="s">
        <v>1693</v>
      </c>
      <c r="I29" s="342">
        <f t="shared" si="2"/>
        <v>0.44</v>
      </c>
      <c r="J29" s="342">
        <f t="shared" si="0"/>
        <v>0.37</v>
      </c>
      <c r="K29" s="342">
        <f t="shared" si="1"/>
        <v>0.3</v>
      </c>
      <c r="L29" s="1582"/>
    </row>
    <row r="30" spans="1:27" ht="16.5" customHeight="1">
      <c r="A30" s="337" t="s">
        <v>1694</v>
      </c>
      <c r="B30" s="338">
        <v>67</v>
      </c>
      <c r="C30" s="338">
        <v>58</v>
      </c>
      <c r="D30" s="338">
        <v>50</v>
      </c>
      <c r="E30" s="338">
        <v>39</v>
      </c>
      <c r="F30" s="338">
        <v>32</v>
      </c>
      <c r="G30" s="338">
        <v>25</v>
      </c>
      <c r="H30" s="337" t="s">
        <v>1694</v>
      </c>
      <c r="I30" s="342">
        <f t="shared" si="2"/>
        <v>0.43</v>
      </c>
      <c r="J30" s="342">
        <f t="shared" si="0"/>
        <v>0.36</v>
      </c>
      <c r="K30" s="342">
        <f t="shared" si="1"/>
        <v>0.28999999999999998</v>
      </c>
      <c r="L30" s="1582"/>
    </row>
    <row r="31" spans="1:27" ht="16.5" customHeight="1">
      <c r="A31" s="337" t="s">
        <v>1695</v>
      </c>
      <c r="B31" s="338">
        <v>66</v>
      </c>
      <c r="C31" s="338">
        <v>57</v>
      </c>
      <c r="D31" s="338">
        <v>49</v>
      </c>
      <c r="E31" s="338">
        <v>38</v>
      </c>
      <c r="F31" s="338">
        <v>31</v>
      </c>
      <c r="G31" s="338">
        <v>24</v>
      </c>
      <c r="H31" s="337" t="s">
        <v>1695</v>
      </c>
      <c r="I31" s="342">
        <f t="shared" si="2"/>
        <v>0.42</v>
      </c>
      <c r="J31" s="342">
        <f t="shared" si="0"/>
        <v>0.35</v>
      </c>
      <c r="K31" s="342">
        <f t="shared" si="1"/>
        <v>0.28000000000000003</v>
      </c>
      <c r="L31" s="1582"/>
    </row>
    <row r="32" spans="1:27" ht="16.5" customHeight="1">
      <c r="A32" s="337" t="s">
        <v>1696</v>
      </c>
      <c r="B32" s="338">
        <v>65</v>
      </c>
      <c r="C32" s="338">
        <v>56</v>
      </c>
      <c r="D32" s="338">
        <v>48</v>
      </c>
      <c r="E32" s="338">
        <v>37</v>
      </c>
      <c r="F32" s="338">
        <v>30</v>
      </c>
      <c r="G32" s="338">
        <v>23</v>
      </c>
      <c r="H32" s="337" t="s">
        <v>1696</v>
      </c>
      <c r="I32" s="342">
        <f t="shared" si="2"/>
        <v>0.41</v>
      </c>
      <c r="J32" s="342">
        <f t="shared" si="0"/>
        <v>0.34</v>
      </c>
      <c r="K32" s="342">
        <f t="shared" si="1"/>
        <v>0.27</v>
      </c>
      <c r="L32" s="1582"/>
    </row>
    <row r="33" spans="1:21" ht="16.5" customHeight="1">
      <c r="A33" s="337" t="s">
        <v>1697</v>
      </c>
      <c r="B33" s="338">
        <v>62</v>
      </c>
      <c r="C33" s="338">
        <v>53</v>
      </c>
      <c r="D33" s="338">
        <v>45</v>
      </c>
      <c r="E33" s="338">
        <v>34</v>
      </c>
      <c r="F33" s="338">
        <v>28</v>
      </c>
      <c r="G33" s="338">
        <v>21</v>
      </c>
      <c r="H33" s="337" t="s">
        <v>1697</v>
      </c>
      <c r="I33" s="342">
        <f t="shared" si="2"/>
        <v>0.38</v>
      </c>
      <c r="J33" s="342">
        <f t="shared" si="0"/>
        <v>0.32</v>
      </c>
      <c r="K33" s="342">
        <f t="shared" si="1"/>
        <v>0.25</v>
      </c>
      <c r="L33" s="1582"/>
    </row>
    <row r="34" spans="1:21" ht="16.5" customHeight="1">
      <c r="A34" s="337" t="s">
        <v>1698</v>
      </c>
      <c r="B34" s="338">
        <v>61</v>
      </c>
      <c r="C34" s="338">
        <v>52</v>
      </c>
      <c r="D34" s="338">
        <v>44</v>
      </c>
      <c r="E34" s="338">
        <v>33</v>
      </c>
      <c r="F34" s="338">
        <v>27</v>
      </c>
      <c r="G34" s="338">
        <v>20</v>
      </c>
      <c r="H34" s="337" t="s">
        <v>1698</v>
      </c>
      <c r="I34" s="342">
        <f t="shared" si="2"/>
        <v>0.37</v>
      </c>
      <c r="J34" s="342">
        <f t="shared" si="0"/>
        <v>0.31</v>
      </c>
      <c r="K34" s="342">
        <f t="shared" si="1"/>
        <v>0.24</v>
      </c>
      <c r="L34" s="1582"/>
    </row>
    <row r="35" spans="1:21" ht="16.5" customHeight="1">
      <c r="A35" s="337" t="s">
        <v>1699</v>
      </c>
      <c r="B35" s="338">
        <v>60</v>
      </c>
      <c r="C35" s="338">
        <v>51</v>
      </c>
      <c r="D35" s="338">
        <v>43</v>
      </c>
      <c r="E35" s="338">
        <v>32</v>
      </c>
      <c r="F35" s="338">
        <v>26</v>
      </c>
      <c r="G35" s="338">
        <v>19</v>
      </c>
      <c r="H35" s="337" t="s">
        <v>1699</v>
      </c>
      <c r="I35" s="342">
        <f t="shared" si="2"/>
        <v>0.36</v>
      </c>
      <c r="J35" s="342">
        <f t="shared" si="0"/>
        <v>0.3</v>
      </c>
      <c r="K35" s="342">
        <f t="shared" si="1"/>
        <v>0.23</v>
      </c>
      <c r="L35" s="1582"/>
    </row>
    <row r="36" spans="1:21" ht="16.5" customHeight="1">
      <c r="A36" s="337" t="s">
        <v>2267</v>
      </c>
      <c r="B36" s="338">
        <v>89.5</v>
      </c>
      <c r="C36" s="338">
        <v>73</v>
      </c>
      <c r="D36" s="338">
        <v>65</v>
      </c>
      <c r="E36" s="338">
        <v>58</v>
      </c>
      <c r="F36" s="338">
        <v>51</v>
      </c>
      <c r="G36" s="338">
        <v>42</v>
      </c>
      <c r="H36" s="337" t="s">
        <v>2267</v>
      </c>
      <c r="I36" s="342">
        <f t="shared" si="2"/>
        <v>0.62</v>
      </c>
      <c r="J36" s="342">
        <f t="shared" si="0"/>
        <v>0.55000000000000004</v>
      </c>
      <c r="K36" s="342">
        <f t="shared" si="1"/>
        <v>0.46</v>
      </c>
      <c r="L36" s="1582"/>
    </row>
    <row r="37" spans="1:21" ht="16.5" customHeight="1">
      <c r="A37" s="337" t="s">
        <v>2270</v>
      </c>
      <c r="B37" s="338">
        <v>90</v>
      </c>
      <c r="C37" s="338">
        <v>73.5</v>
      </c>
      <c r="D37" s="338">
        <v>66</v>
      </c>
      <c r="E37" s="338">
        <v>59</v>
      </c>
      <c r="F37" s="338">
        <v>52</v>
      </c>
      <c r="G37" s="338">
        <v>43</v>
      </c>
      <c r="H37" s="337" t="s">
        <v>2269</v>
      </c>
      <c r="I37" s="342">
        <f t="shared" si="2"/>
        <v>0.63</v>
      </c>
      <c r="J37" s="342">
        <f t="shared" si="0"/>
        <v>0.56000000000000005</v>
      </c>
      <c r="K37" s="342">
        <f t="shared" si="1"/>
        <v>0.47</v>
      </c>
      <c r="L37" s="1582"/>
    </row>
    <row r="38" spans="1:21" ht="16.5" customHeight="1">
      <c r="A38" s="343" t="s">
        <v>2569</v>
      </c>
      <c r="B38" s="341">
        <v>90.5</v>
      </c>
      <c r="C38" s="341">
        <v>74</v>
      </c>
      <c r="D38" s="341">
        <v>67</v>
      </c>
      <c r="E38" s="341">
        <v>60</v>
      </c>
      <c r="F38" s="341">
        <v>53</v>
      </c>
      <c r="G38" s="341">
        <v>44</v>
      </c>
      <c r="H38" s="493" t="s">
        <v>2564</v>
      </c>
      <c r="I38" s="342">
        <f t="shared" ref="I38:K42" si="3">+(E38+4)/100</f>
        <v>0.64</v>
      </c>
      <c r="J38" s="342">
        <f t="shared" si="3"/>
        <v>0.56999999999999995</v>
      </c>
      <c r="K38" s="342">
        <f t="shared" si="3"/>
        <v>0.48</v>
      </c>
      <c r="L38" s="1582"/>
    </row>
    <row r="39" spans="1:21" ht="16.5" customHeight="1">
      <c r="A39" s="343" t="s">
        <v>2570</v>
      </c>
      <c r="B39" s="341">
        <v>91</v>
      </c>
      <c r="C39" s="341">
        <v>74.5</v>
      </c>
      <c r="D39" s="341">
        <v>68</v>
      </c>
      <c r="E39" s="341">
        <v>61</v>
      </c>
      <c r="F39" s="341">
        <v>54</v>
      </c>
      <c r="G39" s="341">
        <v>45</v>
      </c>
      <c r="H39" s="493" t="s">
        <v>2565</v>
      </c>
      <c r="I39" s="342">
        <f t="shared" si="3"/>
        <v>0.65</v>
      </c>
      <c r="J39" s="342">
        <f t="shared" si="3"/>
        <v>0.57999999999999996</v>
      </c>
      <c r="K39" s="342">
        <f t="shared" si="3"/>
        <v>0.49</v>
      </c>
      <c r="L39" s="1582"/>
    </row>
    <row r="40" spans="1:21" ht="16.5" customHeight="1">
      <c r="A40" s="343" t="s">
        <v>2571</v>
      </c>
      <c r="B40" s="341">
        <v>91.5</v>
      </c>
      <c r="C40" s="341">
        <v>75</v>
      </c>
      <c r="D40" s="341">
        <v>69</v>
      </c>
      <c r="E40" s="341">
        <v>62</v>
      </c>
      <c r="F40" s="341">
        <v>55</v>
      </c>
      <c r="G40" s="341">
        <v>46</v>
      </c>
      <c r="H40" s="493" t="s">
        <v>2566</v>
      </c>
      <c r="I40" s="342">
        <f t="shared" si="3"/>
        <v>0.66</v>
      </c>
      <c r="J40" s="342">
        <f t="shared" si="3"/>
        <v>0.59</v>
      </c>
      <c r="K40" s="342">
        <f t="shared" si="3"/>
        <v>0.5</v>
      </c>
      <c r="L40" s="1582"/>
    </row>
    <row r="41" spans="1:21" ht="16.5" customHeight="1">
      <c r="A41" s="343" t="s">
        <v>2572</v>
      </c>
      <c r="B41" s="341">
        <v>92</v>
      </c>
      <c r="C41" s="341">
        <v>75.5</v>
      </c>
      <c r="D41" s="341">
        <v>70</v>
      </c>
      <c r="E41" s="341">
        <v>63</v>
      </c>
      <c r="F41" s="341">
        <v>56</v>
      </c>
      <c r="G41" s="341">
        <v>47</v>
      </c>
      <c r="H41" s="493" t="s">
        <v>2567</v>
      </c>
      <c r="I41" s="342">
        <f t="shared" si="3"/>
        <v>0.67</v>
      </c>
      <c r="J41" s="342">
        <f t="shared" si="3"/>
        <v>0.6</v>
      </c>
      <c r="K41" s="342">
        <f t="shared" si="3"/>
        <v>0.51</v>
      </c>
      <c r="L41" s="1582"/>
    </row>
    <row r="42" spans="1:21" ht="16.5" customHeight="1">
      <c r="A42" s="343" t="s">
        <v>2573</v>
      </c>
      <c r="B42" s="341">
        <v>92.5</v>
      </c>
      <c r="C42" s="341">
        <v>76</v>
      </c>
      <c r="D42" s="341">
        <v>71</v>
      </c>
      <c r="E42" s="341">
        <v>64</v>
      </c>
      <c r="F42" s="341">
        <v>57</v>
      </c>
      <c r="G42" s="341">
        <v>48</v>
      </c>
      <c r="H42" s="493" t="s">
        <v>2568</v>
      </c>
      <c r="I42" s="342">
        <f t="shared" si="3"/>
        <v>0.68</v>
      </c>
      <c r="J42" s="342">
        <f t="shared" si="3"/>
        <v>0.61</v>
      </c>
      <c r="K42" s="342">
        <f t="shared" si="3"/>
        <v>0.52</v>
      </c>
      <c r="L42" s="1582"/>
    </row>
    <row r="43" spans="1:21">
      <c r="A43" s="196"/>
    </row>
    <row r="44" spans="1:21" ht="14.25" thickBot="1">
      <c r="A44" s="501"/>
      <c r="B44" s="502"/>
      <c r="C44" s="502"/>
      <c r="D44" s="502"/>
      <c r="E44" s="502"/>
      <c r="F44" s="502"/>
      <c r="G44" s="502"/>
      <c r="H44" s="502"/>
      <c r="I44" s="503"/>
      <c r="J44" s="502"/>
      <c r="K44" s="502"/>
      <c r="L44" s="502"/>
      <c r="M44" s="502"/>
      <c r="N44" s="502"/>
      <c r="O44" s="502"/>
      <c r="P44" s="502"/>
      <c r="Q44" s="502"/>
      <c r="R44" s="502"/>
      <c r="S44" s="502"/>
      <c r="T44" s="502"/>
      <c r="U44" s="502"/>
    </row>
    <row r="45" spans="1:21" ht="17.25" customHeight="1" thickTop="1">
      <c r="A45" s="1579" t="s">
        <v>3437</v>
      </c>
      <c r="B45" s="1592" t="s">
        <v>3160</v>
      </c>
      <c r="C45" s="1592"/>
      <c r="D45" s="1592"/>
      <c r="E45" s="1592"/>
      <c r="F45" s="1592"/>
      <c r="G45" s="277" t="s">
        <v>3436</v>
      </c>
    </row>
    <row r="46" spans="1:21" ht="16.5">
      <c r="A46" s="1580"/>
      <c r="B46" s="511">
        <v>12</v>
      </c>
      <c r="C46" s="467">
        <v>24</v>
      </c>
      <c r="D46" s="467">
        <v>36</v>
      </c>
      <c r="E46" s="467">
        <v>48</v>
      </c>
      <c r="F46" s="467">
        <v>60</v>
      </c>
      <c r="G46" s="1576" t="s">
        <v>2930</v>
      </c>
      <c r="H46" s="182"/>
      <c r="I46" s="33"/>
      <c r="M46" s="1585" t="s">
        <v>2803</v>
      </c>
      <c r="N46" s="1585"/>
      <c r="O46" s="1585"/>
      <c r="P46" s="1585"/>
      <c r="Q46" s="1585"/>
      <c r="R46" s="390"/>
      <c r="S46" s="390"/>
      <c r="T46" s="390"/>
      <c r="U46" s="390"/>
    </row>
    <row r="47" spans="1:21" ht="16.5">
      <c r="A47" s="514">
        <v>1</v>
      </c>
      <c r="B47" s="468">
        <v>79</v>
      </c>
      <c r="C47" s="468">
        <v>73</v>
      </c>
      <c r="D47" s="469">
        <v>67</v>
      </c>
      <c r="E47" s="470">
        <v>60.000000000000007</v>
      </c>
      <c r="F47" s="470">
        <v>52</v>
      </c>
      <c r="G47" s="1577"/>
      <c r="H47" s="182"/>
      <c r="I47" s="33"/>
      <c r="M47" s="1583" t="s">
        <v>2930</v>
      </c>
      <c r="N47" s="497" t="s">
        <v>1386</v>
      </c>
      <c r="O47" s="498" t="s">
        <v>2804</v>
      </c>
      <c r="P47" s="498" t="s">
        <v>2805</v>
      </c>
      <c r="Q47" s="498" t="s">
        <v>2806</v>
      </c>
      <c r="R47" s="499" t="s">
        <v>2890</v>
      </c>
      <c r="S47" s="499" t="s">
        <v>2891</v>
      </c>
      <c r="T47" s="499" t="s">
        <v>2892</v>
      </c>
      <c r="U47" s="499" t="s">
        <v>2893</v>
      </c>
    </row>
    <row r="48" spans="1:21" ht="16.5">
      <c r="A48" s="514">
        <v>2</v>
      </c>
      <c r="B48" s="468">
        <v>78</v>
      </c>
      <c r="C48" s="468">
        <v>72</v>
      </c>
      <c r="D48" s="469">
        <v>66</v>
      </c>
      <c r="E48" s="470">
        <v>59.000000000000007</v>
      </c>
      <c r="F48" s="470">
        <v>51</v>
      </c>
      <c r="G48" s="1577"/>
      <c r="H48" s="182"/>
      <c r="I48" s="33"/>
      <c r="M48" s="1583"/>
      <c r="N48" s="497" t="s">
        <v>2811</v>
      </c>
      <c r="O48" s="500">
        <v>0.03</v>
      </c>
      <c r="P48" s="500">
        <v>1.4999999999999999E-2</v>
      </c>
      <c r="Q48" s="500">
        <v>0</v>
      </c>
      <c r="R48" s="500">
        <v>-0.03</v>
      </c>
      <c r="S48" s="500">
        <v>-0.06</v>
      </c>
      <c r="T48" s="500">
        <v>-0.12</v>
      </c>
      <c r="U48" s="500">
        <v>-0.18</v>
      </c>
    </row>
    <row r="49" spans="1:23" ht="16.5">
      <c r="A49" s="514">
        <v>3</v>
      </c>
      <c r="B49" s="468">
        <v>77</v>
      </c>
      <c r="C49" s="468">
        <v>71</v>
      </c>
      <c r="D49" s="469">
        <v>65</v>
      </c>
      <c r="E49" s="470">
        <v>58.000000000000007</v>
      </c>
      <c r="F49" s="470">
        <v>50</v>
      </c>
      <c r="G49" s="1577"/>
      <c r="H49" s="182"/>
      <c r="I49" s="33"/>
      <c r="M49" s="1583" t="s">
        <v>3054</v>
      </c>
      <c r="N49" s="497" t="s">
        <v>1386</v>
      </c>
      <c r="O49" s="498" t="s">
        <v>2804</v>
      </c>
      <c r="P49" s="498" t="s">
        <v>2805</v>
      </c>
      <c r="Q49" s="498" t="s">
        <v>2806</v>
      </c>
      <c r="R49" s="499" t="s">
        <v>2807</v>
      </c>
      <c r="S49" s="499" t="s">
        <v>2808</v>
      </c>
      <c r="T49" s="499" t="s">
        <v>2809</v>
      </c>
      <c r="U49" s="499" t="s">
        <v>2810</v>
      </c>
    </row>
    <row r="50" spans="1:23" ht="16.5">
      <c r="A50" s="514">
        <v>4</v>
      </c>
      <c r="B50" s="468">
        <v>76</v>
      </c>
      <c r="C50" s="468">
        <v>70</v>
      </c>
      <c r="D50" s="469">
        <v>64</v>
      </c>
      <c r="E50" s="470">
        <v>57.000000000000007</v>
      </c>
      <c r="F50" s="470">
        <v>49</v>
      </c>
      <c r="G50" s="1577"/>
      <c r="H50" s="182"/>
      <c r="I50" s="33"/>
      <c r="M50" s="1583"/>
      <c r="N50" s="497" t="s">
        <v>2811</v>
      </c>
      <c r="O50" s="500">
        <v>0.04</v>
      </c>
      <c r="P50" s="500">
        <v>0.02</v>
      </c>
      <c r="Q50" s="500">
        <v>0</v>
      </c>
      <c r="R50" s="500">
        <v>-0.06</v>
      </c>
      <c r="S50" s="500">
        <v>-0.12</v>
      </c>
      <c r="T50" s="500">
        <v>-0.18</v>
      </c>
      <c r="U50" s="500" t="s">
        <v>2812</v>
      </c>
    </row>
    <row r="51" spans="1:23" ht="16.5">
      <c r="A51" s="514">
        <v>5</v>
      </c>
      <c r="B51" s="468">
        <v>75</v>
      </c>
      <c r="C51" s="468">
        <v>69</v>
      </c>
      <c r="D51" s="469">
        <v>63</v>
      </c>
      <c r="E51" s="470">
        <v>56.000000000000007</v>
      </c>
      <c r="F51" s="470">
        <v>48</v>
      </c>
      <c r="G51" s="1577"/>
      <c r="H51" s="182"/>
      <c r="I51" s="33"/>
      <c r="M51" s="1584" t="s">
        <v>2931</v>
      </c>
      <c r="N51" s="497" t="s">
        <v>1386</v>
      </c>
      <c r="O51" s="498" t="s">
        <v>2804</v>
      </c>
      <c r="P51" s="498" t="s">
        <v>2805</v>
      </c>
      <c r="Q51" s="498" t="s">
        <v>2806</v>
      </c>
      <c r="R51" s="498" t="s">
        <v>2890</v>
      </c>
      <c r="S51" s="499" t="s">
        <v>2891</v>
      </c>
      <c r="T51" s="499" t="s">
        <v>3633</v>
      </c>
      <c r="U51" s="499" t="s">
        <v>2892</v>
      </c>
      <c r="V51" s="499" t="s">
        <v>2893</v>
      </c>
      <c r="W51" s="499" t="s">
        <v>2954</v>
      </c>
    </row>
    <row r="52" spans="1:23" ht="16.5">
      <c r="A52" s="514">
        <v>6</v>
      </c>
      <c r="B52" s="468">
        <v>74</v>
      </c>
      <c r="C52" s="468">
        <v>68</v>
      </c>
      <c r="D52" s="469">
        <v>62</v>
      </c>
      <c r="E52" s="470">
        <v>55.000000000000007</v>
      </c>
      <c r="F52" s="470">
        <v>47</v>
      </c>
      <c r="G52" s="1577"/>
      <c r="H52" s="182"/>
      <c r="I52" s="33"/>
      <c r="M52" s="1584"/>
      <c r="N52" s="497" t="s">
        <v>2811</v>
      </c>
      <c r="O52" s="500">
        <v>0.03</v>
      </c>
      <c r="P52" s="500">
        <v>1.4999999999999999E-2</v>
      </c>
      <c r="Q52" s="500">
        <v>0</v>
      </c>
      <c r="R52" s="500">
        <v>-2.5000000000000001E-2</v>
      </c>
      <c r="S52" s="500">
        <v>-3.5000000000000003E-2</v>
      </c>
      <c r="T52" s="500">
        <v>-0.1</v>
      </c>
      <c r="U52" s="500">
        <v>-0.1</v>
      </c>
      <c r="V52" s="500">
        <v>-0.15</v>
      </c>
      <c r="W52" s="500">
        <v>-0.2</v>
      </c>
    </row>
    <row r="53" spans="1:23" ht="16.5">
      <c r="A53" s="514">
        <v>7</v>
      </c>
      <c r="B53" s="468">
        <v>73</v>
      </c>
      <c r="C53" s="468">
        <v>67</v>
      </c>
      <c r="D53" s="469">
        <v>61</v>
      </c>
      <c r="E53" s="470">
        <v>54.000000000000007</v>
      </c>
      <c r="F53" s="470">
        <v>46</v>
      </c>
      <c r="G53" s="1577"/>
      <c r="H53" s="182"/>
      <c r="I53" s="33"/>
      <c r="M53" s="1581" t="s">
        <v>2932</v>
      </c>
      <c r="N53" s="497" t="s">
        <v>1386</v>
      </c>
      <c r="O53" s="498" t="s">
        <v>2804</v>
      </c>
      <c r="P53" s="498" t="s">
        <v>2805</v>
      </c>
      <c r="Q53" s="498" t="s">
        <v>2806</v>
      </c>
      <c r="R53" s="499" t="s">
        <v>2890</v>
      </c>
      <c r="S53" s="499" t="s">
        <v>2891</v>
      </c>
      <c r="T53" s="499" t="s">
        <v>2892</v>
      </c>
      <c r="U53" s="499" t="s">
        <v>2893</v>
      </c>
    </row>
    <row r="54" spans="1:23" ht="16.5">
      <c r="A54" s="514">
        <v>8</v>
      </c>
      <c r="B54" s="468">
        <v>72</v>
      </c>
      <c r="C54" s="468">
        <v>66</v>
      </c>
      <c r="D54" s="469">
        <v>60</v>
      </c>
      <c r="E54" s="470">
        <v>53.000000000000007</v>
      </c>
      <c r="F54" s="470">
        <v>45</v>
      </c>
      <c r="G54" s="1577"/>
      <c r="H54" s="182"/>
      <c r="I54" s="33"/>
      <c r="M54" s="1581"/>
      <c r="N54" s="497" t="s">
        <v>2811</v>
      </c>
      <c r="O54" s="500" t="s">
        <v>2894</v>
      </c>
      <c r="P54" s="500" t="s">
        <v>2895</v>
      </c>
      <c r="Q54" s="500">
        <v>0</v>
      </c>
      <c r="R54" s="500" t="s">
        <v>2896</v>
      </c>
      <c r="S54" s="500">
        <v>-0.05</v>
      </c>
      <c r="T54" s="500" t="s">
        <v>2898</v>
      </c>
      <c r="U54" s="500" t="s">
        <v>2899</v>
      </c>
    </row>
    <row r="55" spans="1:23" ht="16.5">
      <c r="A55" s="514">
        <v>9</v>
      </c>
      <c r="B55" s="468">
        <v>71</v>
      </c>
      <c r="C55" s="468">
        <v>65</v>
      </c>
      <c r="D55" s="469">
        <v>59</v>
      </c>
      <c r="E55" s="470">
        <v>52.000000000000007</v>
      </c>
      <c r="F55" s="470">
        <v>44</v>
      </c>
      <c r="G55" s="1577"/>
      <c r="H55" s="182"/>
      <c r="I55" s="33"/>
      <c r="M55" s="1581" t="s">
        <v>3156</v>
      </c>
      <c r="N55" s="497" t="s">
        <v>1386</v>
      </c>
      <c r="O55" s="515" t="s">
        <v>2804</v>
      </c>
      <c r="P55" s="515" t="s">
        <v>2805</v>
      </c>
      <c r="Q55" s="515" t="s">
        <v>2806</v>
      </c>
      <c r="R55" s="516" t="s">
        <v>2807</v>
      </c>
      <c r="S55" s="516" t="s">
        <v>2891</v>
      </c>
      <c r="T55" s="516" t="s">
        <v>2892</v>
      </c>
      <c r="U55" s="516" t="s">
        <v>2893</v>
      </c>
    </row>
    <row r="56" spans="1:23" ht="16.5">
      <c r="A56" s="514">
        <v>10</v>
      </c>
      <c r="B56" s="468">
        <v>70</v>
      </c>
      <c r="C56" s="468">
        <v>64</v>
      </c>
      <c r="D56" s="469">
        <v>58</v>
      </c>
      <c r="E56" s="470">
        <v>51.000000000000007</v>
      </c>
      <c r="F56" s="470">
        <v>43</v>
      </c>
      <c r="G56" s="1577"/>
      <c r="H56" s="182"/>
      <c r="I56" s="33"/>
      <c r="M56" s="1581"/>
      <c r="N56" s="497" t="s">
        <v>2811</v>
      </c>
      <c r="O56" s="517" t="s">
        <v>3161</v>
      </c>
      <c r="P56" s="517" t="s">
        <v>3162</v>
      </c>
      <c r="Q56" s="518">
        <v>0</v>
      </c>
      <c r="R56" s="517" t="s">
        <v>3163</v>
      </c>
      <c r="S56" s="519" t="s">
        <v>3164</v>
      </c>
      <c r="T56" s="519" t="s">
        <v>3165</v>
      </c>
      <c r="U56" s="519" t="s">
        <v>3166</v>
      </c>
    </row>
    <row r="57" spans="1:23" ht="16.5">
      <c r="A57" s="514">
        <v>11</v>
      </c>
      <c r="B57" s="468">
        <v>69</v>
      </c>
      <c r="C57" s="468">
        <v>63</v>
      </c>
      <c r="D57" s="469">
        <v>57</v>
      </c>
      <c r="E57" s="470">
        <v>50.000000000000007</v>
      </c>
      <c r="F57" s="470">
        <v>42</v>
      </c>
      <c r="G57" s="1577"/>
      <c r="H57" s="182"/>
      <c r="I57" s="33"/>
      <c r="M57" s="1581" t="s">
        <v>3281</v>
      </c>
      <c r="N57" s="497" t="s">
        <v>1386</v>
      </c>
      <c r="O57" s="515" t="s">
        <v>2804</v>
      </c>
      <c r="P57" s="515" t="s">
        <v>2805</v>
      </c>
      <c r="Q57" s="515" t="s">
        <v>2806</v>
      </c>
      <c r="R57" s="516" t="s">
        <v>2807</v>
      </c>
      <c r="S57" s="516" t="s">
        <v>2891</v>
      </c>
      <c r="T57" s="516" t="s">
        <v>2892</v>
      </c>
      <c r="U57" s="516" t="s">
        <v>2893</v>
      </c>
    </row>
    <row r="58" spans="1:23" ht="16.5">
      <c r="A58" s="514">
        <v>12</v>
      </c>
      <c r="B58" s="468">
        <v>68</v>
      </c>
      <c r="C58" s="468">
        <v>62</v>
      </c>
      <c r="D58" s="469">
        <v>56</v>
      </c>
      <c r="E58" s="470">
        <v>49.000000000000007</v>
      </c>
      <c r="F58" s="470">
        <v>41</v>
      </c>
      <c r="G58" s="1577"/>
      <c r="H58" s="182"/>
      <c r="I58" s="33"/>
      <c r="M58" s="1581"/>
      <c r="N58" s="458" t="s">
        <v>2811</v>
      </c>
      <c r="O58" s="614">
        <v>0.04</v>
      </c>
      <c r="P58" s="614">
        <v>0.02</v>
      </c>
      <c r="Q58" s="614">
        <v>0</v>
      </c>
      <c r="R58" s="1586" t="s">
        <v>3282</v>
      </c>
      <c r="S58" s="1587"/>
      <c r="T58" s="1587"/>
      <c r="U58" s="1588"/>
    </row>
    <row r="59" spans="1:23" ht="16.5">
      <c r="A59" s="514">
        <v>13</v>
      </c>
      <c r="B59" s="468">
        <v>67</v>
      </c>
      <c r="C59" s="468">
        <v>61</v>
      </c>
      <c r="D59" s="469">
        <v>55</v>
      </c>
      <c r="E59" s="470">
        <v>48.000000000000007</v>
      </c>
      <c r="F59" s="470">
        <v>40</v>
      </c>
      <c r="G59" s="1577"/>
      <c r="H59" s="182"/>
      <c r="I59" s="33"/>
    </row>
    <row r="60" spans="1:23" ht="16.5">
      <c r="A60" s="514">
        <v>14</v>
      </c>
      <c r="B60" s="468">
        <v>66</v>
      </c>
      <c r="C60" s="468">
        <v>60</v>
      </c>
      <c r="D60" s="469">
        <v>54</v>
      </c>
      <c r="E60" s="470">
        <v>47.000000000000007</v>
      </c>
      <c r="F60" s="470">
        <v>39</v>
      </c>
      <c r="G60" s="1577"/>
      <c r="H60" s="182"/>
      <c r="I60" s="33"/>
    </row>
    <row r="61" spans="1:23" ht="16.5">
      <c r="A61" s="514">
        <v>15</v>
      </c>
      <c r="B61" s="468">
        <v>65</v>
      </c>
      <c r="C61" s="468">
        <v>59</v>
      </c>
      <c r="D61" s="469">
        <v>53</v>
      </c>
      <c r="E61" s="470">
        <v>46.000000000000007</v>
      </c>
      <c r="F61" s="470">
        <v>38</v>
      </c>
      <c r="G61" s="1577"/>
      <c r="H61" s="182"/>
      <c r="I61" s="33"/>
    </row>
    <row r="62" spans="1:23" ht="16.5">
      <c r="A62" s="514">
        <v>16</v>
      </c>
      <c r="B62" s="468">
        <v>64</v>
      </c>
      <c r="C62" s="468">
        <v>58</v>
      </c>
      <c r="D62" s="469">
        <v>52</v>
      </c>
      <c r="E62" s="470">
        <v>45.000000000000007</v>
      </c>
      <c r="F62" s="470">
        <v>37</v>
      </c>
      <c r="G62" s="1577"/>
      <c r="H62" s="182"/>
      <c r="I62" s="33"/>
    </row>
    <row r="63" spans="1:23" ht="16.5">
      <c r="A63" s="514">
        <v>17</v>
      </c>
      <c r="B63" s="468">
        <v>63</v>
      </c>
      <c r="C63" s="468">
        <v>57</v>
      </c>
      <c r="D63" s="469">
        <v>51</v>
      </c>
      <c r="E63" s="470">
        <v>44.000000000000007</v>
      </c>
      <c r="F63" s="470">
        <v>36</v>
      </c>
      <c r="G63" s="1577"/>
      <c r="H63" s="182"/>
      <c r="I63" s="33"/>
    </row>
    <row r="64" spans="1:23" ht="16.5">
      <c r="A64" s="514">
        <v>18</v>
      </c>
      <c r="B64" s="468">
        <v>62</v>
      </c>
      <c r="C64" s="468">
        <v>56</v>
      </c>
      <c r="D64" s="469">
        <v>50</v>
      </c>
      <c r="E64" s="470">
        <v>43.000000000000007</v>
      </c>
      <c r="F64" s="470">
        <v>35</v>
      </c>
      <c r="G64" s="1577"/>
      <c r="H64" s="182"/>
      <c r="I64" s="33"/>
    </row>
    <row r="65" spans="1:9" ht="16.5">
      <c r="A65" s="514">
        <v>19</v>
      </c>
      <c r="B65" s="468">
        <v>61</v>
      </c>
      <c r="C65" s="468">
        <v>55</v>
      </c>
      <c r="D65" s="469">
        <v>49</v>
      </c>
      <c r="E65" s="470">
        <v>42.000000000000007</v>
      </c>
      <c r="F65" s="470">
        <v>34</v>
      </c>
      <c r="G65" s="1577"/>
      <c r="H65" s="182"/>
      <c r="I65" s="33"/>
    </row>
    <row r="66" spans="1:9" ht="16.5">
      <c r="A66" s="514">
        <v>20</v>
      </c>
      <c r="B66" s="468">
        <v>60</v>
      </c>
      <c r="C66" s="468">
        <v>54</v>
      </c>
      <c r="D66" s="469">
        <v>48</v>
      </c>
      <c r="E66" s="470">
        <v>41.000000000000007</v>
      </c>
      <c r="F66" s="470">
        <v>33</v>
      </c>
      <c r="G66" s="1577"/>
      <c r="H66" s="182"/>
      <c r="I66" s="33"/>
    </row>
    <row r="67" spans="1:9" ht="16.5">
      <c r="A67" s="514">
        <v>21</v>
      </c>
      <c r="B67" s="468">
        <v>59</v>
      </c>
      <c r="C67" s="468">
        <v>53</v>
      </c>
      <c r="D67" s="469">
        <v>47</v>
      </c>
      <c r="E67" s="470">
        <v>40.000000000000007</v>
      </c>
      <c r="F67" s="470">
        <v>32</v>
      </c>
      <c r="G67" s="1577"/>
      <c r="H67" s="182"/>
      <c r="I67" s="33"/>
    </row>
    <row r="68" spans="1:9" ht="16.5">
      <c r="A68" s="514">
        <v>22</v>
      </c>
      <c r="B68" s="468">
        <v>58</v>
      </c>
      <c r="C68" s="468">
        <v>52</v>
      </c>
      <c r="D68" s="469">
        <v>46</v>
      </c>
      <c r="E68" s="470">
        <v>39.000000000000007</v>
      </c>
      <c r="F68" s="470">
        <v>31</v>
      </c>
      <c r="G68" s="1577"/>
      <c r="H68" s="182"/>
      <c r="I68" s="33"/>
    </row>
    <row r="69" spans="1:9" ht="16.5">
      <c r="A69" s="514">
        <v>23</v>
      </c>
      <c r="B69" s="468">
        <v>57</v>
      </c>
      <c r="C69" s="468">
        <v>51</v>
      </c>
      <c r="D69" s="469">
        <v>45</v>
      </c>
      <c r="E69" s="470">
        <v>38.000000000000007</v>
      </c>
      <c r="F69" s="470">
        <v>30</v>
      </c>
      <c r="G69" s="1577"/>
      <c r="H69" s="182"/>
      <c r="I69" s="33"/>
    </row>
    <row r="70" spans="1:9" ht="16.5">
      <c r="A70" s="514">
        <v>24</v>
      </c>
      <c r="B70" s="468">
        <v>56</v>
      </c>
      <c r="C70" s="468">
        <v>50</v>
      </c>
      <c r="D70" s="469">
        <v>44</v>
      </c>
      <c r="E70" s="470">
        <v>37.000000000000007</v>
      </c>
      <c r="F70" s="470">
        <v>29</v>
      </c>
      <c r="G70" s="1578"/>
      <c r="H70" s="182"/>
      <c r="I70" s="33"/>
    </row>
    <row r="71" spans="1:9" ht="16.5">
      <c r="A71" s="751" t="s">
        <v>2905</v>
      </c>
      <c r="B71" s="130">
        <f t="shared" ref="B71:C98" si="4">+C71+5</f>
        <v>81</v>
      </c>
      <c r="C71" s="130">
        <f t="shared" si="4"/>
        <v>76</v>
      </c>
      <c r="D71" s="130">
        <v>71</v>
      </c>
      <c r="E71" s="130">
        <v>64</v>
      </c>
      <c r="F71" s="130">
        <v>56</v>
      </c>
      <c r="G71" s="1594" t="s">
        <v>3054</v>
      </c>
      <c r="H71" s="182" t="s">
        <v>3634</v>
      </c>
      <c r="I71" s="33"/>
    </row>
    <row r="72" spans="1:9" ht="16.5">
      <c r="A72" s="751" t="s">
        <v>3472</v>
      </c>
      <c r="B72" s="130">
        <f t="shared" si="4"/>
        <v>80.5</v>
      </c>
      <c r="C72" s="130">
        <f t="shared" si="4"/>
        <v>75.5</v>
      </c>
      <c r="D72" s="130">
        <v>70.5</v>
      </c>
      <c r="E72" s="130">
        <v>63.5</v>
      </c>
      <c r="F72" s="130">
        <v>55.5</v>
      </c>
      <c r="G72" s="1595"/>
      <c r="H72" s="182"/>
      <c r="I72" s="33"/>
    </row>
    <row r="73" spans="1:9" ht="16.5">
      <c r="A73" s="751" t="s">
        <v>2906</v>
      </c>
      <c r="B73" s="130">
        <f t="shared" si="4"/>
        <v>80</v>
      </c>
      <c r="C73" s="130">
        <f t="shared" si="4"/>
        <v>75</v>
      </c>
      <c r="D73" s="130">
        <v>70</v>
      </c>
      <c r="E73" s="130">
        <v>63</v>
      </c>
      <c r="F73" s="130">
        <v>55</v>
      </c>
      <c r="G73" s="1595"/>
      <c r="H73" s="182"/>
      <c r="I73" s="33"/>
    </row>
    <row r="74" spans="1:9" ht="16.5">
      <c r="A74" s="751" t="s">
        <v>2907</v>
      </c>
      <c r="B74" s="130">
        <f t="shared" si="4"/>
        <v>78.5</v>
      </c>
      <c r="C74" s="130">
        <f t="shared" si="4"/>
        <v>73.5</v>
      </c>
      <c r="D74" s="130">
        <v>68.5</v>
      </c>
      <c r="E74" s="130">
        <v>61.5</v>
      </c>
      <c r="F74" s="130">
        <v>54.5</v>
      </c>
      <c r="G74" s="1595"/>
      <c r="H74" s="182"/>
      <c r="I74" s="33"/>
    </row>
    <row r="75" spans="1:9" ht="16.5">
      <c r="A75" s="751" t="s">
        <v>2908</v>
      </c>
      <c r="B75" s="130">
        <f t="shared" si="4"/>
        <v>79</v>
      </c>
      <c r="C75" s="130">
        <f t="shared" si="4"/>
        <v>74</v>
      </c>
      <c r="D75" s="130">
        <v>69</v>
      </c>
      <c r="E75" s="130">
        <v>62</v>
      </c>
      <c r="F75" s="130">
        <v>54</v>
      </c>
      <c r="G75" s="1595"/>
      <c r="H75" s="182"/>
      <c r="I75" s="33"/>
    </row>
    <row r="76" spans="1:9" ht="16.5">
      <c r="A76" s="751" t="s">
        <v>2909</v>
      </c>
      <c r="B76" s="130">
        <f t="shared" si="4"/>
        <v>78.5</v>
      </c>
      <c r="C76" s="130">
        <f t="shared" si="4"/>
        <v>73.5</v>
      </c>
      <c r="D76" s="130">
        <v>68.5</v>
      </c>
      <c r="E76" s="130">
        <v>61.5</v>
      </c>
      <c r="F76" s="130">
        <v>53.5</v>
      </c>
      <c r="G76" s="1595"/>
      <c r="H76" s="182"/>
      <c r="I76" s="33"/>
    </row>
    <row r="77" spans="1:9" ht="16.5">
      <c r="A77" s="751" t="s">
        <v>2910</v>
      </c>
      <c r="B77" s="130">
        <f t="shared" si="4"/>
        <v>79</v>
      </c>
      <c r="C77" s="130">
        <f t="shared" si="4"/>
        <v>74</v>
      </c>
      <c r="D77" s="130">
        <v>69</v>
      </c>
      <c r="E77" s="130">
        <v>62</v>
      </c>
      <c r="F77" s="130">
        <v>53</v>
      </c>
      <c r="G77" s="1595"/>
      <c r="H77" s="182"/>
      <c r="I77" s="33"/>
    </row>
    <row r="78" spans="1:9" ht="16.5">
      <c r="A78" s="751" t="s">
        <v>1640</v>
      </c>
      <c r="B78" s="130">
        <f t="shared" si="4"/>
        <v>78.5</v>
      </c>
      <c r="C78" s="130">
        <f t="shared" si="4"/>
        <v>73.5</v>
      </c>
      <c r="D78" s="130">
        <v>68.5</v>
      </c>
      <c r="E78" s="130">
        <v>61.5</v>
      </c>
      <c r="F78" s="130">
        <v>53</v>
      </c>
      <c r="G78" s="1595"/>
      <c r="H78" s="182"/>
      <c r="I78" s="33"/>
    </row>
    <row r="79" spans="1:9" ht="16.5">
      <c r="A79" s="751" t="s">
        <v>3554</v>
      </c>
      <c r="B79" s="130">
        <f t="shared" si="4"/>
        <v>78</v>
      </c>
      <c r="C79" s="130">
        <f t="shared" si="4"/>
        <v>73</v>
      </c>
      <c r="D79" s="130">
        <v>68</v>
      </c>
      <c r="E79" s="130">
        <v>61</v>
      </c>
      <c r="F79" s="130">
        <v>53</v>
      </c>
      <c r="G79" s="1595"/>
      <c r="I79" s="33"/>
    </row>
    <row r="80" spans="1:9" ht="16.5">
      <c r="A80" s="751" t="s">
        <v>2911</v>
      </c>
      <c r="B80" s="130">
        <f t="shared" si="4"/>
        <v>78.5</v>
      </c>
      <c r="C80" s="130">
        <f t="shared" si="4"/>
        <v>73.5</v>
      </c>
      <c r="D80" s="130">
        <v>68.5</v>
      </c>
      <c r="E80" s="130">
        <v>61.5</v>
      </c>
      <c r="F80" s="130">
        <v>52.5</v>
      </c>
      <c r="G80" s="1595"/>
      <c r="H80" s="182"/>
      <c r="I80" s="33"/>
    </row>
    <row r="81" spans="1:9" ht="16.5">
      <c r="A81" s="751" t="s">
        <v>2912</v>
      </c>
      <c r="B81" s="130">
        <f t="shared" si="4"/>
        <v>78</v>
      </c>
      <c r="C81" s="130">
        <f t="shared" si="4"/>
        <v>73</v>
      </c>
      <c r="D81" s="130">
        <v>68</v>
      </c>
      <c r="E81" s="130">
        <v>61</v>
      </c>
      <c r="F81" s="130">
        <v>52</v>
      </c>
      <c r="G81" s="1595"/>
      <c r="H81" s="182"/>
      <c r="I81" s="33"/>
    </row>
    <row r="82" spans="1:9" ht="16.5">
      <c r="A82" s="751" t="s">
        <v>2913</v>
      </c>
      <c r="B82" s="130">
        <f t="shared" si="4"/>
        <v>77</v>
      </c>
      <c r="C82" s="130">
        <f t="shared" si="4"/>
        <v>72</v>
      </c>
      <c r="D82" s="130">
        <v>67</v>
      </c>
      <c r="E82" s="130">
        <v>59</v>
      </c>
      <c r="F82" s="130">
        <v>51</v>
      </c>
      <c r="G82" s="1595"/>
      <c r="H82" s="182"/>
      <c r="I82" s="33"/>
    </row>
    <row r="83" spans="1:9" ht="16.5">
      <c r="A83" s="751" t="s">
        <v>3555</v>
      </c>
      <c r="B83" s="130">
        <f t="shared" si="4"/>
        <v>76</v>
      </c>
      <c r="C83" s="130">
        <f t="shared" si="4"/>
        <v>71</v>
      </c>
      <c r="D83" s="130">
        <v>66</v>
      </c>
      <c r="E83" s="130">
        <v>59</v>
      </c>
      <c r="F83" s="130">
        <v>51</v>
      </c>
      <c r="G83" s="1595"/>
      <c r="H83" s="182"/>
      <c r="I83" s="33"/>
    </row>
    <row r="84" spans="1:9" ht="16.5">
      <c r="A84" s="751" t="s">
        <v>3327</v>
      </c>
      <c r="B84" s="130">
        <f t="shared" si="4"/>
        <v>76</v>
      </c>
      <c r="C84" s="130">
        <f t="shared" si="4"/>
        <v>71</v>
      </c>
      <c r="D84" s="130">
        <v>66</v>
      </c>
      <c r="E84" s="130">
        <v>58.5</v>
      </c>
      <c r="F84" s="130">
        <v>51</v>
      </c>
      <c r="G84" s="1595"/>
      <c r="H84" s="182"/>
      <c r="I84" s="33"/>
    </row>
    <row r="85" spans="1:9" ht="16.5">
      <c r="A85" s="751" t="s">
        <v>3556</v>
      </c>
      <c r="B85" s="130">
        <f t="shared" si="4"/>
        <v>76</v>
      </c>
      <c r="C85" s="130">
        <f t="shared" si="4"/>
        <v>71</v>
      </c>
      <c r="D85" s="130">
        <v>66</v>
      </c>
      <c r="E85" s="130">
        <v>56.5</v>
      </c>
      <c r="F85" s="130">
        <v>51</v>
      </c>
      <c r="G85" s="1595"/>
      <c r="H85" s="182"/>
      <c r="I85" s="33"/>
    </row>
    <row r="86" spans="1:9" ht="16.5">
      <c r="A86" s="751" t="s">
        <v>2914</v>
      </c>
      <c r="B86" s="130">
        <f t="shared" si="4"/>
        <v>75.5</v>
      </c>
      <c r="C86" s="130">
        <f t="shared" si="4"/>
        <v>70.5</v>
      </c>
      <c r="D86" s="130">
        <v>65.5</v>
      </c>
      <c r="E86" s="130">
        <v>58.5</v>
      </c>
      <c r="F86" s="130">
        <v>50.5</v>
      </c>
      <c r="G86" s="1595"/>
      <c r="H86" s="182"/>
      <c r="I86" s="33"/>
    </row>
    <row r="87" spans="1:9" ht="16.5">
      <c r="A87" s="751" t="s">
        <v>2915</v>
      </c>
      <c r="B87" s="130">
        <f t="shared" si="4"/>
        <v>74</v>
      </c>
      <c r="C87" s="130">
        <f t="shared" si="4"/>
        <v>69</v>
      </c>
      <c r="D87" s="130">
        <v>64</v>
      </c>
      <c r="E87" s="130">
        <v>57</v>
      </c>
      <c r="F87" s="130">
        <v>49</v>
      </c>
      <c r="G87" s="1595"/>
      <c r="H87" s="182"/>
      <c r="I87" s="33"/>
    </row>
    <row r="88" spans="1:9" ht="16.5">
      <c r="A88" s="751" t="s">
        <v>2916</v>
      </c>
      <c r="B88" s="130">
        <f t="shared" si="4"/>
        <v>73.5</v>
      </c>
      <c r="C88" s="130">
        <f t="shared" si="4"/>
        <v>68.5</v>
      </c>
      <c r="D88" s="130">
        <v>63.5</v>
      </c>
      <c r="E88" s="130">
        <v>56.5</v>
      </c>
      <c r="F88" s="130">
        <v>48.5</v>
      </c>
      <c r="G88" s="1595"/>
      <c r="H88" s="182"/>
      <c r="I88" s="33"/>
    </row>
    <row r="89" spans="1:9" ht="16.5">
      <c r="A89" s="751" t="s">
        <v>2917</v>
      </c>
      <c r="B89" s="130">
        <f t="shared" si="4"/>
        <v>74</v>
      </c>
      <c r="C89" s="130">
        <f t="shared" si="4"/>
        <v>69</v>
      </c>
      <c r="D89" s="130">
        <v>64</v>
      </c>
      <c r="E89" s="130">
        <v>56</v>
      </c>
      <c r="F89" s="130">
        <v>48</v>
      </c>
      <c r="G89" s="1595"/>
      <c r="H89" s="182"/>
      <c r="I89" s="33"/>
    </row>
    <row r="90" spans="1:9" ht="16.5">
      <c r="A90" s="751" t="s">
        <v>3557</v>
      </c>
      <c r="B90" s="130">
        <f t="shared" si="4"/>
        <v>73</v>
      </c>
      <c r="C90" s="130">
        <f t="shared" si="4"/>
        <v>68</v>
      </c>
      <c r="D90" s="130">
        <v>63</v>
      </c>
      <c r="E90" s="130">
        <v>56</v>
      </c>
      <c r="F90" s="130">
        <v>48</v>
      </c>
      <c r="G90" s="1595"/>
      <c r="H90" s="182"/>
      <c r="I90" s="33"/>
    </row>
    <row r="91" spans="1:9" ht="16.5">
      <c r="A91" s="751" t="s">
        <v>2918</v>
      </c>
      <c r="B91" s="130">
        <f t="shared" si="4"/>
        <v>72.5</v>
      </c>
      <c r="C91" s="130">
        <f t="shared" si="4"/>
        <v>67.5</v>
      </c>
      <c r="D91" s="130">
        <v>62.5</v>
      </c>
      <c r="E91" s="130">
        <v>55.5</v>
      </c>
      <c r="F91" s="130">
        <v>47.5</v>
      </c>
      <c r="G91" s="1595"/>
      <c r="H91" s="182"/>
      <c r="I91" s="33"/>
    </row>
    <row r="92" spans="1:9" ht="16.5">
      <c r="A92" s="751" t="s">
        <v>3558</v>
      </c>
      <c r="B92" s="130">
        <f t="shared" si="4"/>
        <v>71.5</v>
      </c>
      <c r="C92" s="130">
        <f t="shared" si="4"/>
        <v>66.5</v>
      </c>
      <c r="D92" s="130">
        <v>61.5</v>
      </c>
      <c r="E92" s="130">
        <v>54.5</v>
      </c>
      <c r="F92" s="130">
        <v>47.5</v>
      </c>
      <c r="G92" s="1595"/>
      <c r="H92" s="182"/>
      <c r="I92" s="33"/>
    </row>
    <row r="93" spans="1:9" ht="16.5">
      <c r="A93" s="751" t="s">
        <v>2919</v>
      </c>
      <c r="B93" s="130">
        <f t="shared" si="4"/>
        <v>72</v>
      </c>
      <c r="C93" s="130">
        <f t="shared" si="4"/>
        <v>67</v>
      </c>
      <c r="D93" s="130">
        <v>62</v>
      </c>
      <c r="E93" s="130">
        <v>55</v>
      </c>
      <c r="F93" s="130">
        <v>47</v>
      </c>
      <c r="G93" s="1595"/>
      <c r="H93" s="182"/>
      <c r="I93" s="33"/>
    </row>
    <row r="94" spans="1:9" ht="16.5">
      <c r="A94" s="751" t="s">
        <v>2920</v>
      </c>
      <c r="B94" s="130">
        <f t="shared" si="4"/>
        <v>72.5</v>
      </c>
      <c r="C94" s="130">
        <f t="shared" si="4"/>
        <v>67.5</v>
      </c>
      <c r="D94" s="130">
        <v>62.5</v>
      </c>
      <c r="E94" s="130">
        <v>55.5</v>
      </c>
      <c r="F94" s="130">
        <v>46.5</v>
      </c>
      <c r="G94" s="1595"/>
      <c r="H94" s="182"/>
      <c r="I94" s="33"/>
    </row>
    <row r="95" spans="1:9" ht="16.5">
      <c r="A95" s="751" t="s">
        <v>2921</v>
      </c>
      <c r="B95" s="130">
        <f t="shared" si="4"/>
        <v>71</v>
      </c>
      <c r="C95" s="130">
        <f t="shared" si="4"/>
        <v>66</v>
      </c>
      <c r="D95" s="130">
        <v>61</v>
      </c>
      <c r="E95" s="130">
        <v>54</v>
      </c>
      <c r="F95" s="130">
        <v>46</v>
      </c>
      <c r="G95" s="1595"/>
      <c r="H95" s="182"/>
      <c r="I95" s="33"/>
    </row>
    <row r="96" spans="1:9" ht="16.5">
      <c r="A96" s="751" t="s">
        <v>2922</v>
      </c>
      <c r="B96" s="130">
        <f t="shared" si="4"/>
        <v>70</v>
      </c>
      <c r="C96" s="130">
        <f t="shared" si="4"/>
        <v>65</v>
      </c>
      <c r="D96" s="130">
        <v>60</v>
      </c>
      <c r="E96" s="130">
        <v>53</v>
      </c>
      <c r="F96" s="130">
        <v>45</v>
      </c>
      <c r="G96" s="1595"/>
      <c r="H96" s="182"/>
      <c r="I96" s="33"/>
    </row>
    <row r="97" spans="1:9" ht="16.5">
      <c r="A97" s="751" t="s">
        <v>2923</v>
      </c>
      <c r="B97" s="130">
        <f t="shared" si="4"/>
        <v>69.5</v>
      </c>
      <c r="C97" s="130">
        <f t="shared" si="4"/>
        <v>64.5</v>
      </c>
      <c r="D97" s="130">
        <v>59.5</v>
      </c>
      <c r="E97" s="130">
        <v>52.5</v>
      </c>
      <c r="F97" s="130">
        <v>44.5</v>
      </c>
      <c r="G97" s="1595"/>
      <c r="H97" s="182"/>
      <c r="I97" s="33"/>
    </row>
    <row r="98" spans="1:9" ht="16.5">
      <c r="A98" s="751" t="s">
        <v>2924</v>
      </c>
      <c r="B98" s="130">
        <f t="shared" si="4"/>
        <v>67</v>
      </c>
      <c r="C98" s="130">
        <f t="shared" si="4"/>
        <v>62</v>
      </c>
      <c r="D98" s="130">
        <v>57</v>
      </c>
      <c r="E98" s="130">
        <v>50</v>
      </c>
      <c r="F98" s="130">
        <v>42</v>
      </c>
      <c r="G98" s="1595"/>
      <c r="H98" s="182"/>
      <c r="I98" s="33"/>
    </row>
    <row r="99" spans="1:9" ht="16.5">
      <c r="A99" s="514" t="s">
        <v>2905</v>
      </c>
      <c r="B99" s="468">
        <v>81</v>
      </c>
      <c r="C99" s="468">
        <v>75</v>
      </c>
      <c r="D99" s="469">
        <v>68</v>
      </c>
      <c r="E99" s="470">
        <v>61</v>
      </c>
      <c r="F99" s="470">
        <v>52</v>
      </c>
      <c r="G99" s="1593" t="s">
        <v>2931</v>
      </c>
    </row>
    <row r="100" spans="1:9" ht="16.5">
      <c r="A100" s="514" t="s">
        <v>2906</v>
      </c>
      <c r="B100" s="468">
        <v>80</v>
      </c>
      <c r="C100" s="468">
        <v>74</v>
      </c>
      <c r="D100" s="469">
        <v>67</v>
      </c>
      <c r="E100" s="470">
        <v>60</v>
      </c>
      <c r="F100" s="470">
        <v>51</v>
      </c>
      <c r="G100" s="1593"/>
    </row>
    <row r="101" spans="1:9" ht="16.5">
      <c r="A101" s="514" t="s">
        <v>2907</v>
      </c>
      <c r="B101" s="468">
        <v>79</v>
      </c>
      <c r="C101" s="468">
        <v>73</v>
      </c>
      <c r="D101" s="469">
        <v>66</v>
      </c>
      <c r="E101" s="470">
        <v>59</v>
      </c>
      <c r="F101" s="470">
        <v>50</v>
      </c>
      <c r="G101" s="1593"/>
    </row>
    <row r="102" spans="1:9" ht="16.5">
      <c r="A102" s="514" t="s">
        <v>2908</v>
      </c>
      <c r="B102" s="468">
        <v>78</v>
      </c>
      <c r="C102" s="468">
        <v>72</v>
      </c>
      <c r="D102" s="469">
        <v>65</v>
      </c>
      <c r="E102" s="470">
        <v>58</v>
      </c>
      <c r="F102" s="470">
        <v>49</v>
      </c>
      <c r="G102" s="1593"/>
    </row>
    <row r="103" spans="1:9" ht="16.5">
      <c r="A103" s="514" t="s">
        <v>2909</v>
      </c>
      <c r="B103" s="468">
        <v>77</v>
      </c>
      <c r="C103" s="468">
        <v>71</v>
      </c>
      <c r="D103" s="469">
        <v>64</v>
      </c>
      <c r="E103" s="470">
        <v>57</v>
      </c>
      <c r="F103" s="470">
        <v>48</v>
      </c>
      <c r="G103" s="1593"/>
    </row>
    <row r="104" spans="1:9" ht="16.5">
      <c r="A104" s="514" t="s">
        <v>2910</v>
      </c>
      <c r="B104" s="468">
        <v>76</v>
      </c>
      <c r="C104" s="468">
        <v>70</v>
      </c>
      <c r="D104" s="469">
        <v>63</v>
      </c>
      <c r="E104" s="470">
        <v>56</v>
      </c>
      <c r="F104" s="470">
        <v>47</v>
      </c>
      <c r="G104" s="1593"/>
    </row>
    <row r="105" spans="1:9" ht="16.5">
      <c r="A105" s="514" t="s">
        <v>2911</v>
      </c>
      <c r="B105" s="468">
        <v>75</v>
      </c>
      <c r="C105" s="468">
        <v>69</v>
      </c>
      <c r="D105" s="469">
        <v>62</v>
      </c>
      <c r="E105" s="470">
        <v>55</v>
      </c>
      <c r="F105" s="470">
        <v>46</v>
      </c>
      <c r="G105" s="1593"/>
    </row>
    <row r="106" spans="1:9" ht="16.5">
      <c r="A106" s="514" t="s">
        <v>2912</v>
      </c>
      <c r="B106" s="468">
        <v>74</v>
      </c>
      <c r="C106" s="468">
        <v>68</v>
      </c>
      <c r="D106" s="469">
        <v>61</v>
      </c>
      <c r="E106" s="470">
        <v>54</v>
      </c>
      <c r="F106" s="470">
        <v>45</v>
      </c>
      <c r="G106" s="1593"/>
    </row>
    <row r="107" spans="1:9" ht="16.5">
      <c r="A107" s="514" t="s">
        <v>2913</v>
      </c>
      <c r="B107" s="468">
        <v>73</v>
      </c>
      <c r="C107" s="468">
        <v>67</v>
      </c>
      <c r="D107" s="469">
        <v>60</v>
      </c>
      <c r="E107" s="470">
        <v>53</v>
      </c>
      <c r="F107" s="470">
        <v>44</v>
      </c>
      <c r="G107" s="1593"/>
    </row>
    <row r="108" spans="1:9" ht="16.5">
      <c r="A108" s="514" t="s">
        <v>2914</v>
      </c>
      <c r="B108" s="468">
        <v>72</v>
      </c>
      <c r="C108" s="468">
        <v>66</v>
      </c>
      <c r="D108" s="469">
        <v>59</v>
      </c>
      <c r="E108" s="470">
        <v>52</v>
      </c>
      <c r="F108" s="470">
        <v>43</v>
      </c>
      <c r="G108" s="1593"/>
    </row>
    <row r="109" spans="1:9" ht="16.5">
      <c r="A109" s="514" t="s">
        <v>2915</v>
      </c>
      <c r="B109" s="468">
        <v>71</v>
      </c>
      <c r="C109" s="468">
        <v>65</v>
      </c>
      <c r="D109" s="469">
        <v>58</v>
      </c>
      <c r="E109" s="470">
        <v>51</v>
      </c>
      <c r="F109" s="470">
        <v>42</v>
      </c>
      <c r="G109" s="1593"/>
    </row>
    <row r="110" spans="1:9" ht="16.5">
      <c r="A110" s="514" t="s">
        <v>2916</v>
      </c>
      <c r="B110" s="468">
        <v>70</v>
      </c>
      <c r="C110" s="468">
        <v>64</v>
      </c>
      <c r="D110" s="469">
        <v>57</v>
      </c>
      <c r="E110" s="470">
        <v>50</v>
      </c>
      <c r="F110" s="470">
        <v>41</v>
      </c>
      <c r="G110" s="1593"/>
    </row>
    <row r="111" spans="1:9" ht="16.5">
      <c r="A111" s="514" t="s">
        <v>2917</v>
      </c>
      <c r="B111" s="468">
        <v>69</v>
      </c>
      <c r="C111" s="468">
        <v>63</v>
      </c>
      <c r="D111" s="469">
        <v>56</v>
      </c>
      <c r="E111" s="470">
        <v>49</v>
      </c>
      <c r="F111" s="470">
        <v>40</v>
      </c>
      <c r="G111" s="1593"/>
    </row>
    <row r="112" spans="1:9" ht="16.5">
      <c r="A112" s="514" t="s">
        <v>2918</v>
      </c>
      <c r="B112" s="468">
        <v>68</v>
      </c>
      <c r="C112" s="468">
        <v>62</v>
      </c>
      <c r="D112" s="469">
        <v>55</v>
      </c>
      <c r="E112" s="470">
        <v>48</v>
      </c>
      <c r="F112" s="470">
        <v>39</v>
      </c>
      <c r="G112" s="1593"/>
    </row>
    <row r="113" spans="1:8" ht="16.5">
      <c r="A113" s="514" t="s">
        <v>2919</v>
      </c>
      <c r="B113" s="468">
        <v>67</v>
      </c>
      <c r="C113" s="468">
        <v>61</v>
      </c>
      <c r="D113" s="469">
        <v>54</v>
      </c>
      <c r="E113" s="470">
        <v>47</v>
      </c>
      <c r="F113" s="470">
        <v>38</v>
      </c>
      <c r="G113" s="1593"/>
    </row>
    <row r="114" spans="1:8" ht="16.5">
      <c r="A114" s="514" t="s">
        <v>2920</v>
      </c>
      <c r="B114" s="468">
        <v>65.5</v>
      </c>
      <c r="C114" s="468">
        <v>59.5</v>
      </c>
      <c r="D114" s="469">
        <v>52.5</v>
      </c>
      <c r="E114" s="470">
        <v>45.5</v>
      </c>
      <c r="F114" s="470">
        <v>36.5</v>
      </c>
      <c r="G114" s="1593"/>
    </row>
    <row r="115" spans="1:8" ht="16.5">
      <c r="A115" s="514" t="s">
        <v>2921</v>
      </c>
      <c r="B115" s="468">
        <v>64</v>
      </c>
      <c r="C115" s="468">
        <v>58</v>
      </c>
      <c r="D115" s="469">
        <v>51</v>
      </c>
      <c r="E115" s="470">
        <v>44</v>
      </c>
      <c r="F115" s="470">
        <v>35</v>
      </c>
      <c r="G115" s="1593"/>
    </row>
    <row r="116" spans="1:8" ht="16.5">
      <c r="A116" s="514" t="s">
        <v>2922</v>
      </c>
      <c r="B116" s="468">
        <v>62.5</v>
      </c>
      <c r="C116" s="468">
        <v>56.5</v>
      </c>
      <c r="D116" s="469">
        <v>49.5</v>
      </c>
      <c r="E116" s="470">
        <v>42.5</v>
      </c>
      <c r="F116" s="470">
        <v>33.5</v>
      </c>
      <c r="G116" s="1593"/>
    </row>
    <row r="117" spans="1:8" ht="16.5">
      <c r="A117" s="514" t="s">
        <v>2923</v>
      </c>
      <c r="B117" s="468">
        <v>61</v>
      </c>
      <c r="C117" s="468">
        <v>55</v>
      </c>
      <c r="D117" s="469">
        <v>48</v>
      </c>
      <c r="E117" s="470">
        <v>41</v>
      </c>
      <c r="F117" s="470">
        <v>32</v>
      </c>
      <c r="G117" s="1593"/>
    </row>
    <row r="118" spans="1:8" ht="16.5">
      <c r="A118" s="514" t="s">
        <v>2924</v>
      </c>
      <c r="B118" s="468">
        <v>59.5</v>
      </c>
      <c r="C118" s="468">
        <v>53.5</v>
      </c>
      <c r="D118" s="469">
        <v>46.5</v>
      </c>
      <c r="E118" s="470">
        <v>39.5</v>
      </c>
      <c r="F118" s="470">
        <v>30.5</v>
      </c>
      <c r="G118" s="1593"/>
    </row>
    <row r="119" spans="1:8" ht="16.5">
      <c r="A119" s="514" t="s">
        <v>2925</v>
      </c>
      <c r="B119" s="468">
        <v>58</v>
      </c>
      <c r="C119" s="468">
        <v>52</v>
      </c>
      <c r="D119" s="469">
        <v>45</v>
      </c>
      <c r="E119" s="470">
        <v>38</v>
      </c>
      <c r="F119" s="470">
        <v>29</v>
      </c>
      <c r="G119" s="1593"/>
    </row>
    <row r="120" spans="1:8" ht="16.5">
      <c r="A120" s="514" t="s">
        <v>2926</v>
      </c>
      <c r="B120" s="468">
        <v>56.5</v>
      </c>
      <c r="C120" s="468">
        <v>50.5</v>
      </c>
      <c r="D120" s="469">
        <v>43.5</v>
      </c>
      <c r="E120" s="470">
        <v>36.5</v>
      </c>
      <c r="F120" s="470">
        <v>27.5</v>
      </c>
      <c r="G120" s="1593"/>
    </row>
    <row r="121" spans="1:8" ht="16.5">
      <c r="A121" s="514" t="s">
        <v>2927</v>
      </c>
      <c r="B121" s="468">
        <v>55</v>
      </c>
      <c r="C121" s="468">
        <v>49</v>
      </c>
      <c r="D121" s="469">
        <v>42</v>
      </c>
      <c r="E121" s="470">
        <v>35</v>
      </c>
      <c r="F121" s="470">
        <v>26</v>
      </c>
      <c r="G121" s="1593"/>
    </row>
    <row r="122" spans="1:8" ht="16.5">
      <c r="A122" s="514" t="s">
        <v>2928</v>
      </c>
      <c r="B122" s="468">
        <v>53.5</v>
      </c>
      <c r="C122" s="468">
        <v>47.5</v>
      </c>
      <c r="D122" s="469">
        <v>40.5</v>
      </c>
      <c r="E122" s="470">
        <v>33.5</v>
      </c>
      <c r="F122" s="470">
        <v>24.5</v>
      </c>
      <c r="G122" s="1593"/>
    </row>
    <row r="123" spans="1:8" ht="16.5">
      <c r="A123" s="514" t="s">
        <v>2273</v>
      </c>
      <c r="B123" s="468">
        <v>52</v>
      </c>
      <c r="C123" s="468">
        <v>46</v>
      </c>
      <c r="D123" s="469">
        <v>39</v>
      </c>
      <c r="E123" s="470">
        <v>32</v>
      </c>
      <c r="F123" s="470">
        <v>23</v>
      </c>
      <c r="G123" s="1593"/>
    </row>
    <row r="124" spans="1:8" ht="16.5">
      <c r="A124" s="514" t="s">
        <v>2929</v>
      </c>
      <c r="B124" s="468">
        <v>50.5</v>
      </c>
      <c r="C124" s="468">
        <v>44.5</v>
      </c>
      <c r="D124" s="469">
        <v>37.5</v>
      </c>
      <c r="E124" s="470">
        <v>30.5</v>
      </c>
      <c r="F124" s="470">
        <v>21.5</v>
      </c>
      <c r="G124" s="1593"/>
    </row>
    <row r="125" spans="1:8" ht="16.5">
      <c r="A125" s="514" t="s">
        <v>3472</v>
      </c>
      <c r="B125" s="468">
        <f t="shared" ref="B125:F127" si="5">+B126+1</f>
        <v>82</v>
      </c>
      <c r="C125" s="468">
        <f t="shared" si="5"/>
        <v>75</v>
      </c>
      <c r="D125" s="469">
        <f t="shared" si="5"/>
        <v>68</v>
      </c>
      <c r="E125" s="470">
        <f t="shared" si="5"/>
        <v>60</v>
      </c>
      <c r="F125" s="470">
        <f t="shared" si="5"/>
        <v>52</v>
      </c>
      <c r="G125" s="1589" t="s">
        <v>2932</v>
      </c>
      <c r="H125" s="33" t="s">
        <v>3475</v>
      </c>
    </row>
    <row r="126" spans="1:8" ht="16.5">
      <c r="A126" s="514" t="s">
        <v>3473</v>
      </c>
      <c r="B126" s="468">
        <f t="shared" si="5"/>
        <v>81</v>
      </c>
      <c r="C126" s="468">
        <f t="shared" si="5"/>
        <v>74</v>
      </c>
      <c r="D126" s="469">
        <f t="shared" si="5"/>
        <v>67</v>
      </c>
      <c r="E126" s="470">
        <f t="shared" si="5"/>
        <v>59</v>
      </c>
      <c r="F126" s="470">
        <f t="shared" si="5"/>
        <v>51</v>
      </c>
      <c r="G126" s="1590"/>
      <c r="H126" s="33" t="s">
        <v>3475</v>
      </c>
    </row>
    <row r="127" spans="1:8" ht="16.5">
      <c r="A127" s="514" t="s">
        <v>3474</v>
      </c>
      <c r="B127" s="468">
        <f t="shared" si="5"/>
        <v>80</v>
      </c>
      <c r="C127" s="468">
        <f t="shared" si="5"/>
        <v>73</v>
      </c>
      <c r="D127" s="469">
        <f t="shared" si="5"/>
        <v>66</v>
      </c>
      <c r="E127" s="470">
        <f t="shared" si="5"/>
        <v>58</v>
      </c>
      <c r="F127" s="470">
        <f t="shared" si="5"/>
        <v>50</v>
      </c>
      <c r="G127" s="1590"/>
      <c r="H127" s="33" t="s">
        <v>3475</v>
      </c>
    </row>
    <row r="128" spans="1:8" ht="16.5">
      <c r="A128" s="514">
        <v>1</v>
      </c>
      <c r="B128" s="468">
        <v>79</v>
      </c>
      <c r="C128" s="468">
        <v>72</v>
      </c>
      <c r="D128" s="469">
        <v>65</v>
      </c>
      <c r="E128" s="470">
        <v>57</v>
      </c>
      <c r="F128" s="470">
        <v>49</v>
      </c>
      <c r="G128" s="1590"/>
    </row>
    <row r="129" spans="1:7" ht="16.5">
      <c r="A129" s="514">
        <v>2</v>
      </c>
      <c r="B129" s="468">
        <v>78</v>
      </c>
      <c r="C129" s="468">
        <v>71</v>
      </c>
      <c r="D129" s="469">
        <v>64</v>
      </c>
      <c r="E129" s="470">
        <v>56</v>
      </c>
      <c r="F129" s="470">
        <v>48</v>
      </c>
      <c r="G129" s="1590"/>
    </row>
    <row r="130" spans="1:7" ht="16.5">
      <c r="A130" s="514">
        <v>3</v>
      </c>
      <c r="B130" s="468">
        <v>77</v>
      </c>
      <c r="C130" s="468">
        <v>70</v>
      </c>
      <c r="D130" s="469">
        <v>63</v>
      </c>
      <c r="E130" s="470">
        <v>55</v>
      </c>
      <c r="F130" s="470">
        <v>47</v>
      </c>
      <c r="G130" s="1590"/>
    </row>
    <row r="131" spans="1:7" ht="16.5">
      <c r="A131" s="514">
        <v>4</v>
      </c>
      <c r="B131" s="468">
        <v>76</v>
      </c>
      <c r="C131" s="468">
        <v>69</v>
      </c>
      <c r="D131" s="469">
        <v>62</v>
      </c>
      <c r="E131" s="470">
        <v>54</v>
      </c>
      <c r="F131" s="470">
        <v>46</v>
      </c>
      <c r="G131" s="1590"/>
    </row>
    <row r="132" spans="1:7" ht="16.5">
      <c r="A132" s="514">
        <v>5</v>
      </c>
      <c r="B132" s="468">
        <v>75</v>
      </c>
      <c r="C132" s="468">
        <v>68</v>
      </c>
      <c r="D132" s="469">
        <v>61</v>
      </c>
      <c r="E132" s="470">
        <v>53</v>
      </c>
      <c r="F132" s="470">
        <v>45</v>
      </c>
      <c r="G132" s="1590"/>
    </row>
    <row r="133" spans="1:7" ht="16.5">
      <c r="A133" s="514">
        <v>6</v>
      </c>
      <c r="B133" s="468">
        <v>74</v>
      </c>
      <c r="C133" s="468">
        <v>67</v>
      </c>
      <c r="D133" s="469">
        <v>60</v>
      </c>
      <c r="E133" s="470">
        <v>52</v>
      </c>
      <c r="F133" s="470">
        <v>44</v>
      </c>
      <c r="G133" s="1590"/>
    </row>
    <row r="134" spans="1:7" ht="16.5">
      <c r="A134" s="514">
        <v>7</v>
      </c>
      <c r="B134" s="468">
        <v>73</v>
      </c>
      <c r="C134" s="468">
        <v>66</v>
      </c>
      <c r="D134" s="469">
        <v>59</v>
      </c>
      <c r="E134" s="470">
        <v>51</v>
      </c>
      <c r="F134" s="470">
        <v>43</v>
      </c>
      <c r="G134" s="1590"/>
    </row>
    <row r="135" spans="1:7" ht="16.5">
      <c r="A135" s="514">
        <v>8</v>
      </c>
      <c r="B135" s="468">
        <v>72</v>
      </c>
      <c r="C135" s="468">
        <v>65</v>
      </c>
      <c r="D135" s="469">
        <v>58</v>
      </c>
      <c r="E135" s="470">
        <v>50</v>
      </c>
      <c r="F135" s="470">
        <v>42</v>
      </c>
      <c r="G135" s="1590"/>
    </row>
    <row r="136" spans="1:7" ht="16.5">
      <c r="A136" s="514">
        <v>9</v>
      </c>
      <c r="B136" s="468">
        <v>71</v>
      </c>
      <c r="C136" s="468">
        <v>64</v>
      </c>
      <c r="D136" s="469">
        <v>57</v>
      </c>
      <c r="E136" s="470">
        <v>49</v>
      </c>
      <c r="F136" s="470">
        <v>41</v>
      </c>
      <c r="G136" s="1590"/>
    </row>
    <row r="137" spans="1:7" ht="16.5">
      <c r="A137" s="514">
        <v>10</v>
      </c>
      <c r="B137" s="468">
        <v>70</v>
      </c>
      <c r="C137" s="468">
        <v>63</v>
      </c>
      <c r="D137" s="469">
        <v>56</v>
      </c>
      <c r="E137" s="470">
        <v>48</v>
      </c>
      <c r="F137" s="470">
        <v>40</v>
      </c>
      <c r="G137" s="1590"/>
    </row>
    <row r="138" spans="1:7" ht="16.5">
      <c r="A138" s="514">
        <v>11</v>
      </c>
      <c r="B138" s="468">
        <v>69</v>
      </c>
      <c r="C138" s="468">
        <v>62</v>
      </c>
      <c r="D138" s="469">
        <v>55</v>
      </c>
      <c r="E138" s="470">
        <v>47</v>
      </c>
      <c r="F138" s="470">
        <v>39</v>
      </c>
      <c r="G138" s="1590"/>
    </row>
    <row r="139" spans="1:7" ht="16.5">
      <c r="A139" s="514">
        <v>12</v>
      </c>
      <c r="B139" s="468">
        <v>68</v>
      </c>
      <c r="C139" s="468">
        <v>61</v>
      </c>
      <c r="D139" s="469">
        <v>54</v>
      </c>
      <c r="E139" s="470">
        <v>46</v>
      </c>
      <c r="F139" s="470">
        <v>38</v>
      </c>
      <c r="G139" s="1590"/>
    </row>
    <row r="140" spans="1:7" ht="16.5">
      <c r="A140" s="514">
        <v>13</v>
      </c>
      <c r="B140" s="468">
        <v>67</v>
      </c>
      <c r="C140" s="468">
        <v>60</v>
      </c>
      <c r="D140" s="469">
        <v>53</v>
      </c>
      <c r="E140" s="470">
        <v>45</v>
      </c>
      <c r="F140" s="470">
        <v>37</v>
      </c>
      <c r="G140" s="1590"/>
    </row>
    <row r="141" spans="1:7" ht="16.5">
      <c r="A141" s="514">
        <v>14</v>
      </c>
      <c r="B141" s="468">
        <v>66</v>
      </c>
      <c r="C141" s="468">
        <v>59</v>
      </c>
      <c r="D141" s="469">
        <v>52</v>
      </c>
      <c r="E141" s="470">
        <v>44</v>
      </c>
      <c r="F141" s="470">
        <v>36</v>
      </c>
      <c r="G141" s="1590"/>
    </row>
    <row r="142" spans="1:7" ht="16.5">
      <c r="A142" s="514">
        <v>15</v>
      </c>
      <c r="B142" s="468">
        <v>65</v>
      </c>
      <c r="C142" s="468">
        <v>58</v>
      </c>
      <c r="D142" s="469">
        <v>51</v>
      </c>
      <c r="E142" s="470">
        <v>43</v>
      </c>
      <c r="F142" s="470">
        <v>35</v>
      </c>
      <c r="G142" s="1590"/>
    </row>
    <row r="143" spans="1:7" ht="16.5">
      <c r="A143" s="514">
        <v>16</v>
      </c>
      <c r="B143" s="468">
        <v>62</v>
      </c>
      <c r="C143" s="468">
        <v>55</v>
      </c>
      <c r="D143" s="469">
        <v>48</v>
      </c>
      <c r="E143" s="470">
        <v>40</v>
      </c>
      <c r="F143" s="470">
        <v>32</v>
      </c>
      <c r="G143" s="1590"/>
    </row>
    <row r="144" spans="1:7" ht="16.5">
      <c r="A144" s="514">
        <v>17</v>
      </c>
      <c r="B144" s="468">
        <v>61</v>
      </c>
      <c r="C144" s="468">
        <v>54</v>
      </c>
      <c r="D144" s="469">
        <v>47</v>
      </c>
      <c r="E144" s="470">
        <v>39</v>
      </c>
      <c r="F144" s="470">
        <v>31</v>
      </c>
      <c r="G144" s="1590"/>
    </row>
    <row r="145" spans="1:9" ht="16.5">
      <c r="A145" s="514">
        <v>18</v>
      </c>
      <c r="B145" s="468">
        <v>58</v>
      </c>
      <c r="C145" s="468">
        <v>51</v>
      </c>
      <c r="D145" s="469">
        <v>44</v>
      </c>
      <c r="E145" s="470">
        <v>36</v>
      </c>
      <c r="F145" s="470">
        <v>28</v>
      </c>
      <c r="G145" s="1590"/>
    </row>
    <row r="146" spans="1:9" ht="16.5">
      <c r="A146" s="514">
        <v>19</v>
      </c>
      <c r="B146" s="468">
        <v>57</v>
      </c>
      <c r="C146" s="468">
        <v>50</v>
      </c>
      <c r="D146" s="469">
        <v>43</v>
      </c>
      <c r="E146" s="470">
        <v>35</v>
      </c>
      <c r="F146" s="470">
        <v>27</v>
      </c>
      <c r="G146" s="1590"/>
    </row>
    <row r="147" spans="1:9" ht="16.5">
      <c r="A147" s="514">
        <v>20</v>
      </c>
      <c r="B147" s="468">
        <v>56</v>
      </c>
      <c r="C147" s="468">
        <v>49</v>
      </c>
      <c r="D147" s="469">
        <v>42</v>
      </c>
      <c r="E147" s="470">
        <v>34</v>
      </c>
      <c r="F147" s="470">
        <v>26</v>
      </c>
      <c r="G147" s="1590"/>
    </row>
    <row r="148" spans="1:9" ht="16.5">
      <c r="A148" s="514">
        <v>21</v>
      </c>
      <c r="B148" s="468">
        <v>54</v>
      </c>
      <c r="C148" s="468">
        <v>47</v>
      </c>
      <c r="D148" s="469">
        <v>40</v>
      </c>
      <c r="E148" s="470">
        <v>32</v>
      </c>
      <c r="F148" s="470">
        <v>24</v>
      </c>
      <c r="G148" s="1590"/>
    </row>
    <row r="149" spans="1:9" ht="16.5">
      <c r="A149" s="514">
        <v>22</v>
      </c>
      <c r="B149" s="468">
        <v>52</v>
      </c>
      <c r="C149" s="468">
        <v>45</v>
      </c>
      <c r="D149" s="469">
        <v>38</v>
      </c>
      <c r="E149" s="470">
        <v>30</v>
      </c>
      <c r="F149" s="470">
        <v>22</v>
      </c>
      <c r="G149" s="1590"/>
    </row>
    <row r="150" spans="1:9" ht="16.5">
      <c r="A150" s="514">
        <v>23</v>
      </c>
      <c r="B150" s="468">
        <v>49</v>
      </c>
      <c r="C150" s="468">
        <v>42</v>
      </c>
      <c r="D150" s="469">
        <v>35</v>
      </c>
      <c r="E150" s="470">
        <v>27</v>
      </c>
      <c r="F150" s="470">
        <v>19</v>
      </c>
      <c r="G150" s="1590"/>
    </row>
    <row r="151" spans="1:9" ht="16.5">
      <c r="A151" s="514">
        <v>24</v>
      </c>
      <c r="B151" s="468">
        <v>47</v>
      </c>
      <c r="C151" s="468">
        <v>40</v>
      </c>
      <c r="D151" s="469">
        <v>33</v>
      </c>
      <c r="E151" s="470">
        <v>25</v>
      </c>
      <c r="F151" s="470">
        <v>17</v>
      </c>
      <c r="G151" s="1591"/>
    </row>
    <row r="152" spans="1:9" ht="16.5">
      <c r="A152" s="493">
        <v>1</v>
      </c>
      <c r="B152" s="512">
        <v>80</v>
      </c>
      <c r="C152" s="512">
        <v>74</v>
      </c>
      <c r="D152" s="513">
        <v>68</v>
      </c>
      <c r="E152" s="512">
        <v>61</v>
      </c>
      <c r="F152" s="512">
        <v>53</v>
      </c>
      <c r="G152" s="1589" t="s">
        <v>3156</v>
      </c>
      <c r="I152" s="33"/>
    </row>
    <row r="153" spans="1:9" ht="16.5">
      <c r="A153" s="493">
        <v>2</v>
      </c>
      <c r="B153" s="512">
        <v>78</v>
      </c>
      <c r="C153" s="512">
        <v>72</v>
      </c>
      <c r="D153" s="513">
        <v>66</v>
      </c>
      <c r="E153" s="512">
        <v>59</v>
      </c>
      <c r="F153" s="512">
        <v>51</v>
      </c>
      <c r="G153" s="1590"/>
      <c r="I153" s="33"/>
    </row>
    <row r="154" spans="1:9" ht="16.5">
      <c r="A154" s="493">
        <v>3</v>
      </c>
      <c r="B154" s="512">
        <v>77</v>
      </c>
      <c r="C154" s="512">
        <v>71</v>
      </c>
      <c r="D154" s="513">
        <v>65</v>
      </c>
      <c r="E154" s="512">
        <v>57.999999999999993</v>
      </c>
      <c r="F154" s="512">
        <v>49</v>
      </c>
      <c r="G154" s="1590"/>
      <c r="I154" s="33"/>
    </row>
    <row r="155" spans="1:9" ht="16.5">
      <c r="A155" s="493">
        <v>4</v>
      </c>
      <c r="B155" s="512">
        <v>75</v>
      </c>
      <c r="C155" s="512">
        <v>69</v>
      </c>
      <c r="D155" s="513">
        <v>63</v>
      </c>
      <c r="E155" s="512">
        <v>56.000000000000007</v>
      </c>
      <c r="F155" s="512">
        <v>48</v>
      </c>
      <c r="G155" s="1590"/>
      <c r="I155" s="33"/>
    </row>
    <row r="156" spans="1:9" ht="16.5">
      <c r="A156" s="493">
        <v>5</v>
      </c>
      <c r="B156" s="512">
        <v>73</v>
      </c>
      <c r="C156" s="512">
        <v>67</v>
      </c>
      <c r="D156" s="513">
        <v>61</v>
      </c>
      <c r="E156" s="512">
        <v>54</v>
      </c>
      <c r="F156" s="512">
        <v>46</v>
      </c>
      <c r="G156" s="1590"/>
      <c r="I156" s="33"/>
    </row>
    <row r="157" spans="1:9" ht="16.5">
      <c r="A157" s="493">
        <v>6</v>
      </c>
      <c r="B157" s="512">
        <v>72</v>
      </c>
      <c r="C157" s="512">
        <v>66</v>
      </c>
      <c r="D157" s="513">
        <v>60</v>
      </c>
      <c r="E157" s="512">
        <v>52.5</v>
      </c>
      <c r="F157" s="512">
        <v>44.5</v>
      </c>
      <c r="G157" s="1590"/>
      <c r="I157" s="33"/>
    </row>
    <row r="158" spans="1:9" ht="16.5">
      <c r="A158" s="493">
        <v>7</v>
      </c>
      <c r="B158" s="512">
        <v>71</v>
      </c>
      <c r="C158" s="512">
        <v>65</v>
      </c>
      <c r="D158" s="513">
        <v>59</v>
      </c>
      <c r="E158" s="512">
        <v>51</v>
      </c>
      <c r="F158" s="512">
        <v>44</v>
      </c>
      <c r="G158" s="1590"/>
      <c r="I158" s="33"/>
    </row>
    <row r="159" spans="1:9" ht="16.5">
      <c r="A159" s="493">
        <v>8</v>
      </c>
      <c r="B159" s="512">
        <v>70</v>
      </c>
      <c r="C159" s="512">
        <v>64</v>
      </c>
      <c r="D159" s="513">
        <v>57.999999999999993</v>
      </c>
      <c r="E159" s="512">
        <v>50</v>
      </c>
      <c r="F159" s="512">
        <v>43</v>
      </c>
      <c r="G159" s="1590"/>
      <c r="I159" s="33"/>
    </row>
    <row r="160" spans="1:9" ht="16.5">
      <c r="A160" s="493">
        <v>9</v>
      </c>
      <c r="B160" s="512">
        <v>68</v>
      </c>
      <c r="C160" s="512">
        <v>62</v>
      </c>
      <c r="D160" s="513">
        <v>56.000000000000007</v>
      </c>
      <c r="E160" s="512">
        <v>49</v>
      </c>
      <c r="F160" s="512">
        <v>41</v>
      </c>
      <c r="G160" s="1590"/>
      <c r="I160" s="33"/>
    </row>
    <row r="161" spans="1:9" ht="16.5">
      <c r="A161" s="493">
        <v>10</v>
      </c>
      <c r="B161" s="512">
        <v>63</v>
      </c>
      <c r="C161" s="512">
        <v>56.999999999999993</v>
      </c>
      <c r="D161" s="513">
        <v>51</v>
      </c>
      <c r="E161" s="512">
        <v>44</v>
      </c>
      <c r="F161" s="512">
        <v>36</v>
      </c>
      <c r="G161" s="1590"/>
      <c r="I161" s="33"/>
    </row>
    <row r="162" spans="1:9" ht="16.5">
      <c r="A162" s="493">
        <v>11</v>
      </c>
      <c r="B162" s="512">
        <v>61</v>
      </c>
      <c r="C162" s="512">
        <v>55.000000000000007</v>
      </c>
      <c r="D162" s="513">
        <v>49</v>
      </c>
      <c r="E162" s="512">
        <v>42</v>
      </c>
      <c r="F162" s="512">
        <v>34</v>
      </c>
      <c r="G162" s="1590"/>
      <c r="I162" s="33"/>
    </row>
    <row r="163" spans="1:9" ht="16.5">
      <c r="A163" s="493">
        <v>12</v>
      </c>
      <c r="B163" s="512">
        <v>57.999999999999993</v>
      </c>
      <c r="C163" s="512">
        <v>52</v>
      </c>
      <c r="D163" s="513">
        <v>46</v>
      </c>
      <c r="E163" s="512">
        <v>39</v>
      </c>
      <c r="F163" s="512">
        <v>31</v>
      </c>
      <c r="G163" s="1590"/>
      <c r="I163" s="33"/>
    </row>
    <row r="164" spans="1:9" ht="16.5">
      <c r="A164" s="493">
        <v>13</v>
      </c>
      <c r="B164" s="512">
        <v>56.000000000000007</v>
      </c>
      <c r="C164" s="512">
        <v>50</v>
      </c>
      <c r="D164" s="513">
        <v>44</v>
      </c>
      <c r="E164" s="512">
        <v>37</v>
      </c>
      <c r="F164" s="512">
        <v>28.999999999999996</v>
      </c>
      <c r="G164" s="1590"/>
      <c r="I164" s="33"/>
    </row>
    <row r="165" spans="1:9" ht="16.5">
      <c r="A165" s="493">
        <v>14</v>
      </c>
      <c r="B165" s="512">
        <v>53</v>
      </c>
      <c r="C165" s="512">
        <v>47</v>
      </c>
      <c r="D165" s="513">
        <v>41</v>
      </c>
      <c r="E165" s="512">
        <v>34</v>
      </c>
      <c r="F165" s="512">
        <v>26</v>
      </c>
      <c r="G165" s="1590"/>
      <c r="I165" s="33"/>
    </row>
    <row r="166" spans="1:9" ht="16.5">
      <c r="A166" s="664">
        <v>15</v>
      </c>
      <c r="B166" s="665">
        <v>48</v>
      </c>
      <c r="C166" s="665">
        <v>42</v>
      </c>
      <c r="D166" s="666">
        <v>36</v>
      </c>
      <c r="E166" s="665">
        <v>28.999999999999996</v>
      </c>
      <c r="F166" s="665">
        <v>21</v>
      </c>
      <c r="G166" s="1591"/>
      <c r="I166" s="33"/>
    </row>
    <row r="167" spans="1:9" ht="16.5" customHeight="1">
      <c r="A167" s="285" t="s">
        <v>3349</v>
      </c>
      <c r="B167" s="467">
        <v>88</v>
      </c>
      <c r="C167" s="467">
        <v>80</v>
      </c>
      <c r="D167" s="467">
        <v>72</v>
      </c>
      <c r="E167" s="467">
        <v>65</v>
      </c>
      <c r="F167" s="467">
        <v>57</v>
      </c>
      <c r="G167" s="1576" t="s">
        <v>3432</v>
      </c>
    </row>
    <row r="168" spans="1:9" ht="16.5">
      <c r="A168" s="285" t="s">
        <v>3350</v>
      </c>
      <c r="B168" s="467">
        <v>87</v>
      </c>
      <c r="C168" s="467">
        <v>79</v>
      </c>
      <c r="D168" s="467">
        <v>71</v>
      </c>
      <c r="E168" s="467">
        <v>64</v>
      </c>
      <c r="F168" s="467">
        <v>56</v>
      </c>
      <c r="G168" s="1577"/>
    </row>
    <row r="169" spans="1:9" ht="16.5">
      <c r="A169" s="667">
        <v>1</v>
      </c>
      <c r="B169" s="468">
        <v>86</v>
      </c>
      <c r="C169" s="468">
        <v>78</v>
      </c>
      <c r="D169" s="469">
        <v>70</v>
      </c>
      <c r="E169" s="470">
        <v>63</v>
      </c>
      <c r="F169" s="470">
        <v>55</v>
      </c>
      <c r="G169" s="1577"/>
    </row>
    <row r="170" spans="1:9" ht="16.5">
      <c r="A170" s="667" t="s">
        <v>3538</v>
      </c>
      <c r="B170" s="468"/>
      <c r="C170" s="468"/>
      <c r="D170" s="469">
        <v>69.5</v>
      </c>
      <c r="E170" s="470">
        <v>62.5</v>
      </c>
      <c r="F170" s="470">
        <v>54.5</v>
      </c>
      <c r="G170" s="1577"/>
    </row>
    <row r="171" spans="1:9" ht="16.5">
      <c r="A171" s="667">
        <v>2</v>
      </c>
      <c r="B171" s="468">
        <v>85</v>
      </c>
      <c r="C171" s="468">
        <v>77</v>
      </c>
      <c r="D171" s="469">
        <v>69</v>
      </c>
      <c r="E171" s="470">
        <v>62</v>
      </c>
      <c r="F171" s="470">
        <v>54</v>
      </c>
      <c r="G171" s="1577"/>
    </row>
    <row r="172" spans="1:9" ht="16.5">
      <c r="A172" s="667">
        <v>3</v>
      </c>
      <c r="B172" s="468">
        <v>84</v>
      </c>
      <c r="C172" s="468">
        <v>76</v>
      </c>
      <c r="D172" s="469">
        <v>68</v>
      </c>
      <c r="E172" s="470">
        <v>61</v>
      </c>
      <c r="F172" s="470">
        <v>53</v>
      </c>
      <c r="G172" s="1577"/>
    </row>
    <row r="173" spans="1:9" ht="16.5">
      <c r="A173" s="667">
        <v>4</v>
      </c>
      <c r="B173" s="468">
        <v>83</v>
      </c>
      <c r="C173" s="468">
        <v>75</v>
      </c>
      <c r="D173" s="469">
        <v>67</v>
      </c>
      <c r="E173" s="470">
        <v>60</v>
      </c>
      <c r="F173" s="470">
        <v>52</v>
      </c>
      <c r="G173" s="1577"/>
    </row>
    <row r="174" spans="1:9" ht="16.5">
      <c r="A174" s="667">
        <v>5</v>
      </c>
      <c r="B174" s="468">
        <v>82</v>
      </c>
      <c r="C174" s="468">
        <v>74</v>
      </c>
      <c r="D174" s="469">
        <v>66</v>
      </c>
      <c r="E174" s="470">
        <v>59</v>
      </c>
      <c r="F174" s="470">
        <v>51</v>
      </c>
      <c r="G174" s="1577"/>
    </row>
    <row r="175" spans="1:9" ht="16.5">
      <c r="A175" s="667">
        <v>6</v>
      </c>
      <c r="B175" s="468">
        <v>81</v>
      </c>
      <c r="C175" s="468">
        <v>73</v>
      </c>
      <c r="D175" s="469">
        <v>65</v>
      </c>
      <c r="E175" s="470">
        <v>58</v>
      </c>
      <c r="F175" s="470">
        <v>50</v>
      </c>
      <c r="G175" s="1577"/>
    </row>
    <row r="176" spans="1:9" ht="16.5">
      <c r="A176" s="667">
        <v>7</v>
      </c>
      <c r="B176" s="468">
        <v>80</v>
      </c>
      <c r="C176" s="468">
        <v>72</v>
      </c>
      <c r="D176" s="469">
        <v>64</v>
      </c>
      <c r="E176" s="470">
        <v>57</v>
      </c>
      <c r="F176" s="470">
        <v>49</v>
      </c>
      <c r="G176" s="1577"/>
    </row>
    <row r="177" spans="1:7" ht="16.5">
      <c r="A177" s="667" t="s">
        <v>3280</v>
      </c>
      <c r="B177" s="468">
        <v>79.5</v>
      </c>
      <c r="C177" s="468">
        <v>71.5</v>
      </c>
      <c r="D177" s="469">
        <v>63.5</v>
      </c>
      <c r="E177" s="470">
        <v>56.5</v>
      </c>
      <c r="F177" s="470">
        <v>48.5</v>
      </c>
      <c r="G177" s="1577"/>
    </row>
    <row r="178" spans="1:7" ht="16.5">
      <c r="A178" s="667">
        <v>8</v>
      </c>
      <c r="B178" s="468">
        <v>79</v>
      </c>
      <c r="C178" s="468">
        <v>71</v>
      </c>
      <c r="D178" s="469">
        <v>63</v>
      </c>
      <c r="E178" s="470">
        <v>56</v>
      </c>
      <c r="F178" s="470">
        <v>48</v>
      </c>
      <c r="G178" s="1577"/>
    </row>
    <row r="179" spans="1:7" ht="16.5">
      <c r="A179" s="667">
        <v>9</v>
      </c>
      <c r="B179" s="468">
        <v>78</v>
      </c>
      <c r="C179" s="468">
        <v>70</v>
      </c>
      <c r="D179" s="469">
        <v>62</v>
      </c>
      <c r="E179" s="470">
        <v>55</v>
      </c>
      <c r="F179" s="470">
        <v>47</v>
      </c>
      <c r="G179" s="1577"/>
    </row>
    <row r="180" spans="1:7" ht="16.5">
      <c r="A180" s="667" t="s">
        <v>3539</v>
      </c>
      <c r="B180" s="468"/>
      <c r="C180" s="468"/>
      <c r="D180" s="469">
        <v>61.5</v>
      </c>
      <c r="E180" s="470">
        <v>54.5</v>
      </c>
      <c r="F180" s="470">
        <v>46.5</v>
      </c>
      <c r="G180" s="1577"/>
    </row>
    <row r="181" spans="1:7" ht="16.5">
      <c r="A181" s="667">
        <v>10</v>
      </c>
      <c r="B181" s="468">
        <v>77</v>
      </c>
      <c r="C181" s="468">
        <v>69</v>
      </c>
      <c r="D181" s="469">
        <v>61</v>
      </c>
      <c r="E181" s="470">
        <v>54</v>
      </c>
      <c r="F181" s="470">
        <v>46</v>
      </c>
      <c r="G181" s="1577"/>
    </row>
    <row r="182" spans="1:7" ht="16.5">
      <c r="A182" s="667">
        <v>11</v>
      </c>
      <c r="B182" s="468">
        <v>76</v>
      </c>
      <c r="C182" s="468">
        <v>68</v>
      </c>
      <c r="D182" s="469">
        <v>60</v>
      </c>
      <c r="E182" s="470">
        <v>53</v>
      </c>
      <c r="F182" s="470">
        <v>45</v>
      </c>
      <c r="G182" s="1577"/>
    </row>
    <row r="183" spans="1:7" ht="16.5">
      <c r="A183" s="667">
        <v>12</v>
      </c>
      <c r="B183" s="468">
        <v>75</v>
      </c>
      <c r="C183" s="468">
        <v>67</v>
      </c>
      <c r="D183" s="469">
        <v>59</v>
      </c>
      <c r="E183" s="470">
        <v>52</v>
      </c>
      <c r="F183" s="470">
        <v>44</v>
      </c>
      <c r="G183" s="1577"/>
    </row>
    <row r="184" spans="1:7" ht="16.5">
      <c r="A184" s="667">
        <v>13</v>
      </c>
      <c r="B184" s="468">
        <v>74</v>
      </c>
      <c r="C184" s="468">
        <v>66</v>
      </c>
      <c r="D184" s="469">
        <v>58</v>
      </c>
      <c r="E184" s="470">
        <v>51</v>
      </c>
      <c r="F184" s="470">
        <v>43</v>
      </c>
      <c r="G184" s="1577"/>
    </row>
    <row r="185" spans="1:7" ht="16.5">
      <c r="A185" s="667">
        <v>14</v>
      </c>
      <c r="B185" s="468">
        <v>73</v>
      </c>
      <c r="C185" s="468">
        <v>65</v>
      </c>
      <c r="D185" s="469">
        <v>57</v>
      </c>
      <c r="E185" s="470">
        <v>50</v>
      </c>
      <c r="F185" s="470">
        <v>42</v>
      </c>
      <c r="G185" s="1577"/>
    </row>
    <row r="186" spans="1:7" ht="16.5">
      <c r="A186" s="667">
        <v>15</v>
      </c>
      <c r="B186" s="468">
        <v>72</v>
      </c>
      <c r="C186" s="468">
        <v>64</v>
      </c>
      <c r="D186" s="469">
        <v>56</v>
      </c>
      <c r="E186" s="470">
        <v>49</v>
      </c>
      <c r="F186" s="470">
        <v>41</v>
      </c>
      <c r="G186" s="1577"/>
    </row>
    <row r="187" spans="1:7" ht="16.5">
      <c r="A187" s="667">
        <v>16</v>
      </c>
      <c r="B187" s="468">
        <v>71</v>
      </c>
      <c r="C187" s="468">
        <v>63</v>
      </c>
      <c r="D187" s="469">
        <v>55</v>
      </c>
      <c r="E187" s="470">
        <v>48</v>
      </c>
      <c r="F187" s="470">
        <v>40</v>
      </c>
      <c r="G187" s="1577"/>
    </row>
    <row r="188" spans="1:7" ht="16.5">
      <c r="A188" s="667">
        <v>17</v>
      </c>
      <c r="B188" s="468">
        <v>70</v>
      </c>
      <c r="C188" s="468">
        <v>62.000000000000007</v>
      </c>
      <c r="D188" s="469">
        <v>54.000000000000007</v>
      </c>
      <c r="E188" s="470">
        <v>47.000000000000007</v>
      </c>
      <c r="F188" s="470">
        <v>39.000000000000007</v>
      </c>
      <c r="G188" s="1577"/>
    </row>
    <row r="189" spans="1:7" ht="16.5">
      <c r="A189" s="667">
        <v>18</v>
      </c>
      <c r="B189" s="468">
        <v>69</v>
      </c>
      <c r="C189" s="468">
        <v>61</v>
      </c>
      <c r="D189" s="469">
        <v>53</v>
      </c>
      <c r="E189" s="470">
        <v>46</v>
      </c>
      <c r="F189" s="470">
        <v>38</v>
      </c>
      <c r="G189" s="1577"/>
    </row>
    <row r="190" spans="1:7" ht="16.5">
      <c r="A190" s="667">
        <v>19</v>
      </c>
      <c r="B190" s="468">
        <v>68</v>
      </c>
      <c r="C190" s="468">
        <v>60</v>
      </c>
      <c r="D190" s="469">
        <v>52</v>
      </c>
      <c r="E190" s="470">
        <v>45</v>
      </c>
      <c r="F190" s="470">
        <v>37</v>
      </c>
      <c r="G190" s="1577"/>
    </row>
    <row r="191" spans="1:7" ht="16.5">
      <c r="A191" s="667">
        <v>20</v>
      </c>
      <c r="B191" s="468">
        <v>67</v>
      </c>
      <c r="C191" s="468">
        <v>59</v>
      </c>
      <c r="D191" s="469">
        <v>51</v>
      </c>
      <c r="E191" s="470">
        <v>44</v>
      </c>
      <c r="F191" s="470">
        <v>36</v>
      </c>
      <c r="G191" s="1577"/>
    </row>
    <row r="192" spans="1:7" ht="16.5">
      <c r="A192" s="667">
        <v>21</v>
      </c>
      <c r="B192" s="468">
        <v>66</v>
      </c>
      <c r="C192" s="468">
        <v>58</v>
      </c>
      <c r="D192" s="469">
        <v>50</v>
      </c>
      <c r="E192" s="470">
        <v>43</v>
      </c>
      <c r="F192" s="470">
        <v>35</v>
      </c>
      <c r="G192" s="1578"/>
    </row>
    <row r="193" spans="1:7">
      <c r="A193" s="493">
        <v>1.1000000000000001</v>
      </c>
      <c r="B193" s="493">
        <v>79</v>
      </c>
      <c r="C193" s="493">
        <v>73</v>
      </c>
      <c r="D193" s="493">
        <v>67</v>
      </c>
      <c r="E193" s="493">
        <v>60.000000000000007</v>
      </c>
      <c r="F193" s="493">
        <v>52</v>
      </c>
      <c r="G193" s="493" t="s">
        <v>3635</v>
      </c>
    </row>
  </sheetData>
  <mergeCells count="17">
    <mergeCell ref="R58:U58"/>
    <mergeCell ref="G152:G166"/>
    <mergeCell ref="B45:F45"/>
    <mergeCell ref="G99:G124"/>
    <mergeCell ref="G71:G98"/>
    <mergeCell ref="G125:G151"/>
    <mergeCell ref="G167:G192"/>
    <mergeCell ref="A45:A46"/>
    <mergeCell ref="M55:M56"/>
    <mergeCell ref="L1:L42"/>
    <mergeCell ref="M49:M50"/>
    <mergeCell ref="M51:M52"/>
    <mergeCell ref="G46:G70"/>
    <mergeCell ref="M53:M54"/>
    <mergeCell ref="M47:M48"/>
    <mergeCell ref="M46:Q46"/>
    <mergeCell ref="M57:M5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8"/>
  </sheetPr>
  <dimension ref="A1:X46"/>
  <sheetViews>
    <sheetView topLeftCell="A10" zoomScale="60" zoomScaleNormal="60" workbookViewId="0">
      <selection activeCell="J46" sqref="J46"/>
    </sheetView>
  </sheetViews>
  <sheetFormatPr defaultColWidth="9" defaultRowHeight="13.5"/>
  <cols>
    <col min="1" max="1" width="11.125" style="181" customWidth="1"/>
    <col min="2" max="18" width="15.5" style="181" customWidth="1"/>
    <col min="19" max="19" width="9" style="181"/>
    <col min="20" max="20" width="11.75" style="181" bestFit="1" customWidth="1"/>
    <col min="21" max="21" width="8.5" style="181" bestFit="1" customWidth="1"/>
    <col min="22" max="22" width="9.75" style="181" bestFit="1" customWidth="1"/>
    <col min="23" max="23" width="8.5" style="181" bestFit="1" customWidth="1"/>
    <col min="24" max="24" width="8.625" style="181" bestFit="1" customWidth="1"/>
    <col min="25" max="28" width="8.5" style="181" bestFit="1" customWidth="1"/>
    <col min="29" max="29" width="10.125" style="181" bestFit="1" customWidth="1"/>
    <col min="30" max="30" width="8.75" style="181" bestFit="1" customWidth="1"/>
    <col min="31" max="16384" width="9" style="181"/>
  </cols>
  <sheetData>
    <row r="1" spans="1:23" ht="24">
      <c r="A1" s="363" t="s">
        <v>2728</v>
      </c>
    </row>
    <row r="2" spans="1:23" ht="13.5" customHeight="1">
      <c r="A2" s="363"/>
    </row>
    <row r="3" spans="1:23" ht="24">
      <c r="A3" s="1601" t="s">
        <v>2729</v>
      </c>
      <c r="B3" s="1601"/>
      <c r="C3" s="1601"/>
      <c r="D3" s="1601"/>
      <c r="E3" s="1601"/>
      <c r="F3" s="1601"/>
      <c r="G3" s="1601"/>
      <c r="H3" s="1601"/>
      <c r="I3" s="1601"/>
      <c r="J3" s="1601"/>
      <c r="K3" s="1601"/>
      <c r="L3" s="1601"/>
      <c r="M3" s="1601"/>
      <c r="N3" s="1601"/>
      <c r="O3" s="1601"/>
      <c r="P3" s="1601"/>
      <c r="Q3" s="1601"/>
      <c r="R3" s="1601"/>
      <c r="S3" s="1601"/>
      <c r="T3" s="1601"/>
      <c r="U3" s="1601"/>
      <c r="V3" s="1601"/>
      <c r="W3" s="1601"/>
    </row>
    <row r="4" spans="1:23" ht="24.75" customHeight="1">
      <c r="A4" s="1602" t="s">
        <v>4</v>
      </c>
      <c r="B4" s="1602"/>
      <c r="C4" s="364">
        <v>1</v>
      </c>
      <c r="D4" s="364">
        <v>2</v>
      </c>
      <c r="E4" s="364">
        <v>3</v>
      </c>
      <c r="F4" s="364">
        <v>4</v>
      </c>
      <c r="G4" s="364">
        <v>5</v>
      </c>
      <c r="H4" s="364">
        <v>6</v>
      </c>
      <c r="I4" s="364">
        <v>7</v>
      </c>
      <c r="J4" s="364">
        <v>8</v>
      </c>
      <c r="K4" s="364">
        <v>9</v>
      </c>
      <c r="L4" s="364">
        <v>10</v>
      </c>
      <c r="M4" s="364">
        <v>11</v>
      </c>
      <c r="N4" s="364">
        <v>12</v>
      </c>
      <c r="O4" s="364">
        <v>13</v>
      </c>
      <c r="P4" s="364">
        <v>14</v>
      </c>
      <c r="Q4" s="364">
        <v>15</v>
      </c>
      <c r="R4" s="364">
        <v>16</v>
      </c>
    </row>
    <row r="5" spans="1:23" customFormat="1" ht="33" customHeight="1">
      <c r="A5" s="1603" t="s">
        <v>2730</v>
      </c>
      <c r="B5" s="1607" t="s">
        <v>74</v>
      </c>
      <c r="C5" s="365"/>
      <c r="D5" s="365"/>
      <c r="E5" s="366" t="s">
        <v>2731</v>
      </c>
      <c r="F5" s="367"/>
      <c r="G5" s="367" t="s">
        <v>2732</v>
      </c>
      <c r="H5" s="367" t="s">
        <v>2733</v>
      </c>
      <c r="I5" s="368" t="s">
        <v>2734</v>
      </c>
      <c r="J5" s="368" t="s">
        <v>2735</v>
      </c>
      <c r="K5" s="368" t="s">
        <v>2736</v>
      </c>
      <c r="L5" s="369"/>
      <c r="M5" s="367" t="s">
        <v>2737</v>
      </c>
      <c r="N5" s="367"/>
      <c r="O5" s="368" t="s">
        <v>2738</v>
      </c>
      <c r="P5" s="368" t="s">
        <v>2739</v>
      </c>
      <c r="Q5" s="370"/>
      <c r="R5" s="371"/>
    </row>
    <row r="6" spans="1:23" customFormat="1" ht="33" customHeight="1">
      <c r="A6" s="1604"/>
      <c r="B6" s="1608"/>
      <c r="C6" s="372" t="s">
        <v>2740</v>
      </c>
      <c r="D6" s="372"/>
      <c r="E6" s="372" t="s">
        <v>2741</v>
      </c>
      <c r="F6" s="373" t="s">
        <v>2742</v>
      </c>
      <c r="G6" s="374"/>
      <c r="H6" s="373" t="s">
        <v>2743</v>
      </c>
      <c r="I6" s="370"/>
      <c r="J6" s="370" t="s">
        <v>741</v>
      </c>
      <c r="K6" s="373" t="s">
        <v>2744</v>
      </c>
      <c r="L6" s="371"/>
      <c r="M6" s="373" t="s">
        <v>2745</v>
      </c>
      <c r="N6" s="373"/>
      <c r="O6" s="370" t="s">
        <v>2746</v>
      </c>
      <c r="P6" s="370"/>
      <c r="Q6" s="370"/>
      <c r="R6" s="371"/>
    </row>
    <row r="7" spans="1:23" customFormat="1" ht="33" customHeight="1">
      <c r="A7" s="1604"/>
      <c r="B7" s="1608"/>
      <c r="C7" s="375" t="s">
        <v>2747</v>
      </c>
      <c r="D7" s="372"/>
      <c r="E7" s="372" t="s">
        <v>2748</v>
      </c>
      <c r="F7" s="373" t="s">
        <v>2749</v>
      </c>
      <c r="G7" s="374"/>
      <c r="H7" s="373" t="s">
        <v>2750</v>
      </c>
      <c r="I7" s="1609" t="s">
        <v>2751</v>
      </c>
      <c r="J7" s="370"/>
      <c r="K7" s="373" t="s">
        <v>2752</v>
      </c>
      <c r="L7" s="371"/>
      <c r="M7" s="373"/>
      <c r="N7" s="373"/>
      <c r="O7" s="370" t="s">
        <v>2753</v>
      </c>
      <c r="P7" s="370"/>
      <c r="Q7" s="370" t="s">
        <v>2754</v>
      </c>
      <c r="R7" s="371"/>
    </row>
    <row r="8" spans="1:23" customFormat="1" ht="33" customHeight="1">
      <c r="A8" s="1605"/>
      <c r="B8" s="1608"/>
      <c r="C8" s="372"/>
      <c r="D8" s="372"/>
      <c r="E8" s="372" t="s">
        <v>2755</v>
      </c>
      <c r="F8" s="373"/>
      <c r="G8" s="373"/>
      <c r="H8" s="373" t="s">
        <v>2756</v>
      </c>
      <c r="I8" s="1610"/>
      <c r="J8" s="370"/>
      <c r="K8" s="370" t="s">
        <v>2757</v>
      </c>
      <c r="L8" s="371"/>
      <c r="M8" s="373"/>
      <c r="N8" s="370"/>
      <c r="O8" s="370" t="s">
        <v>2758</v>
      </c>
      <c r="P8" s="370"/>
      <c r="Q8" s="373" t="s">
        <v>2759</v>
      </c>
      <c r="R8" s="371"/>
    </row>
    <row r="9" spans="1:23" customFormat="1" ht="33" customHeight="1">
      <c r="A9" s="1605"/>
      <c r="B9" s="1607" t="s">
        <v>73</v>
      </c>
      <c r="C9" s="367" t="s">
        <v>2760</v>
      </c>
      <c r="D9" s="367"/>
      <c r="E9" s="367" t="s">
        <v>2761</v>
      </c>
      <c r="F9" s="367"/>
      <c r="G9" s="367" t="s">
        <v>2762</v>
      </c>
      <c r="H9" s="367"/>
      <c r="I9" s="367" t="s">
        <v>2763</v>
      </c>
      <c r="J9" s="367" t="s">
        <v>2764</v>
      </c>
      <c r="K9" s="368"/>
      <c r="L9" s="369"/>
      <c r="M9" s="367"/>
      <c r="N9" s="367" t="s">
        <v>2765</v>
      </c>
      <c r="O9" s="368" t="s">
        <v>2766</v>
      </c>
      <c r="P9" s="367"/>
      <c r="Q9" s="368"/>
      <c r="R9" s="369" t="s">
        <v>2767</v>
      </c>
    </row>
    <row r="10" spans="1:23" customFormat="1" ht="33" customHeight="1">
      <c r="A10" s="1605"/>
      <c r="B10" s="1608"/>
      <c r="C10" s="373"/>
      <c r="D10" s="373"/>
      <c r="E10" s="373" t="s">
        <v>2768</v>
      </c>
      <c r="F10" s="373" t="s">
        <v>2769</v>
      </c>
      <c r="G10" s="373" t="s">
        <v>2770</v>
      </c>
      <c r="H10" s="373" t="s">
        <v>2771</v>
      </c>
      <c r="I10" s="373" t="s">
        <v>2772</v>
      </c>
      <c r="J10" s="373"/>
      <c r="K10" s="370"/>
      <c r="L10" s="371"/>
      <c r="M10" s="373"/>
      <c r="N10" s="370"/>
      <c r="O10" s="370"/>
      <c r="P10" s="370"/>
      <c r="Q10" s="370"/>
      <c r="R10" s="371"/>
    </row>
    <row r="11" spans="1:23" customFormat="1" ht="33" customHeight="1">
      <c r="A11" s="1605"/>
      <c r="B11" s="1608"/>
      <c r="C11" s="373"/>
      <c r="D11" s="373"/>
      <c r="E11" s="373" t="s">
        <v>2773</v>
      </c>
      <c r="F11" s="373" t="s">
        <v>2774</v>
      </c>
      <c r="G11" s="375"/>
      <c r="H11" s="375" t="s">
        <v>2775</v>
      </c>
      <c r="I11" s="375" t="s">
        <v>2776</v>
      </c>
      <c r="J11" s="373"/>
      <c r="K11" s="370"/>
      <c r="L11" s="371"/>
      <c r="M11" s="373"/>
      <c r="N11" s="370"/>
      <c r="O11" s="370"/>
      <c r="P11" s="370"/>
      <c r="Q11" s="370"/>
      <c r="R11" s="371"/>
    </row>
    <row r="12" spans="1:23" customFormat="1" ht="33" customHeight="1">
      <c r="A12" s="1605"/>
      <c r="B12" s="1608"/>
      <c r="C12" s="373"/>
      <c r="D12" s="373"/>
      <c r="E12" s="373" t="s">
        <v>2777</v>
      </c>
      <c r="F12" s="373"/>
      <c r="G12" s="375"/>
      <c r="H12" s="375" t="s">
        <v>2778</v>
      </c>
      <c r="I12" s="375"/>
      <c r="J12" s="373"/>
      <c r="K12" s="370"/>
      <c r="L12" s="371"/>
      <c r="M12" s="373"/>
      <c r="N12" s="370"/>
      <c r="O12" s="370"/>
      <c r="P12" s="370"/>
      <c r="Q12" s="370"/>
      <c r="R12" s="371"/>
    </row>
    <row r="13" spans="1:23" customFormat="1" ht="33" customHeight="1">
      <c r="A13" s="1605"/>
      <c r="B13" s="1611"/>
      <c r="C13" s="376"/>
      <c r="D13" s="376"/>
      <c r="E13" s="376"/>
      <c r="F13" s="376"/>
      <c r="G13" s="377"/>
      <c r="H13" s="377" t="s">
        <v>2779</v>
      </c>
      <c r="I13" s="377" t="s">
        <v>623</v>
      </c>
      <c r="J13" s="376"/>
      <c r="K13" s="378"/>
      <c r="L13" s="379"/>
      <c r="M13" s="376"/>
      <c r="N13" s="376"/>
      <c r="O13" s="378"/>
      <c r="P13" s="378"/>
      <c r="Q13" s="378"/>
      <c r="R13" s="379"/>
    </row>
    <row r="14" spans="1:23" customFormat="1" ht="33" customHeight="1">
      <c r="A14" s="1605"/>
      <c r="B14" s="1607" t="s">
        <v>2258</v>
      </c>
      <c r="C14" s="367"/>
      <c r="D14" s="367"/>
      <c r="E14" s="367" t="s">
        <v>2780</v>
      </c>
      <c r="F14" s="380"/>
      <c r="G14" s="381" t="s">
        <v>2781</v>
      </c>
      <c r="H14" s="366"/>
      <c r="I14" s="366"/>
      <c r="J14" s="367"/>
      <c r="K14" s="368"/>
      <c r="L14" s="382" t="s">
        <v>2782</v>
      </c>
      <c r="M14" s="367"/>
      <c r="N14" s="367"/>
      <c r="O14" s="368"/>
      <c r="P14" s="368"/>
      <c r="Q14" s="370" t="s">
        <v>2783</v>
      </c>
      <c r="R14" s="371" t="s">
        <v>2784</v>
      </c>
    </row>
    <row r="15" spans="1:23" customFormat="1" ht="33" customHeight="1">
      <c r="A15" s="1605"/>
      <c r="B15" s="1611"/>
      <c r="C15" s="376"/>
      <c r="D15" s="376"/>
      <c r="E15" s="376"/>
      <c r="F15" s="376"/>
      <c r="G15" s="377" t="s">
        <v>2785</v>
      </c>
      <c r="H15" s="377"/>
      <c r="I15" s="377"/>
      <c r="J15" s="376"/>
      <c r="K15" s="378"/>
      <c r="L15" s="379"/>
      <c r="M15" s="376"/>
      <c r="N15" s="376" t="s">
        <v>2786</v>
      </c>
      <c r="O15" s="378"/>
      <c r="P15" s="378"/>
      <c r="Q15" s="370"/>
      <c r="R15" s="371" t="s">
        <v>2787</v>
      </c>
    </row>
    <row r="16" spans="1:23" customFormat="1" ht="33" customHeight="1">
      <c r="A16" s="1605"/>
      <c r="B16" s="1607" t="s">
        <v>2788</v>
      </c>
      <c r="C16" s="367"/>
      <c r="D16" s="367"/>
      <c r="E16" s="367"/>
      <c r="F16" s="367"/>
      <c r="G16" s="366"/>
      <c r="H16" s="366"/>
      <c r="I16" s="366"/>
      <c r="J16" s="367"/>
      <c r="K16" s="368"/>
      <c r="L16" s="317"/>
      <c r="M16" s="367"/>
      <c r="N16" s="367"/>
      <c r="O16" s="368"/>
      <c r="P16" s="368" t="s">
        <v>1180</v>
      </c>
      <c r="Q16" s="368"/>
      <c r="R16" s="369" t="s">
        <v>2789</v>
      </c>
    </row>
    <row r="17" spans="1:24" customFormat="1" ht="33" customHeight="1">
      <c r="A17" s="1605"/>
      <c r="B17" s="1608"/>
      <c r="C17" s="373"/>
      <c r="D17" s="373"/>
      <c r="E17" s="373"/>
      <c r="F17" s="373"/>
      <c r="G17" s="375"/>
      <c r="H17" s="375"/>
      <c r="I17" s="375"/>
      <c r="J17" s="373"/>
      <c r="K17" s="370"/>
      <c r="L17" s="371"/>
      <c r="M17" s="373"/>
      <c r="N17" s="375"/>
      <c r="O17" s="370"/>
      <c r="P17" s="370" t="s">
        <v>1150</v>
      </c>
      <c r="Q17" s="370"/>
      <c r="R17" s="371"/>
    </row>
    <row r="18" spans="1:24" customFormat="1" ht="33" customHeight="1">
      <c r="A18" s="1605"/>
      <c r="B18" s="1611"/>
      <c r="C18" s="376"/>
      <c r="D18" s="376"/>
      <c r="E18" s="376"/>
      <c r="F18" s="376"/>
      <c r="G18" s="377"/>
      <c r="H18" s="377"/>
      <c r="I18" s="377"/>
      <c r="J18" s="376"/>
      <c r="K18" s="378"/>
      <c r="L18" s="379"/>
      <c r="M18" s="376"/>
      <c r="N18" s="376"/>
      <c r="O18" s="378"/>
      <c r="P18" s="378" t="s">
        <v>2646</v>
      </c>
      <c r="Q18" s="378"/>
      <c r="R18" s="379"/>
    </row>
    <row r="19" spans="1:24" customFormat="1" ht="33" customHeight="1">
      <c r="A19" s="1605"/>
      <c r="B19" s="1607" t="s">
        <v>1432</v>
      </c>
      <c r="C19" s="367"/>
      <c r="D19" s="367"/>
      <c r="E19" s="367"/>
      <c r="F19" s="367"/>
      <c r="G19" s="366"/>
      <c r="H19" s="366"/>
      <c r="I19" s="366"/>
      <c r="J19" s="367"/>
      <c r="K19" s="368"/>
      <c r="L19" s="369"/>
      <c r="M19" s="367"/>
      <c r="N19" s="367"/>
      <c r="O19" s="368"/>
      <c r="P19" s="367"/>
      <c r="Q19" s="370"/>
      <c r="R19" s="371" t="s">
        <v>2790</v>
      </c>
    </row>
    <row r="20" spans="1:24" customFormat="1" ht="33" customHeight="1">
      <c r="A20" s="1605"/>
      <c r="B20" s="1608"/>
      <c r="C20" s="373"/>
      <c r="D20" s="373"/>
      <c r="E20" s="373"/>
      <c r="F20" s="373"/>
      <c r="G20" s="375"/>
      <c r="H20" s="375"/>
      <c r="I20" s="375"/>
      <c r="J20" s="373"/>
      <c r="K20" s="370"/>
      <c r="L20" s="371"/>
      <c r="M20" s="373"/>
      <c r="N20" s="373"/>
      <c r="O20" s="370"/>
      <c r="P20" s="373"/>
      <c r="Q20" s="370"/>
      <c r="R20" s="371" t="s">
        <v>2791</v>
      </c>
    </row>
    <row r="21" spans="1:24" customFormat="1" ht="33" customHeight="1">
      <c r="A21" s="1605"/>
      <c r="B21" s="1608"/>
      <c r="C21" s="373"/>
      <c r="D21" s="373"/>
      <c r="E21" s="373"/>
      <c r="F21" s="373"/>
      <c r="G21" s="375"/>
      <c r="H21" s="375"/>
      <c r="I21" s="375"/>
      <c r="J21" s="373"/>
      <c r="K21" s="370"/>
      <c r="L21" s="371"/>
      <c r="M21" s="373"/>
      <c r="N21" s="373"/>
      <c r="O21" s="370"/>
      <c r="P21" s="373"/>
      <c r="Q21" s="370"/>
      <c r="R21" s="371" t="s">
        <v>2792</v>
      </c>
    </row>
    <row r="22" spans="1:24" customFormat="1" ht="33" customHeight="1">
      <c r="A22" s="1605"/>
      <c r="B22" s="1608"/>
      <c r="C22" s="373"/>
      <c r="D22" s="373"/>
      <c r="E22" s="373"/>
      <c r="F22" s="373"/>
      <c r="G22" s="375"/>
      <c r="H22" s="375"/>
      <c r="I22" s="375"/>
      <c r="J22" s="373"/>
      <c r="K22" s="370"/>
      <c r="L22" s="371"/>
      <c r="M22" s="373"/>
      <c r="N22" s="373"/>
      <c r="O22" s="370"/>
      <c r="P22" s="373"/>
      <c r="Q22" s="370"/>
      <c r="R22" s="371" t="s">
        <v>560</v>
      </c>
    </row>
    <row r="23" spans="1:24" customFormat="1" ht="33" customHeight="1">
      <c r="A23" s="1605"/>
      <c r="B23" s="1608"/>
      <c r="C23" s="373"/>
      <c r="D23" s="373"/>
      <c r="E23" s="373"/>
      <c r="F23" s="373"/>
      <c r="G23" s="375"/>
      <c r="H23" s="375"/>
      <c r="I23" s="375"/>
      <c r="J23" s="373"/>
      <c r="K23" s="370"/>
      <c r="L23" s="371"/>
      <c r="M23" s="373"/>
      <c r="N23" s="373"/>
      <c r="O23" s="370"/>
      <c r="P23" s="373"/>
      <c r="Q23" s="370"/>
      <c r="R23" s="371" t="s">
        <v>805</v>
      </c>
    </row>
    <row r="24" spans="1:24" customFormat="1" ht="33" customHeight="1">
      <c r="A24" s="1605"/>
      <c r="B24" s="1611"/>
      <c r="C24" s="376"/>
      <c r="D24" s="376"/>
      <c r="E24" s="376"/>
      <c r="F24" s="376"/>
      <c r="G24" s="377"/>
      <c r="H24" s="377"/>
      <c r="I24" s="377"/>
      <c r="J24" s="376"/>
      <c r="K24" s="378"/>
      <c r="L24" s="379"/>
      <c r="M24" s="376"/>
      <c r="N24" s="376"/>
      <c r="O24" s="378"/>
      <c r="P24" s="376"/>
      <c r="Q24" s="370"/>
      <c r="R24" s="371" t="s">
        <v>2793</v>
      </c>
    </row>
    <row r="25" spans="1:24" customFormat="1" ht="33" customHeight="1">
      <c r="A25" s="1605"/>
      <c r="B25" s="1608" t="s">
        <v>2794</v>
      </c>
      <c r="C25" s="373"/>
      <c r="D25" s="373"/>
      <c r="E25" s="373"/>
      <c r="F25" s="373"/>
      <c r="G25" s="375"/>
      <c r="H25" s="375"/>
      <c r="I25" s="375"/>
      <c r="J25" s="373"/>
      <c r="K25" s="370"/>
      <c r="L25" s="371"/>
      <c r="M25" s="373"/>
      <c r="N25" s="373"/>
      <c r="O25" s="370"/>
      <c r="P25" s="373"/>
      <c r="Q25" s="368"/>
      <c r="R25" s="369"/>
    </row>
    <row r="26" spans="1:24" customFormat="1" ht="33" customHeight="1">
      <c r="A26" s="1606"/>
      <c r="B26" s="1611"/>
      <c r="C26" s="376"/>
      <c r="D26" s="376"/>
      <c r="E26" s="376"/>
      <c r="F26" s="376"/>
      <c r="G26" s="377"/>
      <c r="H26" s="377"/>
      <c r="I26" s="377"/>
      <c r="J26" s="376"/>
      <c r="K26" s="376"/>
      <c r="L26" s="379"/>
      <c r="M26" s="376"/>
      <c r="N26" s="376" t="s">
        <v>2640</v>
      </c>
      <c r="O26" s="378"/>
      <c r="P26" s="376"/>
      <c r="Q26" s="378"/>
      <c r="R26" s="379"/>
    </row>
    <row r="27" spans="1:24" ht="11.25" customHeight="1">
      <c r="A27" s="383"/>
      <c r="B27" s="384"/>
      <c r="C27" s="385"/>
      <c r="D27" s="385"/>
      <c r="E27" s="385"/>
      <c r="F27" s="386"/>
      <c r="G27" s="386"/>
      <c r="H27" s="317"/>
      <c r="I27" s="386"/>
      <c r="J27" s="317"/>
      <c r="K27" s="317"/>
      <c r="L27" s="317"/>
      <c r="M27" s="317"/>
      <c r="N27" s="317"/>
      <c r="O27" s="317"/>
      <c r="P27" s="317"/>
      <c r="Q27" s="317"/>
      <c r="R27" s="317"/>
    </row>
    <row r="28" spans="1:24" ht="18" customHeight="1">
      <c r="C28" s="387"/>
      <c r="D28" s="387"/>
      <c r="R28" s="388" t="s">
        <v>2795</v>
      </c>
    </row>
    <row r="29" spans="1:24" s="390" customFormat="1" ht="24.75" customHeight="1">
      <c r="A29" s="1596" t="s">
        <v>2796</v>
      </c>
      <c r="B29" s="1597"/>
      <c r="C29" s="389">
        <v>1</v>
      </c>
      <c r="D29" s="389">
        <v>2</v>
      </c>
      <c r="E29" s="389">
        <v>3</v>
      </c>
      <c r="F29" s="389">
        <v>4</v>
      </c>
      <c r="G29" s="389">
        <v>5</v>
      </c>
      <c r="H29" s="389">
        <v>6</v>
      </c>
      <c r="I29" s="389">
        <v>7</v>
      </c>
      <c r="J29" s="389">
        <v>8</v>
      </c>
      <c r="K29" s="389">
        <v>9</v>
      </c>
      <c r="L29" s="389">
        <v>10</v>
      </c>
      <c r="M29" s="389">
        <v>11</v>
      </c>
      <c r="N29" s="389">
        <v>12</v>
      </c>
      <c r="O29" s="389">
        <v>13</v>
      </c>
      <c r="P29" s="389">
        <v>14</v>
      </c>
      <c r="Q29" s="389">
        <v>15</v>
      </c>
      <c r="R29" s="389">
        <v>16</v>
      </c>
      <c r="T29" s="391"/>
      <c r="U29" s="391"/>
      <c r="V29" s="391"/>
    </row>
    <row r="30" spans="1:24" s="390" customFormat="1" ht="16.5">
      <c r="A30" s="1598" t="s">
        <v>1365</v>
      </c>
      <c r="B30" s="392" t="s">
        <v>2797</v>
      </c>
      <c r="C30" s="393">
        <v>77</v>
      </c>
      <c r="D30" s="393">
        <v>76</v>
      </c>
      <c r="E30" s="393">
        <v>75</v>
      </c>
      <c r="F30" s="393">
        <v>74</v>
      </c>
      <c r="G30" s="393">
        <v>73</v>
      </c>
      <c r="H30" s="393">
        <v>72</v>
      </c>
      <c r="I30" s="393">
        <v>71</v>
      </c>
      <c r="J30" s="393">
        <v>70</v>
      </c>
      <c r="K30" s="393">
        <v>69</v>
      </c>
      <c r="L30" s="393">
        <v>68</v>
      </c>
      <c r="M30" s="393">
        <v>67</v>
      </c>
      <c r="N30" s="393">
        <v>65</v>
      </c>
      <c r="O30" s="393">
        <v>64</v>
      </c>
      <c r="P30" s="393">
        <v>63</v>
      </c>
      <c r="Q30" s="393">
        <v>60</v>
      </c>
      <c r="R30" s="393">
        <v>55</v>
      </c>
      <c r="S30"/>
      <c r="T30"/>
      <c r="U30"/>
      <c r="V30"/>
      <c r="W30"/>
      <c r="X30"/>
    </row>
    <row r="31" spans="1:24" s="390" customFormat="1" ht="16.5">
      <c r="A31" s="1599"/>
      <c r="B31" s="392" t="s">
        <v>2798</v>
      </c>
      <c r="C31" s="393">
        <v>72</v>
      </c>
      <c r="D31" s="393">
        <v>71</v>
      </c>
      <c r="E31" s="393">
        <v>70</v>
      </c>
      <c r="F31" s="393">
        <v>69</v>
      </c>
      <c r="G31" s="393">
        <v>68</v>
      </c>
      <c r="H31" s="393">
        <v>67</v>
      </c>
      <c r="I31" s="393">
        <v>66</v>
      </c>
      <c r="J31" s="393">
        <v>65</v>
      </c>
      <c r="K31" s="393">
        <v>64</v>
      </c>
      <c r="L31" s="393">
        <v>63</v>
      </c>
      <c r="M31" s="393">
        <v>62</v>
      </c>
      <c r="N31" s="393">
        <v>60</v>
      </c>
      <c r="O31" s="393">
        <v>59</v>
      </c>
      <c r="P31" s="393">
        <v>58</v>
      </c>
      <c r="Q31" s="393">
        <v>55</v>
      </c>
      <c r="R31" s="393">
        <v>50</v>
      </c>
      <c r="S31"/>
      <c r="T31"/>
      <c r="U31"/>
      <c r="V31"/>
      <c r="W31"/>
      <c r="X31"/>
    </row>
    <row r="32" spans="1:24" s="390" customFormat="1" ht="16.5">
      <c r="A32" s="1599"/>
      <c r="B32" s="392" t="s">
        <v>2799</v>
      </c>
      <c r="C32" s="394">
        <v>67</v>
      </c>
      <c r="D32" s="394">
        <v>66</v>
      </c>
      <c r="E32" s="394">
        <v>65</v>
      </c>
      <c r="F32" s="394">
        <v>64</v>
      </c>
      <c r="G32" s="394">
        <v>63</v>
      </c>
      <c r="H32" s="394">
        <v>62</v>
      </c>
      <c r="I32" s="394">
        <v>61</v>
      </c>
      <c r="J32" s="394">
        <v>60</v>
      </c>
      <c r="K32" s="394">
        <v>59</v>
      </c>
      <c r="L32" s="394">
        <v>58</v>
      </c>
      <c r="M32" s="394">
        <v>57</v>
      </c>
      <c r="N32" s="394">
        <v>55</v>
      </c>
      <c r="O32" s="394">
        <v>54</v>
      </c>
      <c r="P32" s="394">
        <v>53</v>
      </c>
      <c r="Q32" s="394">
        <v>50</v>
      </c>
      <c r="R32" s="394">
        <v>45</v>
      </c>
      <c r="S32"/>
      <c r="T32"/>
      <c r="U32"/>
      <c r="V32"/>
      <c r="W32"/>
      <c r="X32"/>
    </row>
    <row r="33" spans="1:24" s="390" customFormat="1" ht="16.5">
      <c r="A33" s="1599"/>
      <c r="B33" s="392" t="s">
        <v>2800</v>
      </c>
      <c r="C33" s="395">
        <v>60</v>
      </c>
      <c r="D33" s="395">
        <v>59</v>
      </c>
      <c r="E33" s="395">
        <v>58</v>
      </c>
      <c r="F33" s="395">
        <v>57</v>
      </c>
      <c r="G33" s="395">
        <v>56</v>
      </c>
      <c r="H33" s="395">
        <v>55</v>
      </c>
      <c r="I33" s="395">
        <v>54</v>
      </c>
      <c r="J33" s="395">
        <v>53</v>
      </c>
      <c r="K33" s="395">
        <v>52</v>
      </c>
      <c r="L33" s="395">
        <v>51</v>
      </c>
      <c r="M33" s="395">
        <v>50</v>
      </c>
      <c r="N33" s="395">
        <v>48</v>
      </c>
      <c r="O33" s="395">
        <v>47</v>
      </c>
      <c r="P33" s="395">
        <v>46</v>
      </c>
      <c r="Q33" s="395">
        <v>43</v>
      </c>
      <c r="R33" s="395">
        <v>38</v>
      </c>
      <c r="S33"/>
      <c r="T33"/>
      <c r="U33"/>
      <c r="V33"/>
      <c r="W33"/>
      <c r="X33"/>
    </row>
    <row r="34" spans="1:24" s="390" customFormat="1" ht="16.5">
      <c r="A34" s="1600"/>
      <c r="B34" s="396" t="s">
        <v>2801</v>
      </c>
      <c r="C34" s="397">
        <v>52</v>
      </c>
      <c r="D34" s="397">
        <v>51</v>
      </c>
      <c r="E34" s="397">
        <v>50</v>
      </c>
      <c r="F34" s="397">
        <v>49</v>
      </c>
      <c r="G34" s="397">
        <v>48</v>
      </c>
      <c r="H34" s="397">
        <v>47</v>
      </c>
      <c r="I34" s="397">
        <v>46</v>
      </c>
      <c r="J34" s="397">
        <v>45</v>
      </c>
      <c r="K34" s="397">
        <v>44</v>
      </c>
      <c r="L34" s="397">
        <v>43</v>
      </c>
      <c r="M34" s="397">
        <v>42</v>
      </c>
      <c r="N34" s="397">
        <v>40</v>
      </c>
      <c r="O34" s="397">
        <v>39</v>
      </c>
      <c r="P34" s="397">
        <v>38</v>
      </c>
      <c r="Q34" s="397">
        <v>35</v>
      </c>
      <c r="R34" s="397">
        <v>30</v>
      </c>
      <c r="S34"/>
      <c r="T34"/>
      <c r="U34"/>
      <c r="V34"/>
      <c r="W34"/>
      <c r="X34"/>
    </row>
    <row r="35" spans="1:24" s="390" customFormat="1" ht="17.25">
      <c r="A35" s="398" t="s">
        <v>2802</v>
      </c>
      <c r="B35" s="399"/>
      <c r="C35" s="399"/>
      <c r="D35" s="399"/>
      <c r="E35" s="399"/>
      <c r="F35" s="399"/>
      <c r="G35" s="399"/>
      <c r="H35" s="399"/>
      <c r="I35" s="399"/>
      <c r="J35" s="399"/>
      <c r="K35" s="399"/>
      <c r="L35" s="399"/>
      <c r="M35" s="399"/>
      <c r="N35" s="399"/>
      <c r="O35" s="399"/>
      <c r="P35" s="399"/>
      <c r="Q35" s="399"/>
      <c r="R35" s="399"/>
      <c r="S35"/>
      <c r="T35"/>
      <c r="U35"/>
      <c r="V35"/>
      <c r="W35"/>
      <c r="X35"/>
    </row>
    <row r="36" spans="1:24" s="390" customFormat="1" ht="17.25">
      <c r="A36" s="399"/>
      <c r="B36" s="399"/>
      <c r="C36" s="399"/>
      <c r="D36" s="399"/>
      <c r="E36" s="399"/>
      <c r="F36" s="399"/>
      <c r="G36" s="399"/>
      <c r="H36" s="399"/>
      <c r="I36" s="399"/>
      <c r="J36" s="399"/>
      <c r="K36" s="399"/>
      <c r="L36" s="399"/>
      <c r="M36" s="399"/>
      <c r="N36" s="399"/>
      <c r="O36" s="399"/>
      <c r="P36" s="399"/>
      <c r="Q36" s="399"/>
      <c r="R36" s="399"/>
      <c r="S36" s="400"/>
    </row>
    <row r="37" spans="1:24" s="390" customFormat="1" ht="17.25">
      <c r="A37" s="401" t="s">
        <v>2803</v>
      </c>
      <c r="B37" s="399"/>
      <c r="C37" s="399"/>
      <c r="D37" s="399"/>
      <c r="I37" s="398"/>
      <c r="J37"/>
      <c r="K37"/>
      <c r="L37"/>
      <c r="M37"/>
      <c r="N37"/>
      <c r="O37"/>
      <c r="P37"/>
      <c r="Q37"/>
      <c r="R37"/>
      <c r="S37" s="400"/>
    </row>
    <row r="38" spans="1:24" s="390" customFormat="1" ht="17.25">
      <c r="A38" s="402" t="s">
        <v>1386</v>
      </c>
      <c r="B38" s="403" t="s">
        <v>2804</v>
      </c>
      <c r="C38" s="403" t="s">
        <v>2805</v>
      </c>
      <c r="D38" s="403" t="s">
        <v>2806</v>
      </c>
      <c r="E38" s="404" t="s">
        <v>2807</v>
      </c>
      <c r="F38" s="404" t="s">
        <v>2808</v>
      </c>
      <c r="G38" s="404" t="s">
        <v>2809</v>
      </c>
      <c r="H38" s="405" t="s">
        <v>2810</v>
      </c>
      <c r="I38" s="406"/>
      <c r="J38"/>
      <c r="K38"/>
      <c r="L38"/>
      <c r="M38"/>
      <c r="N38"/>
      <c r="O38"/>
      <c r="P38"/>
      <c r="Q38"/>
      <c r="R38"/>
      <c r="S38" s="400"/>
    </row>
    <row r="39" spans="1:24" s="390" customFormat="1" ht="17.25">
      <c r="A39" s="407" t="s">
        <v>2811</v>
      </c>
      <c r="B39" s="408">
        <v>0.04</v>
      </c>
      <c r="C39" s="408">
        <v>0.02</v>
      </c>
      <c r="D39" s="408">
        <v>0</v>
      </c>
      <c r="E39" s="408">
        <v>-0.06</v>
      </c>
      <c r="F39" s="408">
        <v>-0.12</v>
      </c>
      <c r="G39" s="408">
        <v>-0.18</v>
      </c>
      <c r="H39" s="409" t="s">
        <v>2812</v>
      </c>
      <c r="I39" s="399"/>
      <c r="J39"/>
      <c r="K39"/>
      <c r="L39"/>
      <c r="M39"/>
      <c r="N39"/>
      <c r="O39"/>
      <c r="P39"/>
      <c r="Q39"/>
      <c r="R39"/>
      <c r="S39" s="400"/>
    </row>
    <row r="40" spans="1:24" s="390" customFormat="1" ht="17.25">
      <c r="A40"/>
      <c r="B40"/>
      <c r="C40"/>
      <c r="D40"/>
      <c r="I40" s="399"/>
      <c r="J40" s="399"/>
      <c r="K40" s="399"/>
      <c r="L40" s="399"/>
      <c r="M40" s="399"/>
      <c r="N40" s="399"/>
      <c r="O40" s="399"/>
      <c r="P40" s="399"/>
      <c r="Q40" s="399"/>
      <c r="R40" s="399"/>
      <c r="S40" s="400"/>
    </row>
    <row r="41" spans="1:24" s="390" customFormat="1" ht="17.25">
      <c r="A41" s="401" t="s">
        <v>2813</v>
      </c>
      <c r="B41" s="399"/>
      <c r="C41"/>
      <c r="D41"/>
      <c r="E41"/>
      <c r="I41" s="399"/>
      <c r="J41" s="399"/>
      <c r="K41" s="399"/>
      <c r="L41" s="399"/>
      <c r="M41" s="399"/>
      <c r="N41" s="399"/>
      <c r="O41" s="399"/>
      <c r="P41" s="399"/>
      <c r="Q41" s="399"/>
      <c r="R41" s="399"/>
      <c r="S41" s="400"/>
    </row>
    <row r="42" spans="1:24" ht="17.25">
      <c r="A42" s="402" t="s">
        <v>2814</v>
      </c>
      <c r="B42" s="410" t="s">
        <v>2815</v>
      </c>
      <c r="C42" s="411" t="s">
        <v>2816</v>
      </c>
      <c r="D42" s="412" t="s">
        <v>2817</v>
      </c>
      <c r="E42"/>
      <c r="J42" s="413"/>
    </row>
    <row r="43" spans="1:24" ht="17.25">
      <c r="A43" s="414">
        <v>7.0000000000000001E-3</v>
      </c>
      <c r="B43" s="415">
        <v>0.7</v>
      </c>
      <c r="C43" s="416">
        <v>0.3</v>
      </c>
      <c r="D43" s="417" t="s">
        <v>2818</v>
      </c>
      <c r="E43"/>
      <c r="J43" s="413"/>
    </row>
    <row r="44" spans="1:24" ht="17.25">
      <c r="A44" s="398"/>
      <c r="J44" s="413"/>
    </row>
    <row r="45" spans="1:24" ht="17.25">
      <c r="A45" s="406"/>
      <c r="J45" s="413"/>
    </row>
    <row r="46" spans="1:24">
      <c r="G46" s="181" t="s">
        <v>2246</v>
      </c>
    </row>
  </sheetData>
  <mergeCells count="12">
    <mergeCell ref="A29:B29"/>
    <mergeCell ref="A30:A34"/>
    <mergeCell ref="A3:W3"/>
    <mergeCell ref="A4:B4"/>
    <mergeCell ref="A5:A26"/>
    <mergeCell ref="B5:B8"/>
    <mergeCell ref="I7:I8"/>
    <mergeCell ref="B9:B13"/>
    <mergeCell ref="B14:B15"/>
    <mergeCell ref="B16:B18"/>
    <mergeCell ref="B19:B24"/>
    <mergeCell ref="B25:B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theme="8"/>
    <pageSetUpPr fitToPage="1"/>
  </sheetPr>
  <dimension ref="A1:S89"/>
  <sheetViews>
    <sheetView showGridLines="0" view="pageBreakPreview" zoomScale="80" zoomScaleNormal="85" zoomScaleSheetLayoutView="80" workbookViewId="0">
      <pane xSplit="3" ySplit="4" topLeftCell="D52" activePane="bottomRight" state="frozen"/>
      <selection pane="topRight" activeCell="D1" sqref="D1"/>
      <selection pane="bottomLeft" activeCell="A6" sqref="A6"/>
      <selection pane="bottomRight" activeCell="G80" sqref="G80"/>
    </sheetView>
  </sheetViews>
  <sheetFormatPr defaultRowHeight="16.5"/>
  <cols>
    <col min="1" max="1" width="1.125" customWidth="1"/>
    <col min="2" max="2" width="1.5" style="34" customWidth="1"/>
    <col min="3" max="3" width="10.5" style="34" customWidth="1"/>
    <col min="4" max="19" width="5.625" style="34" customWidth="1"/>
    <col min="20" max="21" width="6.25" customWidth="1"/>
  </cols>
  <sheetData>
    <row r="1" spans="2:19" ht="3.75" customHeight="1"/>
    <row r="2" spans="2:19" ht="23.25" customHeight="1">
      <c r="B2" s="418"/>
      <c r="C2" s="363" t="s">
        <v>2819</v>
      </c>
    </row>
    <row r="3" spans="2:19" ht="17.100000000000001" customHeight="1" thickBot="1">
      <c r="B3" s="41"/>
      <c r="R3" s="1612" t="s">
        <v>2820</v>
      </c>
      <c r="S3" s="1612"/>
    </row>
    <row r="4" spans="2:19" ht="17.100000000000001" customHeight="1">
      <c r="B4"/>
      <c r="C4" s="419" t="s">
        <v>4</v>
      </c>
      <c r="D4" s="420">
        <v>1</v>
      </c>
      <c r="E4" s="420">
        <v>2</v>
      </c>
      <c r="F4" s="420">
        <v>3</v>
      </c>
      <c r="G4" s="420">
        <v>4</v>
      </c>
      <c r="H4" s="420">
        <v>5</v>
      </c>
      <c r="I4" s="420">
        <v>6</v>
      </c>
      <c r="J4" s="420">
        <v>7</v>
      </c>
      <c r="K4" s="420">
        <v>8</v>
      </c>
      <c r="L4" s="420">
        <v>9</v>
      </c>
      <c r="M4" s="420">
        <v>10</v>
      </c>
      <c r="N4" s="420">
        <v>11</v>
      </c>
      <c r="O4" s="420">
        <v>12</v>
      </c>
      <c r="P4" s="420">
        <v>13</v>
      </c>
      <c r="Q4" s="420">
        <v>14</v>
      </c>
      <c r="R4" s="420">
        <v>15</v>
      </c>
      <c r="S4" s="421">
        <v>16</v>
      </c>
    </row>
    <row r="5" spans="2:19" ht="17.100000000000001" customHeight="1">
      <c r="B5"/>
      <c r="C5" s="422">
        <v>1</v>
      </c>
      <c r="D5" s="423">
        <v>82</v>
      </c>
      <c r="E5" s="423">
        <v>81</v>
      </c>
      <c r="F5" s="423">
        <v>80</v>
      </c>
      <c r="G5" s="423">
        <v>79</v>
      </c>
      <c r="H5" s="423">
        <v>78</v>
      </c>
      <c r="I5" s="423">
        <v>77</v>
      </c>
      <c r="J5" s="423">
        <v>76</v>
      </c>
      <c r="K5" s="423">
        <v>75</v>
      </c>
      <c r="L5" s="423">
        <v>74</v>
      </c>
      <c r="M5" s="423">
        <v>73</v>
      </c>
      <c r="N5" s="423">
        <v>72</v>
      </c>
      <c r="O5" s="423">
        <v>70</v>
      </c>
      <c r="P5" s="423">
        <v>69</v>
      </c>
      <c r="Q5" s="423">
        <v>68</v>
      </c>
      <c r="R5" s="423">
        <v>65</v>
      </c>
      <c r="S5" s="424">
        <v>60</v>
      </c>
    </row>
    <row r="6" spans="2:19" ht="17.100000000000001" customHeight="1">
      <c r="B6"/>
      <c r="C6" s="425">
        <v>2</v>
      </c>
      <c r="D6" s="426">
        <v>81.5</v>
      </c>
      <c r="E6" s="426">
        <v>80.5</v>
      </c>
      <c r="F6" s="426">
        <v>79.5</v>
      </c>
      <c r="G6" s="426">
        <v>78.5</v>
      </c>
      <c r="H6" s="426">
        <v>77.5</v>
      </c>
      <c r="I6" s="426">
        <v>76.5</v>
      </c>
      <c r="J6" s="426">
        <v>75.5</v>
      </c>
      <c r="K6" s="426">
        <v>74.5</v>
      </c>
      <c r="L6" s="426">
        <v>73.5</v>
      </c>
      <c r="M6" s="426">
        <v>72.5</v>
      </c>
      <c r="N6" s="426">
        <v>71.5</v>
      </c>
      <c r="O6" s="426">
        <v>69.5</v>
      </c>
      <c r="P6" s="426">
        <v>68.5</v>
      </c>
      <c r="Q6" s="426">
        <v>67.5</v>
      </c>
      <c r="R6" s="426">
        <v>64.5</v>
      </c>
      <c r="S6" s="427">
        <v>59.5</v>
      </c>
    </row>
    <row r="7" spans="2:19" ht="17.100000000000001" customHeight="1">
      <c r="B7"/>
      <c r="C7" s="425">
        <v>3</v>
      </c>
      <c r="D7" s="426">
        <v>81</v>
      </c>
      <c r="E7" s="426">
        <v>80</v>
      </c>
      <c r="F7" s="426">
        <v>79</v>
      </c>
      <c r="G7" s="426">
        <v>78</v>
      </c>
      <c r="H7" s="426">
        <v>77</v>
      </c>
      <c r="I7" s="426">
        <v>76</v>
      </c>
      <c r="J7" s="426">
        <v>75</v>
      </c>
      <c r="K7" s="426">
        <v>74</v>
      </c>
      <c r="L7" s="426">
        <v>73</v>
      </c>
      <c r="M7" s="426">
        <v>72</v>
      </c>
      <c r="N7" s="426">
        <v>71</v>
      </c>
      <c r="O7" s="426">
        <v>69</v>
      </c>
      <c r="P7" s="426">
        <v>68</v>
      </c>
      <c r="Q7" s="426">
        <v>67</v>
      </c>
      <c r="R7" s="426">
        <v>64</v>
      </c>
      <c r="S7" s="427">
        <v>59</v>
      </c>
    </row>
    <row r="8" spans="2:19" ht="17.100000000000001" customHeight="1">
      <c r="B8"/>
      <c r="C8" s="425">
        <v>4</v>
      </c>
      <c r="D8" s="426">
        <v>80.5</v>
      </c>
      <c r="E8" s="426">
        <v>79.5</v>
      </c>
      <c r="F8" s="426">
        <v>78.5</v>
      </c>
      <c r="G8" s="426">
        <v>77.5</v>
      </c>
      <c r="H8" s="426">
        <v>76.5</v>
      </c>
      <c r="I8" s="426">
        <v>75.5</v>
      </c>
      <c r="J8" s="426">
        <v>74.5</v>
      </c>
      <c r="K8" s="426">
        <v>73.5</v>
      </c>
      <c r="L8" s="426">
        <v>72.5</v>
      </c>
      <c r="M8" s="426">
        <v>71.5</v>
      </c>
      <c r="N8" s="426">
        <v>70.5</v>
      </c>
      <c r="O8" s="426">
        <v>68.5</v>
      </c>
      <c r="P8" s="426">
        <v>67.5</v>
      </c>
      <c r="Q8" s="426">
        <v>66.5</v>
      </c>
      <c r="R8" s="426">
        <v>63.5</v>
      </c>
      <c r="S8" s="427">
        <v>58.5</v>
      </c>
    </row>
    <row r="9" spans="2:19" ht="17.100000000000001" customHeight="1">
      <c r="B9"/>
      <c r="C9" s="425">
        <v>5</v>
      </c>
      <c r="D9" s="426">
        <v>80</v>
      </c>
      <c r="E9" s="426">
        <v>79</v>
      </c>
      <c r="F9" s="426">
        <v>78</v>
      </c>
      <c r="G9" s="426">
        <v>77</v>
      </c>
      <c r="H9" s="426">
        <v>76</v>
      </c>
      <c r="I9" s="426">
        <v>75</v>
      </c>
      <c r="J9" s="426">
        <v>74</v>
      </c>
      <c r="K9" s="426">
        <v>73</v>
      </c>
      <c r="L9" s="426">
        <v>72</v>
      </c>
      <c r="M9" s="426">
        <v>71</v>
      </c>
      <c r="N9" s="426">
        <v>70</v>
      </c>
      <c r="O9" s="426">
        <v>68</v>
      </c>
      <c r="P9" s="426">
        <v>67</v>
      </c>
      <c r="Q9" s="426">
        <v>66</v>
      </c>
      <c r="R9" s="426">
        <v>63</v>
      </c>
      <c r="S9" s="427">
        <v>58</v>
      </c>
    </row>
    <row r="10" spans="2:19" ht="17.100000000000001" customHeight="1">
      <c r="B10"/>
      <c r="C10" s="425">
        <v>6</v>
      </c>
      <c r="D10" s="426">
        <v>79.5</v>
      </c>
      <c r="E10" s="426">
        <v>78.5</v>
      </c>
      <c r="F10" s="426">
        <v>77.5</v>
      </c>
      <c r="G10" s="426">
        <v>76.5</v>
      </c>
      <c r="H10" s="426">
        <v>75.5</v>
      </c>
      <c r="I10" s="426">
        <v>74.5</v>
      </c>
      <c r="J10" s="426">
        <v>73.5</v>
      </c>
      <c r="K10" s="426">
        <v>72.5</v>
      </c>
      <c r="L10" s="426">
        <v>71.5</v>
      </c>
      <c r="M10" s="426">
        <v>70.5</v>
      </c>
      <c r="N10" s="426">
        <v>69.5</v>
      </c>
      <c r="O10" s="426">
        <v>67.5</v>
      </c>
      <c r="P10" s="426">
        <v>66.5</v>
      </c>
      <c r="Q10" s="426">
        <v>65.5</v>
      </c>
      <c r="R10" s="426">
        <v>62.5</v>
      </c>
      <c r="S10" s="427">
        <v>57.5</v>
      </c>
    </row>
    <row r="11" spans="2:19" ht="17.100000000000001" customHeight="1">
      <c r="B11"/>
      <c r="C11" s="425">
        <v>7</v>
      </c>
      <c r="D11" s="426">
        <v>79</v>
      </c>
      <c r="E11" s="426">
        <v>78</v>
      </c>
      <c r="F11" s="426">
        <v>77</v>
      </c>
      <c r="G11" s="426">
        <v>76</v>
      </c>
      <c r="H11" s="426">
        <v>75</v>
      </c>
      <c r="I11" s="426">
        <v>74</v>
      </c>
      <c r="J11" s="426">
        <v>73</v>
      </c>
      <c r="K11" s="426">
        <v>72</v>
      </c>
      <c r="L11" s="426">
        <v>71</v>
      </c>
      <c r="M11" s="426">
        <v>70</v>
      </c>
      <c r="N11" s="426">
        <v>69</v>
      </c>
      <c r="O11" s="426">
        <v>67</v>
      </c>
      <c r="P11" s="426">
        <v>66</v>
      </c>
      <c r="Q11" s="426">
        <v>65</v>
      </c>
      <c r="R11" s="426">
        <v>62</v>
      </c>
      <c r="S11" s="427">
        <v>57</v>
      </c>
    </row>
    <row r="12" spans="2:19" ht="17.100000000000001" customHeight="1">
      <c r="B12"/>
      <c r="C12" s="425">
        <v>8</v>
      </c>
      <c r="D12" s="426">
        <v>78.5</v>
      </c>
      <c r="E12" s="426">
        <v>77.5</v>
      </c>
      <c r="F12" s="426">
        <v>76.5</v>
      </c>
      <c r="G12" s="426">
        <v>75.5</v>
      </c>
      <c r="H12" s="426">
        <v>74.5</v>
      </c>
      <c r="I12" s="426">
        <v>73.5</v>
      </c>
      <c r="J12" s="426">
        <v>72.5</v>
      </c>
      <c r="K12" s="426">
        <v>71.5</v>
      </c>
      <c r="L12" s="426">
        <v>70.5</v>
      </c>
      <c r="M12" s="426">
        <v>69.5</v>
      </c>
      <c r="N12" s="426">
        <v>68.5</v>
      </c>
      <c r="O12" s="426">
        <v>66.5</v>
      </c>
      <c r="P12" s="426">
        <v>65.5</v>
      </c>
      <c r="Q12" s="426">
        <v>64.5</v>
      </c>
      <c r="R12" s="426">
        <v>61.5</v>
      </c>
      <c r="S12" s="427">
        <v>56.5</v>
      </c>
    </row>
    <row r="13" spans="2:19" ht="17.100000000000001" customHeight="1">
      <c r="B13"/>
      <c r="C13" s="425">
        <v>9</v>
      </c>
      <c r="D13" s="426">
        <v>78</v>
      </c>
      <c r="E13" s="426">
        <v>77</v>
      </c>
      <c r="F13" s="426">
        <v>76</v>
      </c>
      <c r="G13" s="426">
        <v>75</v>
      </c>
      <c r="H13" s="426">
        <v>74</v>
      </c>
      <c r="I13" s="426">
        <v>73</v>
      </c>
      <c r="J13" s="426">
        <v>72</v>
      </c>
      <c r="K13" s="426">
        <v>71</v>
      </c>
      <c r="L13" s="426">
        <v>70</v>
      </c>
      <c r="M13" s="426">
        <v>69</v>
      </c>
      <c r="N13" s="426">
        <v>68</v>
      </c>
      <c r="O13" s="426">
        <v>66</v>
      </c>
      <c r="P13" s="426">
        <v>65</v>
      </c>
      <c r="Q13" s="426">
        <v>64</v>
      </c>
      <c r="R13" s="426">
        <v>61</v>
      </c>
      <c r="S13" s="427">
        <v>56</v>
      </c>
    </row>
    <row r="14" spans="2:19" ht="17.100000000000001" customHeight="1">
      <c r="B14"/>
      <c r="C14" s="425">
        <v>10</v>
      </c>
      <c r="D14" s="426">
        <v>77.5</v>
      </c>
      <c r="E14" s="426">
        <v>76.5</v>
      </c>
      <c r="F14" s="426">
        <v>75.5</v>
      </c>
      <c r="G14" s="426">
        <v>74.5</v>
      </c>
      <c r="H14" s="426">
        <v>73.5</v>
      </c>
      <c r="I14" s="426">
        <v>72.5</v>
      </c>
      <c r="J14" s="426">
        <v>71.5</v>
      </c>
      <c r="K14" s="426">
        <v>70.5</v>
      </c>
      <c r="L14" s="426">
        <v>69.5</v>
      </c>
      <c r="M14" s="426">
        <v>68.5</v>
      </c>
      <c r="N14" s="426">
        <v>67.5</v>
      </c>
      <c r="O14" s="426">
        <v>65.5</v>
      </c>
      <c r="P14" s="426">
        <v>64.5</v>
      </c>
      <c r="Q14" s="426">
        <v>63.5</v>
      </c>
      <c r="R14" s="426">
        <v>60.5</v>
      </c>
      <c r="S14" s="427">
        <v>55.5</v>
      </c>
    </row>
    <row r="15" spans="2:19" ht="17.100000000000001" customHeight="1">
      <c r="B15"/>
      <c r="C15" s="425">
        <v>11</v>
      </c>
      <c r="D15" s="426">
        <v>77</v>
      </c>
      <c r="E15" s="426">
        <v>76</v>
      </c>
      <c r="F15" s="426">
        <v>75</v>
      </c>
      <c r="G15" s="426">
        <v>74</v>
      </c>
      <c r="H15" s="426">
        <v>73</v>
      </c>
      <c r="I15" s="426">
        <v>72</v>
      </c>
      <c r="J15" s="426">
        <v>71</v>
      </c>
      <c r="K15" s="426">
        <v>70</v>
      </c>
      <c r="L15" s="426">
        <v>69</v>
      </c>
      <c r="M15" s="426">
        <v>68</v>
      </c>
      <c r="N15" s="426">
        <v>67</v>
      </c>
      <c r="O15" s="426">
        <v>65</v>
      </c>
      <c r="P15" s="426">
        <v>64</v>
      </c>
      <c r="Q15" s="426">
        <v>63</v>
      </c>
      <c r="R15" s="426">
        <v>60</v>
      </c>
      <c r="S15" s="427">
        <v>55</v>
      </c>
    </row>
    <row r="16" spans="2:19" ht="17.100000000000001" customHeight="1">
      <c r="B16"/>
      <c r="C16" s="428">
        <v>12</v>
      </c>
      <c r="D16" s="429">
        <v>77</v>
      </c>
      <c r="E16" s="429">
        <v>76</v>
      </c>
      <c r="F16" s="429">
        <v>75</v>
      </c>
      <c r="G16" s="429">
        <v>74</v>
      </c>
      <c r="H16" s="429">
        <v>73</v>
      </c>
      <c r="I16" s="429">
        <v>72</v>
      </c>
      <c r="J16" s="429">
        <v>71</v>
      </c>
      <c r="K16" s="429">
        <v>70</v>
      </c>
      <c r="L16" s="429">
        <v>69</v>
      </c>
      <c r="M16" s="429">
        <v>68</v>
      </c>
      <c r="N16" s="429">
        <v>67</v>
      </c>
      <c r="O16" s="429">
        <v>65</v>
      </c>
      <c r="P16" s="429">
        <v>64</v>
      </c>
      <c r="Q16" s="429">
        <v>63</v>
      </c>
      <c r="R16" s="429">
        <v>60</v>
      </c>
      <c r="S16" s="430">
        <v>55</v>
      </c>
    </row>
    <row r="17" spans="1:19" ht="17.100000000000001" customHeight="1">
      <c r="B17"/>
      <c r="C17" s="422">
        <v>13</v>
      </c>
      <c r="D17" s="431">
        <v>76.599999999999994</v>
      </c>
      <c r="E17" s="431">
        <v>75.599999999999994</v>
      </c>
      <c r="F17" s="431">
        <v>74.599999999999994</v>
      </c>
      <c r="G17" s="431">
        <v>73.599999999999994</v>
      </c>
      <c r="H17" s="431">
        <v>72.599999999999994</v>
      </c>
      <c r="I17" s="431">
        <v>71.599999999999994</v>
      </c>
      <c r="J17" s="431">
        <v>70.599999999999994</v>
      </c>
      <c r="K17" s="431">
        <v>69.599999999999994</v>
      </c>
      <c r="L17" s="431">
        <v>68.599999999999994</v>
      </c>
      <c r="M17" s="431">
        <v>67.599999999999994</v>
      </c>
      <c r="N17" s="431">
        <v>66.599999999999994</v>
      </c>
      <c r="O17" s="431">
        <v>64.599999999999994</v>
      </c>
      <c r="P17" s="431">
        <v>63.6</v>
      </c>
      <c r="Q17" s="431">
        <v>62.6</v>
      </c>
      <c r="R17" s="431">
        <v>59.6</v>
      </c>
      <c r="S17" s="432">
        <v>54.6</v>
      </c>
    </row>
    <row r="18" spans="1:19" ht="17.100000000000001" customHeight="1">
      <c r="B18"/>
      <c r="C18" s="425">
        <v>14</v>
      </c>
      <c r="D18" s="431">
        <v>76.2</v>
      </c>
      <c r="E18" s="431">
        <v>75.2</v>
      </c>
      <c r="F18" s="431">
        <v>74.2</v>
      </c>
      <c r="G18" s="431">
        <v>73.2</v>
      </c>
      <c r="H18" s="431">
        <v>72.2</v>
      </c>
      <c r="I18" s="431">
        <v>71.2</v>
      </c>
      <c r="J18" s="431">
        <v>70.2</v>
      </c>
      <c r="K18" s="431">
        <v>69.2</v>
      </c>
      <c r="L18" s="431">
        <v>68.2</v>
      </c>
      <c r="M18" s="431">
        <v>67.2</v>
      </c>
      <c r="N18" s="431">
        <v>66.2</v>
      </c>
      <c r="O18" s="431">
        <v>64.2</v>
      </c>
      <c r="P18" s="431">
        <v>63.2</v>
      </c>
      <c r="Q18" s="431">
        <v>62.2</v>
      </c>
      <c r="R18" s="431">
        <v>59.2</v>
      </c>
      <c r="S18" s="432">
        <v>54.2</v>
      </c>
    </row>
    <row r="19" spans="1:19" ht="17.100000000000001" customHeight="1">
      <c r="B19"/>
      <c r="C19" s="425">
        <v>15</v>
      </c>
      <c r="D19" s="431">
        <v>75.8</v>
      </c>
      <c r="E19" s="431">
        <v>74.8</v>
      </c>
      <c r="F19" s="431">
        <v>73.8</v>
      </c>
      <c r="G19" s="431">
        <v>72.8</v>
      </c>
      <c r="H19" s="431">
        <v>71.8</v>
      </c>
      <c r="I19" s="431">
        <v>70.8</v>
      </c>
      <c r="J19" s="431">
        <v>69.8</v>
      </c>
      <c r="K19" s="431">
        <v>68.8</v>
      </c>
      <c r="L19" s="431">
        <v>67.8</v>
      </c>
      <c r="M19" s="431">
        <v>66.8</v>
      </c>
      <c r="N19" s="431">
        <v>65.8</v>
      </c>
      <c r="O19" s="431">
        <v>63.8</v>
      </c>
      <c r="P19" s="431">
        <v>62.8</v>
      </c>
      <c r="Q19" s="431">
        <v>61.8</v>
      </c>
      <c r="R19" s="431">
        <v>58.8</v>
      </c>
      <c r="S19" s="432">
        <v>53.8</v>
      </c>
    </row>
    <row r="20" spans="1:19" ht="17.100000000000001" customHeight="1">
      <c r="B20"/>
      <c r="C20" s="425">
        <v>16</v>
      </c>
      <c r="D20" s="431">
        <v>75.400000000000006</v>
      </c>
      <c r="E20" s="431">
        <v>74.400000000000006</v>
      </c>
      <c r="F20" s="431">
        <v>73.400000000000006</v>
      </c>
      <c r="G20" s="431">
        <v>72.400000000000006</v>
      </c>
      <c r="H20" s="431">
        <v>71.400000000000006</v>
      </c>
      <c r="I20" s="431">
        <v>70.400000000000006</v>
      </c>
      <c r="J20" s="431">
        <v>69.400000000000006</v>
      </c>
      <c r="K20" s="431">
        <v>68.400000000000006</v>
      </c>
      <c r="L20" s="431">
        <v>67.400000000000006</v>
      </c>
      <c r="M20" s="431">
        <v>66.400000000000006</v>
      </c>
      <c r="N20" s="431">
        <v>65.400000000000006</v>
      </c>
      <c r="O20" s="431">
        <v>63.4</v>
      </c>
      <c r="P20" s="431">
        <v>62.4</v>
      </c>
      <c r="Q20" s="431">
        <v>61.4</v>
      </c>
      <c r="R20" s="431">
        <v>58.4</v>
      </c>
      <c r="S20" s="432">
        <v>53.4</v>
      </c>
    </row>
    <row r="21" spans="1:19" ht="17.100000000000001" customHeight="1">
      <c r="B21"/>
      <c r="C21" s="425">
        <v>17</v>
      </c>
      <c r="D21" s="431">
        <v>75</v>
      </c>
      <c r="E21" s="431">
        <v>74</v>
      </c>
      <c r="F21" s="431">
        <v>73</v>
      </c>
      <c r="G21" s="431">
        <v>72</v>
      </c>
      <c r="H21" s="431">
        <v>71</v>
      </c>
      <c r="I21" s="431">
        <v>70</v>
      </c>
      <c r="J21" s="431">
        <v>69</v>
      </c>
      <c r="K21" s="431">
        <v>68</v>
      </c>
      <c r="L21" s="431">
        <v>67</v>
      </c>
      <c r="M21" s="431">
        <v>66</v>
      </c>
      <c r="N21" s="431">
        <v>65</v>
      </c>
      <c r="O21" s="431">
        <v>63</v>
      </c>
      <c r="P21" s="431">
        <v>62</v>
      </c>
      <c r="Q21" s="431">
        <v>61</v>
      </c>
      <c r="R21" s="431">
        <v>58</v>
      </c>
      <c r="S21" s="432">
        <v>53</v>
      </c>
    </row>
    <row r="22" spans="1:19" ht="17.100000000000001" customHeight="1">
      <c r="B22"/>
      <c r="C22" s="425">
        <v>18</v>
      </c>
      <c r="D22" s="431">
        <v>74.599999999999994</v>
      </c>
      <c r="E22" s="431">
        <v>73.599999999999994</v>
      </c>
      <c r="F22" s="431">
        <v>72.599999999999994</v>
      </c>
      <c r="G22" s="431">
        <v>71.599999999999994</v>
      </c>
      <c r="H22" s="431">
        <v>70.599999999999994</v>
      </c>
      <c r="I22" s="431">
        <v>69.599999999999994</v>
      </c>
      <c r="J22" s="431">
        <v>68.599999999999994</v>
      </c>
      <c r="K22" s="431">
        <v>67.599999999999994</v>
      </c>
      <c r="L22" s="431">
        <v>66.599999999999994</v>
      </c>
      <c r="M22" s="431">
        <v>65.599999999999994</v>
      </c>
      <c r="N22" s="431">
        <v>64.599999999999994</v>
      </c>
      <c r="O22" s="431">
        <v>62.6</v>
      </c>
      <c r="P22" s="431">
        <v>61.6</v>
      </c>
      <c r="Q22" s="431">
        <v>60.6</v>
      </c>
      <c r="R22" s="431">
        <v>57.6</v>
      </c>
      <c r="S22" s="432">
        <v>52.6</v>
      </c>
    </row>
    <row r="23" spans="1:19" ht="17.100000000000001" customHeight="1">
      <c r="B23"/>
      <c r="C23" s="425">
        <v>19</v>
      </c>
      <c r="D23" s="431">
        <v>74.2</v>
      </c>
      <c r="E23" s="431">
        <v>73.2</v>
      </c>
      <c r="F23" s="431">
        <v>72.2</v>
      </c>
      <c r="G23" s="431">
        <v>71.2</v>
      </c>
      <c r="H23" s="431">
        <v>70.2</v>
      </c>
      <c r="I23" s="431">
        <v>69.2</v>
      </c>
      <c r="J23" s="431">
        <v>68.2</v>
      </c>
      <c r="K23" s="431">
        <v>67.2</v>
      </c>
      <c r="L23" s="431">
        <v>66.2</v>
      </c>
      <c r="M23" s="431">
        <v>65.2</v>
      </c>
      <c r="N23" s="431">
        <v>64.2</v>
      </c>
      <c r="O23" s="431">
        <v>62.2</v>
      </c>
      <c r="P23" s="431">
        <v>61.2</v>
      </c>
      <c r="Q23" s="431">
        <v>60.2</v>
      </c>
      <c r="R23" s="431">
        <v>57.2</v>
      </c>
      <c r="S23" s="432">
        <v>52.2</v>
      </c>
    </row>
    <row r="24" spans="1:19" ht="17.100000000000001" customHeight="1">
      <c r="B24"/>
      <c r="C24" s="425">
        <v>20</v>
      </c>
      <c r="D24" s="431">
        <v>73.8</v>
      </c>
      <c r="E24" s="431">
        <v>72.8</v>
      </c>
      <c r="F24" s="431">
        <v>71.8</v>
      </c>
      <c r="G24" s="431">
        <v>70.8</v>
      </c>
      <c r="H24" s="431">
        <v>69.8</v>
      </c>
      <c r="I24" s="431">
        <v>68.8</v>
      </c>
      <c r="J24" s="431">
        <v>67.8</v>
      </c>
      <c r="K24" s="431">
        <v>66.8</v>
      </c>
      <c r="L24" s="431">
        <v>65.8</v>
      </c>
      <c r="M24" s="431">
        <v>64.8</v>
      </c>
      <c r="N24" s="431">
        <v>63.8</v>
      </c>
      <c r="O24" s="431">
        <v>61.8</v>
      </c>
      <c r="P24" s="431">
        <v>60.8</v>
      </c>
      <c r="Q24" s="431">
        <v>59.8</v>
      </c>
      <c r="R24" s="431">
        <v>56.8</v>
      </c>
      <c r="S24" s="432">
        <v>51.8</v>
      </c>
    </row>
    <row r="25" spans="1:19" ht="17.100000000000001" customHeight="1">
      <c r="B25"/>
      <c r="C25" s="425">
        <v>21</v>
      </c>
      <c r="D25" s="431">
        <v>73.400000000000006</v>
      </c>
      <c r="E25" s="431">
        <v>72.400000000000006</v>
      </c>
      <c r="F25" s="431">
        <v>71.400000000000006</v>
      </c>
      <c r="G25" s="431">
        <v>70.400000000000006</v>
      </c>
      <c r="H25" s="431">
        <v>69.400000000000006</v>
      </c>
      <c r="I25" s="431">
        <v>68.400000000000006</v>
      </c>
      <c r="J25" s="431">
        <v>67.400000000000006</v>
      </c>
      <c r="K25" s="431">
        <v>66.400000000000006</v>
      </c>
      <c r="L25" s="431">
        <v>65.400000000000006</v>
      </c>
      <c r="M25" s="431">
        <v>64.400000000000006</v>
      </c>
      <c r="N25" s="431">
        <v>63.4</v>
      </c>
      <c r="O25" s="431">
        <v>61.4</v>
      </c>
      <c r="P25" s="431">
        <v>60.4</v>
      </c>
      <c r="Q25" s="431">
        <v>59.4</v>
      </c>
      <c r="R25" s="431">
        <v>56.4</v>
      </c>
      <c r="S25" s="432">
        <v>51.4</v>
      </c>
    </row>
    <row r="26" spans="1:19" ht="17.100000000000001" customHeight="1">
      <c r="B26"/>
      <c r="C26" s="425">
        <v>22</v>
      </c>
      <c r="D26" s="431">
        <v>73</v>
      </c>
      <c r="E26" s="431">
        <v>72</v>
      </c>
      <c r="F26" s="431">
        <v>71</v>
      </c>
      <c r="G26" s="431">
        <v>70</v>
      </c>
      <c r="H26" s="431">
        <v>69</v>
      </c>
      <c r="I26" s="431">
        <v>68</v>
      </c>
      <c r="J26" s="431">
        <v>67</v>
      </c>
      <c r="K26" s="431">
        <v>66</v>
      </c>
      <c r="L26" s="431">
        <v>65</v>
      </c>
      <c r="M26" s="431">
        <v>64</v>
      </c>
      <c r="N26" s="431">
        <v>63</v>
      </c>
      <c r="O26" s="431">
        <v>61</v>
      </c>
      <c r="P26" s="431">
        <v>60</v>
      </c>
      <c r="Q26" s="431">
        <v>59</v>
      </c>
      <c r="R26" s="431">
        <v>56</v>
      </c>
      <c r="S26" s="432">
        <v>51</v>
      </c>
    </row>
    <row r="27" spans="1:19" ht="17.100000000000001" customHeight="1">
      <c r="B27"/>
      <c r="C27" s="425">
        <v>23</v>
      </c>
      <c r="D27" s="431">
        <v>72.599999999999994</v>
      </c>
      <c r="E27" s="431">
        <v>71.599999999999994</v>
      </c>
      <c r="F27" s="431">
        <v>70.599999999999994</v>
      </c>
      <c r="G27" s="431">
        <v>69.599999999999994</v>
      </c>
      <c r="H27" s="431">
        <v>68.599999999999994</v>
      </c>
      <c r="I27" s="431">
        <v>67.599999999999994</v>
      </c>
      <c r="J27" s="431">
        <v>66.599999999999994</v>
      </c>
      <c r="K27" s="431">
        <v>65.599999999999994</v>
      </c>
      <c r="L27" s="431">
        <v>64.599999999999994</v>
      </c>
      <c r="M27" s="431">
        <v>63.6</v>
      </c>
      <c r="N27" s="431">
        <v>62.6</v>
      </c>
      <c r="O27" s="431">
        <v>60.6</v>
      </c>
      <c r="P27" s="431">
        <v>59.6</v>
      </c>
      <c r="Q27" s="431">
        <v>58.6</v>
      </c>
      <c r="R27" s="431">
        <v>55.6</v>
      </c>
      <c r="S27" s="432">
        <v>50.6</v>
      </c>
    </row>
    <row r="28" spans="1:19" ht="17.100000000000001" customHeight="1">
      <c r="A28" s="433"/>
      <c r="B28"/>
      <c r="C28" s="428">
        <v>24</v>
      </c>
      <c r="D28" s="429">
        <v>72</v>
      </c>
      <c r="E28" s="429">
        <v>71</v>
      </c>
      <c r="F28" s="429">
        <v>70</v>
      </c>
      <c r="G28" s="429">
        <v>69</v>
      </c>
      <c r="H28" s="429">
        <v>68</v>
      </c>
      <c r="I28" s="429">
        <v>67</v>
      </c>
      <c r="J28" s="429">
        <v>66</v>
      </c>
      <c r="K28" s="429">
        <v>65</v>
      </c>
      <c r="L28" s="429">
        <v>64</v>
      </c>
      <c r="M28" s="429">
        <v>63</v>
      </c>
      <c r="N28" s="429">
        <v>62</v>
      </c>
      <c r="O28" s="429">
        <v>60</v>
      </c>
      <c r="P28" s="429">
        <v>59</v>
      </c>
      <c r="Q28" s="429">
        <v>58</v>
      </c>
      <c r="R28" s="429">
        <v>55</v>
      </c>
      <c r="S28" s="430">
        <v>50</v>
      </c>
    </row>
    <row r="29" spans="1:19" ht="17.100000000000001" customHeight="1">
      <c r="B29"/>
      <c r="C29" s="422">
        <v>25</v>
      </c>
      <c r="D29" s="431">
        <v>71.599999999999994</v>
      </c>
      <c r="E29" s="431">
        <v>70.599999999999994</v>
      </c>
      <c r="F29" s="431">
        <v>69.599999999999994</v>
      </c>
      <c r="G29" s="431">
        <v>68.599999999999994</v>
      </c>
      <c r="H29" s="431">
        <v>67.599999999999994</v>
      </c>
      <c r="I29" s="431">
        <v>66.599999999999994</v>
      </c>
      <c r="J29" s="431">
        <v>65.599999999999994</v>
      </c>
      <c r="K29" s="431">
        <v>64.599999999999994</v>
      </c>
      <c r="L29" s="431">
        <v>63.6</v>
      </c>
      <c r="M29" s="431">
        <v>62.6</v>
      </c>
      <c r="N29" s="431">
        <v>61.6</v>
      </c>
      <c r="O29" s="431">
        <v>59.6</v>
      </c>
      <c r="P29" s="431">
        <v>58.6</v>
      </c>
      <c r="Q29" s="431">
        <v>57.6</v>
      </c>
      <c r="R29" s="431">
        <v>54.6</v>
      </c>
      <c r="S29" s="432">
        <v>49.6</v>
      </c>
    </row>
    <row r="30" spans="1:19" ht="17.100000000000001" customHeight="1">
      <c r="B30"/>
      <c r="C30" s="425">
        <v>26</v>
      </c>
      <c r="D30" s="431">
        <v>71.2</v>
      </c>
      <c r="E30" s="431">
        <v>70.2</v>
      </c>
      <c r="F30" s="431">
        <v>69.2</v>
      </c>
      <c r="G30" s="431">
        <v>68.2</v>
      </c>
      <c r="H30" s="431">
        <v>67.2</v>
      </c>
      <c r="I30" s="431">
        <v>66.2</v>
      </c>
      <c r="J30" s="431">
        <v>65.2</v>
      </c>
      <c r="K30" s="431">
        <v>64.2</v>
      </c>
      <c r="L30" s="431">
        <v>63.2</v>
      </c>
      <c r="M30" s="431">
        <v>62.2</v>
      </c>
      <c r="N30" s="431">
        <v>61.2</v>
      </c>
      <c r="O30" s="431">
        <v>59.2</v>
      </c>
      <c r="P30" s="431">
        <v>58.2</v>
      </c>
      <c r="Q30" s="431">
        <v>57.2</v>
      </c>
      <c r="R30" s="431">
        <v>54.2</v>
      </c>
      <c r="S30" s="432">
        <v>49.2</v>
      </c>
    </row>
    <row r="31" spans="1:19" ht="17.100000000000001" customHeight="1">
      <c r="B31"/>
      <c r="C31" s="425">
        <v>27</v>
      </c>
      <c r="D31" s="431">
        <v>70.8</v>
      </c>
      <c r="E31" s="431">
        <v>69.8</v>
      </c>
      <c r="F31" s="431">
        <v>68.8</v>
      </c>
      <c r="G31" s="431">
        <v>67.8</v>
      </c>
      <c r="H31" s="431">
        <v>66.8</v>
      </c>
      <c r="I31" s="431">
        <v>65.8</v>
      </c>
      <c r="J31" s="431">
        <v>64.8</v>
      </c>
      <c r="K31" s="431">
        <v>63.8</v>
      </c>
      <c r="L31" s="431">
        <v>62.8</v>
      </c>
      <c r="M31" s="431">
        <v>61.8</v>
      </c>
      <c r="N31" s="431">
        <v>60.8</v>
      </c>
      <c r="O31" s="431">
        <v>58.8</v>
      </c>
      <c r="P31" s="431">
        <v>57.8</v>
      </c>
      <c r="Q31" s="431">
        <v>56.8</v>
      </c>
      <c r="R31" s="431">
        <v>53.8</v>
      </c>
      <c r="S31" s="432">
        <v>48.8</v>
      </c>
    </row>
    <row r="32" spans="1:19" ht="17.100000000000001" customHeight="1">
      <c r="B32"/>
      <c r="C32" s="425">
        <v>28</v>
      </c>
      <c r="D32" s="431">
        <v>70.400000000000006</v>
      </c>
      <c r="E32" s="431">
        <v>69.400000000000006</v>
      </c>
      <c r="F32" s="431">
        <v>68.400000000000006</v>
      </c>
      <c r="G32" s="431">
        <v>67.400000000000006</v>
      </c>
      <c r="H32" s="431">
        <v>66.400000000000006</v>
      </c>
      <c r="I32" s="431">
        <v>65.400000000000006</v>
      </c>
      <c r="J32" s="431">
        <v>64.400000000000006</v>
      </c>
      <c r="K32" s="431">
        <v>63.4</v>
      </c>
      <c r="L32" s="431">
        <v>62.4</v>
      </c>
      <c r="M32" s="431">
        <v>61.4</v>
      </c>
      <c r="N32" s="431">
        <v>60.4</v>
      </c>
      <c r="O32" s="431">
        <v>58.4</v>
      </c>
      <c r="P32" s="431">
        <v>57.4</v>
      </c>
      <c r="Q32" s="431">
        <v>56.4</v>
      </c>
      <c r="R32" s="431">
        <v>53.4</v>
      </c>
      <c r="S32" s="432">
        <v>48.4</v>
      </c>
    </row>
    <row r="33" spans="2:19" ht="17.100000000000001" customHeight="1">
      <c r="B33"/>
      <c r="C33" s="425">
        <v>29</v>
      </c>
      <c r="D33" s="431">
        <v>70</v>
      </c>
      <c r="E33" s="431">
        <v>69</v>
      </c>
      <c r="F33" s="431">
        <v>68</v>
      </c>
      <c r="G33" s="431">
        <v>67</v>
      </c>
      <c r="H33" s="431">
        <v>66</v>
      </c>
      <c r="I33" s="431">
        <v>65</v>
      </c>
      <c r="J33" s="431">
        <v>64</v>
      </c>
      <c r="K33" s="431">
        <v>63</v>
      </c>
      <c r="L33" s="431">
        <v>62</v>
      </c>
      <c r="M33" s="431">
        <v>61</v>
      </c>
      <c r="N33" s="431">
        <v>60</v>
      </c>
      <c r="O33" s="431">
        <v>58</v>
      </c>
      <c r="P33" s="431">
        <v>57</v>
      </c>
      <c r="Q33" s="431">
        <v>56</v>
      </c>
      <c r="R33" s="431">
        <v>53</v>
      </c>
      <c r="S33" s="432">
        <v>48</v>
      </c>
    </row>
    <row r="34" spans="2:19" ht="17.100000000000001" customHeight="1">
      <c r="B34"/>
      <c r="C34" s="425">
        <v>30</v>
      </c>
      <c r="D34" s="431">
        <v>69.599999999999994</v>
      </c>
      <c r="E34" s="431">
        <v>68.599999999999994</v>
      </c>
      <c r="F34" s="431">
        <v>67.599999999999994</v>
      </c>
      <c r="G34" s="431">
        <v>66.599999999999994</v>
      </c>
      <c r="H34" s="431">
        <v>65.599999999999994</v>
      </c>
      <c r="I34" s="431">
        <v>64.599999999999994</v>
      </c>
      <c r="J34" s="431">
        <v>63.6</v>
      </c>
      <c r="K34" s="431">
        <v>62.6</v>
      </c>
      <c r="L34" s="431">
        <v>61.6</v>
      </c>
      <c r="M34" s="431">
        <v>60.6</v>
      </c>
      <c r="N34" s="431">
        <v>59.6</v>
      </c>
      <c r="O34" s="431">
        <v>57.6</v>
      </c>
      <c r="P34" s="431">
        <v>56.6</v>
      </c>
      <c r="Q34" s="431">
        <v>55.6</v>
      </c>
      <c r="R34" s="431">
        <v>52.6</v>
      </c>
      <c r="S34" s="432">
        <v>47.6</v>
      </c>
    </row>
    <row r="35" spans="2:19" ht="17.100000000000001" customHeight="1">
      <c r="B35"/>
      <c r="C35" s="425">
        <v>31</v>
      </c>
      <c r="D35" s="431">
        <v>69.2</v>
      </c>
      <c r="E35" s="431">
        <v>68.2</v>
      </c>
      <c r="F35" s="431">
        <v>67.2</v>
      </c>
      <c r="G35" s="431">
        <v>66.2</v>
      </c>
      <c r="H35" s="431">
        <v>65.2</v>
      </c>
      <c r="I35" s="431">
        <v>64.2</v>
      </c>
      <c r="J35" s="431">
        <v>63.2</v>
      </c>
      <c r="K35" s="431">
        <v>62.2</v>
      </c>
      <c r="L35" s="431">
        <v>61.2</v>
      </c>
      <c r="M35" s="431">
        <v>60.2</v>
      </c>
      <c r="N35" s="431">
        <v>59.2</v>
      </c>
      <c r="O35" s="431">
        <v>57.2</v>
      </c>
      <c r="P35" s="431">
        <v>56.2</v>
      </c>
      <c r="Q35" s="431">
        <v>55.2</v>
      </c>
      <c r="R35" s="431">
        <v>52.2</v>
      </c>
      <c r="S35" s="432">
        <v>47.2</v>
      </c>
    </row>
    <row r="36" spans="2:19" ht="17.100000000000001" customHeight="1">
      <c r="B36"/>
      <c r="C36" s="425">
        <v>32</v>
      </c>
      <c r="D36" s="431">
        <v>68.8</v>
      </c>
      <c r="E36" s="431">
        <v>67.8</v>
      </c>
      <c r="F36" s="431">
        <v>66.8</v>
      </c>
      <c r="G36" s="431">
        <v>65.8</v>
      </c>
      <c r="H36" s="431">
        <v>64.8</v>
      </c>
      <c r="I36" s="431">
        <v>63.8</v>
      </c>
      <c r="J36" s="431">
        <v>62.8</v>
      </c>
      <c r="K36" s="431">
        <v>61.8</v>
      </c>
      <c r="L36" s="431">
        <v>60.8</v>
      </c>
      <c r="M36" s="431">
        <v>59.8</v>
      </c>
      <c r="N36" s="431">
        <v>58.8</v>
      </c>
      <c r="O36" s="431">
        <v>56.8</v>
      </c>
      <c r="P36" s="431">
        <v>55.8</v>
      </c>
      <c r="Q36" s="431">
        <v>54.8</v>
      </c>
      <c r="R36" s="431">
        <v>51.8</v>
      </c>
      <c r="S36" s="432">
        <v>46.8</v>
      </c>
    </row>
    <row r="37" spans="2:19" ht="17.100000000000001" customHeight="1">
      <c r="B37"/>
      <c r="C37" s="425">
        <v>33</v>
      </c>
      <c r="D37" s="431">
        <v>68.400000000000006</v>
      </c>
      <c r="E37" s="431">
        <v>67.400000000000006</v>
      </c>
      <c r="F37" s="431">
        <v>66.400000000000006</v>
      </c>
      <c r="G37" s="431">
        <v>65.400000000000006</v>
      </c>
      <c r="H37" s="431">
        <v>64.400000000000006</v>
      </c>
      <c r="I37" s="431">
        <v>63.4</v>
      </c>
      <c r="J37" s="431">
        <v>62.4</v>
      </c>
      <c r="K37" s="431">
        <v>61.4</v>
      </c>
      <c r="L37" s="431">
        <v>60.4</v>
      </c>
      <c r="M37" s="431">
        <v>59.4</v>
      </c>
      <c r="N37" s="431">
        <v>58.4</v>
      </c>
      <c r="O37" s="431">
        <v>56.4</v>
      </c>
      <c r="P37" s="431">
        <v>55.4</v>
      </c>
      <c r="Q37" s="431">
        <v>54.4</v>
      </c>
      <c r="R37" s="431">
        <v>51.4</v>
      </c>
      <c r="S37" s="432">
        <v>46.4</v>
      </c>
    </row>
    <row r="38" spans="2:19" ht="17.100000000000001" customHeight="1">
      <c r="B38"/>
      <c r="C38" s="425">
        <v>34</v>
      </c>
      <c r="D38" s="431">
        <v>68</v>
      </c>
      <c r="E38" s="431">
        <v>67</v>
      </c>
      <c r="F38" s="431">
        <v>66</v>
      </c>
      <c r="G38" s="431">
        <v>65</v>
      </c>
      <c r="H38" s="431">
        <v>64</v>
      </c>
      <c r="I38" s="431">
        <v>63</v>
      </c>
      <c r="J38" s="431">
        <v>62</v>
      </c>
      <c r="K38" s="431">
        <v>61</v>
      </c>
      <c r="L38" s="431">
        <v>60</v>
      </c>
      <c r="M38" s="431">
        <v>59</v>
      </c>
      <c r="N38" s="431">
        <v>58</v>
      </c>
      <c r="O38" s="431">
        <v>56</v>
      </c>
      <c r="P38" s="431">
        <v>55</v>
      </c>
      <c r="Q38" s="431">
        <v>54</v>
      </c>
      <c r="R38" s="431">
        <v>51</v>
      </c>
      <c r="S38" s="432">
        <v>46</v>
      </c>
    </row>
    <row r="39" spans="2:19" ht="17.100000000000001" customHeight="1">
      <c r="B39"/>
      <c r="C39" s="425">
        <v>35</v>
      </c>
      <c r="D39" s="431">
        <v>67.599999999999994</v>
      </c>
      <c r="E39" s="431">
        <v>66.599999999999994</v>
      </c>
      <c r="F39" s="431">
        <v>65.599999999999994</v>
      </c>
      <c r="G39" s="431">
        <v>64.599999999999994</v>
      </c>
      <c r="H39" s="431">
        <v>63.6</v>
      </c>
      <c r="I39" s="431">
        <v>62.6</v>
      </c>
      <c r="J39" s="431">
        <v>61.6</v>
      </c>
      <c r="K39" s="431">
        <v>60.6</v>
      </c>
      <c r="L39" s="431">
        <v>59.6</v>
      </c>
      <c r="M39" s="431">
        <v>58.6</v>
      </c>
      <c r="N39" s="431">
        <v>57.6</v>
      </c>
      <c r="O39" s="431">
        <v>55.6</v>
      </c>
      <c r="P39" s="431">
        <v>54.6</v>
      </c>
      <c r="Q39" s="431">
        <v>53.6</v>
      </c>
      <c r="R39" s="431">
        <v>50.6</v>
      </c>
      <c r="S39" s="432">
        <v>45.6</v>
      </c>
    </row>
    <row r="40" spans="2:19" ht="17.100000000000001" customHeight="1">
      <c r="B40"/>
      <c r="C40" s="434">
        <v>36</v>
      </c>
      <c r="D40" s="435">
        <v>67</v>
      </c>
      <c r="E40" s="435">
        <v>66</v>
      </c>
      <c r="F40" s="435">
        <v>65</v>
      </c>
      <c r="G40" s="435">
        <v>64</v>
      </c>
      <c r="H40" s="435">
        <v>63</v>
      </c>
      <c r="I40" s="435">
        <v>62</v>
      </c>
      <c r="J40" s="435">
        <v>61</v>
      </c>
      <c r="K40" s="435">
        <v>60</v>
      </c>
      <c r="L40" s="435">
        <v>59</v>
      </c>
      <c r="M40" s="435">
        <v>58</v>
      </c>
      <c r="N40" s="435">
        <v>57</v>
      </c>
      <c r="O40" s="435">
        <v>55</v>
      </c>
      <c r="P40" s="435">
        <v>54</v>
      </c>
      <c r="Q40" s="435">
        <v>53</v>
      </c>
      <c r="R40" s="435">
        <v>50</v>
      </c>
      <c r="S40" s="436">
        <v>45</v>
      </c>
    </row>
    <row r="41" spans="2:19" ht="17.100000000000001" customHeight="1">
      <c r="B41"/>
      <c r="C41" s="422">
        <v>37</v>
      </c>
      <c r="D41" s="431">
        <v>66.400000000000006</v>
      </c>
      <c r="E41" s="431">
        <v>65.400000000000006</v>
      </c>
      <c r="F41" s="431">
        <v>64.400000000000006</v>
      </c>
      <c r="G41" s="431">
        <v>63.4</v>
      </c>
      <c r="H41" s="431">
        <v>62.4</v>
      </c>
      <c r="I41" s="431">
        <v>61.4</v>
      </c>
      <c r="J41" s="431">
        <v>60.4</v>
      </c>
      <c r="K41" s="431">
        <v>59.4</v>
      </c>
      <c r="L41" s="431">
        <v>58.4</v>
      </c>
      <c r="M41" s="431">
        <v>57.4</v>
      </c>
      <c r="N41" s="431">
        <v>56.4</v>
      </c>
      <c r="O41" s="431">
        <v>54.4</v>
      </c>
      <c r="P41" s="431">
        <v>53.4</v>
      </c>
      <c r="Q41" s="431">
        <v>52.4</v>
      </c>
      <c r="R41" s="431">
        <v>49.4</v>
      </c>
      <c r="S41" s="432">
        <v>44.4</v>
      </c>
    </row>
    <row r="42" spans="2:19" ht="17.100000000000001" customHeight="1">
      <c r="B42"/>
      <c r="C42" s="425">
        <v>38</v>
      </c>
      <c r="D42" s="431">
        <v>65.8</v>
      </c>
      <c r="E42" s="431">
        <v>64.8</v>
      </c>
      <c r="F42" s="431">
        <v>63.8</v>
      </c>
      <c r="G42" s="431">
        <v>62.8</v>
      </c>
      <c r="H42" s="431">
        <v>61.8</v>
      </c>
      <c r="I42" s="431">
        <v>60.8</v>
      </c>
      <c r="J42" s="431">
        <v>59.8</v>
      </c>
      <c r="K42" s="431">
        <v>58.8</v>
      </c>
      <c r="L42" s="431">
        <v>57.8</v>
      </c>
      <c r="M42" s="431">
        <v>56.8</v>
      </c>
      <c r="N42" s="431">
        <v>55.8</v>
      </c>
      <c r="O42" s="431">
        <v>53.8</v>
      </c>
      <c r="P42" s="431">
        <v>52.8</v>
      </c>
      <c r="Q42" s="431">
        <v>51.8</v>
      </c>
      <c r="R42" s="431">
        <v>48.8</v>
      </c>
      <c r="S42" s="432">
        <v>43.8</v>
      </c>
    </row>
    <row r="43" spans="2:19" ht="17.100000000000001" customHeight="1">
      <c r="B43"/>
      <c r="C43" s="425">
        <v>39</v>
      </c>
      <c r="D43" s="431">
        <v>65.2</v>
      </c>
      <c r="E43" s="431">
        <v>64.2</v>
      </c>
      <c r="F43" s="431">
        <v>63.2</v>
      </c>
      <c r="G43" s="431">
        <v>62.2</v>
      </c>
      <c r="H43" s="431">
        <v>61.2</v>
      </c>
      <c r="I43" s="431">
        <v>60.2</v>
      </c>
      <c r="J43" s="431">
        <v>59.2</v>
      </c>
      <c r="K43" s="431">
        <v>58.2</v>
      </c>
      <c r="L43" s="431">
        <v>57.2</v>
      </c>
      <c r="M43" s="431">
        <v>56.2</v>
      </c>
      <c r="N43" s="431">
        <v>55.2</v>
      </c>
      <c r="O43" s="431">
        <v>53.2</v>
      </c>
      <c r="P43" s="431">
        <v>52.2</v>
      </c>
      <c r="Q43" s="431">
        <v>51.2</v>
      </c>
      <c r="R43" s="431">
        <v>48.2</v>
      </c>
      <c r="S43" s="432">
        <v>43.2</v>
      </c>
    </row>
    <row r="44" spans="2:19" ht="17.100000000000001" customHeight="1">
      <c r="B44"/>
      <c r="C44" s="425">
        <v>40</v>
      </c>
      <c r="D44" s="431">
        <v>64.599999999999994</v>
      </c>
      <c r="E44" s="431">
        <v>63.6</v>
      </c>
      <c r="F44" s="431">
        <v>62.6</v>
      </c>
      <c r="G44" s="431">
        <v>61.6</v>
      </c>
      <c r="H44" s="431">
        <v>60.6</v>
      </c>
      <c r="I44" s="431">
        <v>59.6</v>
      </c>
      <c r="J44" s="431">
        <v>58.6</v>
      </c>
      <c r="K44" s="431">
        <v>57.6</v>
      </c>
      <c r="L44" s="431">
        <v>56.6</v>
      </c>
      <c r="M44" s="431">
        <v>55.6</v>
      </c>
      <c r="N44" s="431">
        <v>54.6</v>
      </c>
      <c r="O44" s="431">
        <v>52.6</v>
      </c>
      <c r="P44" s="431">
        <v>51.6</v>
      </c>
      <c r="Q44" s="431">
        <v>50.6</v>
      </c>
      <c r="R44" s="431">
        <v>47.6</v>
      </c>
      <c r="S44" s="432">
        <v>42.6</v>
      </c>
    </row>
    <row r="45" spans="2:19" ht="17.100000000000001" customHeight="1">
      <c r="B45"/>
      <c r="C45" s="425">
        <v>41</v>
      </c>
      <c r="D45" s="431">
        <v>64</v>
      </c>
      <c r="E45" s="431">
        <v>63</v>
      </c>
      <c r="F45" s="431">
        <v>62</v>
      </c>
      <c r="G45" s="431">
        <v>61</v>
      </c>
      <c r="H45" s="431">
        <v>60</v>
      </c>
      <c r="I45" s="431">
        <v>59</v>
      </c>
      <c r="J45" s="431">
        <v>58</v>
      </c>
      <c r="K45" s="431">
        <v>57</v>
      </c>
      <c r="L45" s="431">
        <v>56</v>
      </c>
      <c r="M45" s="431">
        <v>55</v>
      </c>
      <c r="N45" s="431">
        <v>54</v>
      </c>
      <c r="O45" s="431">
        <v>52</v>
      </c>
      <c r="P45" s="431">
        <v>51</v>
      </c>
      <c r="Q45" s="431">
        <v>50</v>
      </c>
      <c r="R45" s="431">
        <v>47</v>
      </c>
      <c r="S45" s="432">
        <v>42</v>
      </c>
    </row>
    <row r="46" spans="2:19" ht="17.100000000000001" customHeight="1">
      <c r="B46"/>
      <c r="C46" s="425">
        <v>42</v>
      </c>
      <c r="D46" s="431">
        <v>63.4</v>
      </c>
      <c r="E46" s="431">
        <v>62.4</v>
      </c>
      <c r="F46" s="431">
        <v>61.4</v>
      </c>
      <c r="G46" s="431">
        <v>60.4</v>
      </c>
      <c r="H46" s="431">
        <v>59.4</v>
      </c>
      <c r="I46" s="431">
        <v>58.4</v>
      </c>
      <c r="J46" s="431">
        <v>57.4</v>
      </c>
      <c r="K46" s="431">
        <v>56.4</v>
      </c>
      <c r="L46" s="431">
        <v>55.4</v>
      </c>
      <c r="M46" s="431">
        <v>54.4</v>
      </c>
      <c r="N46" s="431">
        <v>53.4</v>
      </c>
      <c r="O46" s="431">
        <v>51.4</v>
      </c>
      <c r="P46" s="431">
        <v>50.4</v>
      </c>
      <c r="Q46" s="431">
        <v>49.4</v>
      </c>
      <c r="R46" s="431">
        <v>46.4</v>
      </c>
      <c r="S46" s="432">
        <v>41.4</v>
      </c>
    </row>
    <row r="47" spans="2:19" ht="17.100000000000001" customHeight="1">
      <c r="B47"/>
      <c r="C47" s="425">
        <v>43</v>
      </c>
      <c r="D47" s="431">
        <v>62.8</v>
      </c>
      <c r="E47" s="431">
        <v>61.8</v>
      </c>
      <c r="F47" s="431">
        <v>60.8</v>
      </c>
      <c r="G47" s="431">
        <v>59.8</v>
      </c>
      <c r="H47" s="431">
        <v>58.8</v>
      </c>
      <c r="I47" s="431">
        <v>57.8</v>
      </c>
      <c r="J47" s="431">
        <v>56.8</v>
      </c>
      <c r="K47" s="431">
        <v>55.8</v>
      </c>
      <c r="L47" s="431">
        <v>54.8</v>
      </c>
      <c r="M47" s="431">
        <v>53.8</v>
      </c>
      <c r="N47" s="431">
        <v>52.8</v>
      </c>
      <c r="O47" s="431">
        <v>50.8</v>
      </c>
      <c r="P47" s="431">
        <v>49.8</v>
      </c>
      <c r="Q47" s="431">
        <v>48.8</v>
      </c>
      <c r="R47" s="431">
        <v>45.8</v>
      </c>
      <c r="S47" s="432">
        <v>40.799999999999997</v>
      </c>
    </row>
    <row r="48" spans="2:19" ht="17.100000000000001" customHeight="1">
      <c r="B48"/>
      <c r="C48" s="425">
        <v>44</v>
      </c>
      <c r="D48" s="431">
        <v>62.2</v>
      </c>
      <c r="E48" s="431">
        <v>61.2</v>
      </c>
      <c r="F48" s="431">
        <v>60.2</v>
      </c>
      <c r="G48" s="431">
        <v>59.2</v>
      </c>
      <c r="H48" s="431">
        <v>58.2</v>
      </c>
      <c r="I48" s="431">
        <v>57.2</v>
      </c>
      <c r="J48" s="431">
        <v>56.2</v>
      </c>
      <c r="K48" s="431">
        <v>55.2</v>
      </c>
      <c r="L48" s="431">
        <v>54.2</v>
      </c>
      <c r="M48" s="431">
        <v>53.2</v>
      </c>
      <c r="N48" s="431">
        <v>52.2</v>
      </c>
      <c r="O48" s="431">
        <v>50.2</v>
      </c>
      <c r="P48" s="431">
        <v>49.2</v>
      </c>
      <c r="Q48" s="431">
        <v>48.2</v>
      </c>
      <c r="R48" s="431">
        <v>45.2</v>
      </c>
      <c r="S48" s="432">
        <v>40.200000000000003</v>
      </c>
    </row>
    <row r="49" spans="2:19" ht="17.100000000000001" customHeight="1">
      <c r="B49"/>
      <c r="C49" s="425">
        <v>45</v>
      </c>
      <c r="D49" s="431">
        <v>61.6</v>
      </c>
      <c r="E49" s="431">
        <v>60.6</v>
      </c>
      <c r="F49" s="431">
        <v>59.6</v>
      </c>
      <c r="G49" s="431">
        <v>58.6</v>
      </c>
      <c r="H49" s="431">
        <v>57.6</v>
      </c>
      <c r="I49" s="431">
        <v>56.6</v>
      </c>
      <c r="J49" s="431">
        <v>55.6</v>
      </c>
      <c r="K49" s="431">
        <v>54.6</v>
      </c>
      <c r="L49" s="431">
        <v>53.6</v>
      </c>
      <c r="M49" s="431">
        <v>52.6</v>
      </c>
      <c r="N49" s="431">
        <v>51.6</v>
      </c>
      <c r="O49" s="431">
        <v>49.6</v>
      </c>
      <c r="P49" s="431">
        <v>48.6</v>
      </c>
      <c r="Q49" s="431">
        <v>47.6</v>
      </c>
      <c r="R49" s="431">
        <v>44.6</v>
      </c>
      <c r="S49" s="432">
        <v>39.6</v>
      </c>
    </row>
    <row r="50" spans="2:19" ht="17.100000000000001" customHeight="1">
      <c r="B50"/>
      <c r="C50" s="425">
        <v>46</v>
      </c>
      <c r="D50" s="431">
        <v>61</v>
      </c>
      <c r="E50" s="431">
        <v>60</v>
      </c>
      <c r="F50" s="431">
        <v>59</v>
      </c>
      <c r="G50" s="431">
        <v>58</v>
      </c>
      <c r="H50" s="431">
        <v>57</v>
      </c>
      <c r="I50" s="431">
        <v>56</v>
      </c>
      <c r="J50" s="431">
        <v>55</v>
      </c>
      <c r="K50" s="431">
        <v>54</v>
      </c>
      <c r="L50" s="431">
        <v>53</v>
      </c>
      <c r="M50" s="431">
        <v>52</v>
      </c>
      <c r="N50" s="431">
        <v>51</v>
      </c>
      <c r="O50" s="431">
        <v>49</v>
      </c>
      <c r="P50" s="431">
        <v>48</v>
      </c>
      <c r="Q50" s="431">
        <v>47</v>
      </c>
      <c r="R50" s="431">
        <v>44</v>
      </c>
      <c r="S50" s="432">
        <v>39</v>
      </c>
    </row>
    <row r="51" spans="2:19" ht="17.100000000000001" customHeight="1">
      <c r="B51"/>
      <c r="C51" s="425">
        <v>47</v>
      </c>
      <c r="D51" s="431">
        <v>60.4</v>
      </c>
      <c r="E51" s="431">
        <v>59.4</v>
      </c>
      <c r="F51" s="431">
        <v>58.4</v>
      </c>
      <c r="G51" s="431">
        <v>57.4</v>
      </c>
      <c r="H51" s="431">
        <v>56.4</v>
      </c>
      <c r="I51" s="431">
        <v>55.4</v>
      </c>
      <c r="J51" s="431">
        <v>54.4</v>
      </c>
      <c r="K51" s="431">
        <v>53.4</v>
      </c>
      <c r="L51" s="431">
        <v>52.4</v>
      </c>
      <c r="M51" s="431">
        <v>51.4</v>
      </c>
      <c r="N51" s="431">
        <v>50.4</v>
      </c>
      <c r="O51" s="431">
        <v>48.4</v>
      </c>
      <c r="P51" s="431">
        <v>47.4</v>
      </c>
      <c r="Q51" s="431">
        <v>46.4</v>
      </c>
      <c r="R51" s="431">
        <v>43.4</v>
      </c>
      <c r="S51" s="432">
        <v>38.4</v>
      </c>
    </row>
    <row r="52" spans="2:19" ht="17.100000000000001" customHeight="1">
      <c r="B52"/>
      <c r="C52" s="437">
        <v>48</v>
      </c>
      <c r="D52" s="438">
        <v>60</v>
      </c>
      <c r="E52" s="438">
        <v>59</v>
      </c>
      <c r="F52" s="438">
        <v>58</v>
      </c>
      <c r="G52" s="438">
        <v>57</v>
      </c>
      <c r="H52" s="438">
        <v>56</v>
      </c>
      <c r="I52" s="438">
        <v>55</v>
      </c>
      <c r="J52" s="438">
        <v>54</v>
      </c>
      <c r="K52" s="438">
        <v>53</v>
      </c>
      <c r="L52" s="438">
        <v>52</v>
      </c>
      <c r="M52" s="438">
        <v>51</v>
      </c>
      <c r="N52" s="438">
        <v>50</v>
      </c>
      <c r="O52" s="438">
        <v>48</v>
      </c>
      <c r="P52" s="438">
        <v>47</v>
      </c>
      <c r="Q52" s="438">
        <v>46</v>
      </c>
      <c r="R52" s="438">
        <v>43</v>
      </c>
      <c r="S52" s="439">
        <v>38</v>
      </c>
    </row>
    <row r="53" spans="2:19" ht="17.100000000000001" customHeight="1">
      <c r="B53"/>
      <c r="C53" s="422">
        <v>49</v>
      </c>
      <c r="D53" s="431">
        <v>59.3</v>
      </c>
      <c r="E53" s="431">
        <v>58.3</v>
      </c>
      <c r="F53" s="431">
        <v>57.3</v>
      </c>
      <c r="G53" s="431">
        <v>56.3</v>
      </c>
      <c r="H53" s="431">
        <v>55.3</v>
      </c>
      <c r="I53" s="431">
        <v>54.3</v>
      </c>
      <c r="J53" s="431">
        <v>53.3</v>
      </c>
      <c r="K53" s="431">
        <v>52.3</v>
      </c>
      <c r="L53" s="431">
        <v>51.3</v>
      </c>
      <c r="M53" s="431">
        <v>50.3</v>
      </c>
      <c r="N53" s="431">
        <v>49.3</v>
      </c>
      <c r="O53" s="431">
        <v>47.3</v>
      </c>
      <c r="P53" s="431">
        <v>46.3</v>
      </c>
      <c r="Q53" s="431">
        <v>45.3</v>
      </c>
      <c r="R53" s="431">
        <v>42.3</v>
      </c>
      <c r="S53" s="432">
        <v>37.299999999999997</v>
      </c>
    </row>
    <row r="54" spans="2:19" ht="17.100000000000001" customHeight="1">
      <c r="B54"/>
      <c r="C54" s="425">
        <v>50</v>
      </c>
      <c r="D54" s="431">
        <v>58.6</v>
      </c>
      <c r="E54" s="431">
        <v>57.6</v>
      </c>
      <c r="F54" s="431">
        <v>56.6</v>
      </c>
      <c r="G54" s="431">
        <v>55.6</v>
      </c>
      <c r="H54" s="431">
        <v>54.6</v>
      </c>
      <c r="I54" s="431">
        <v>53.6</v>
      </c>
      <c r="J54" s="431">
        <v>52.6</v>
      </c>
      <c r="K54" s="431">
        <v>51.6</v>
      </c>
      <c r="L54" s="431">
        <v>50.6</v>
      </c>
      <c r="M54" s="431">
        <v>49.6</v>
      </c>
      <c r="N54" s="431">
        <v>48.6</v>
      </c>
      <c r="O54" s="431">
        <v>46.6</v>
      </c>
      <c r="P54" s="431">
        <v>45.6</v>
      </c>
      <c r="Q54" s="431">
        <v>44.6</v>
      </c>
      <c r="R54" s="431">
        <v>41.6</v>
      </c>
      <c r="S54" s="432">
        <v>36.6</v>
      </c>
    </row>
    <row r="55" spans="2:19" ht="17.100000000000001" customHeight="1">
      <c r="B55"/>
      <c r="C55" s="425">
        <v>51</v>
      </c>
      <c r="D55" s="431">
        <v>57.9</v>
      </c>
      <c r="E55" s="431">
        <v>56.9</v>
      </c>
      <c r="F55" s="431">
        <v>55.9</v>
      </c>
      <c r="G55" s="431">
        <v>54.9</v>
      </c>
      <c r="H55" s="431">
        <v>53.9</v>
      </c>
      <c r="I55" s="431">
        <v>52.9</v>
      </c>
      <c r="J55" s="431">
        <v>51.9</v>
      </c>
      <c r="K55" s="431">
        <v>50.9</v>
      </c>
      <c r="L55" s="431">
        <v>49.9</v>
      </c>
      <c r="M55" s="431">
        <v>48.9</v>
      </c>
      <c r="N55" s="431">
        <v>47.9</v>
      </c>
      <c r="O55" s="431">
        <v>45.9</v>
      </c>
      <c r="P55" s="431">
        <v>44.9</v>
      </c>
      <c r="Q55" s="431">
        <v>43.9</v>
      </c>
      <c r="R55" s="431">
        <v>40.9</v>
      </c>
      <c r="S55" s="432">
        <v>35.9</v>
      </c>
    </row>
    <row r="56" spans="2:19" ht="17.100000000000001" customHeight="1">
      <c r="B56"/>
      <c r="C56" s="425">
        <v>52</v>
      </c>
      <c r="D56" s="431">
        <v>57.2</v>
      </c>
      <c r="E56" s="431">
        <v>56.2</v>
      </c>
      <c r="F56" s="431">
        <v>55.2</v>
      </c>
      <c r="G56" s="431">
        <v>54.2</v>
      </c>
      <c r="H56" s="431">
        <v>53.2</v>
      </c>
      <c r="I56" s="431">
        <v>52.2</v>
      </c>
      <c r="J56" s="431">
        <v>51.2</v>
      </c>
      <c r="K56" s="431">
        <v>50.2</v>
      </c>
      <c r="L56" s="431">
        <v>49.2</v>
      </c>
      <c r="M56" s="431">
        <v>48.2</v>
      </c>
      <c r="N56" s="431">
        <v>47.2</v>
      </c>
      <c r="O56" s="431">
        <v>45.2</v>
      </c>
      <c r="P56" s="431">
        <v>44.2</v>
      </c>
      <c r="Q56" s="431">
        <v>43.2</v>
      </c>
      <c r="R56" s="431">
        <v>40.200000000000003</v>
      </c>
      <c r="S56" s="432">
        <v>35.200000000000003</v>
      </c>
    </row>
    <row r="57" spans="2:19" ht="17.100000000000001" customHeight="1">
      <c r="B57"/>
      <c r="C57" s="425">
        <v>53</v>
      </c>
      <c r="D57" s="431">
        <v>56.5</v>
      </c>
      <c r="E57" s="431">
        <v>55.5</v>
      </c>
      <c r="F57" s="431">
        <v>54.5</v>
      </c>
      <c r="G57" s="431">
        <v>53.5</v>
      </c>
      <c r="H57" s="431">
        <v>52.5</v>
      </c>
      <c r="I57" s="431">
        <v>51.5</v>
      </c>
      <c r="J57" s="431">
        <v>50.5</v>
      </c>
      <c r="K57" s="431">
        <v>49.5</v>
      </c>
      <c r="L57" s="431">
        <v>48.5</v>
      </c>
      <c r="M57" s="431">
        <v>47.5</v>
      </c>
      <c r="N57" s="431">
        <v>46.5</v>
      </c>
      <c r="O57" s="431">
        <v>44.5</v>
      </c>
      <c r="P57" s="431">
        <v>43.5</v>
      </c>
      <c r="Q57" s="431">
        <v>42.5</v>
      </c>
      <c r="R57" s="431">
        <v>39.5</v>
      </c>
      <c r="S57" s="432">
        <v>34.5</v>
      </c>
    </row>
    <row r="58" spans="2:19" ht="17.100000000000001" customHeight="1">
      <c r="B58"/>
      <c r="C58" s="425">
        <v>54</v>
      </c>
      <c r="D58" s="431">
        <v>55.8</v>
      </c>
      <c r="E58" s="431">
        <v>54.8</v>
      </c>
      <c r="F58" s="431">
        <v>53.8</v>
      </c>
      <c r="G58" s="431">
        <v>52.8</v>
      </c>
      <c r="H58" s="431">
        <v>51.8</v>
      </c>
      <c r="I58" s="431">
        <v>50.8</v>
      </c>
      <c r="J58" s="431">
        <v>49.8</v>
      </c>
      <c r="K58" s="431">
        <v>48.8</v>
      </c>
      <c r="L58" s="431">
        <v>47.8</v>
      </c>
      <c r="M58" s="431">
        <v>46.8</v>
      </c>
      <c r="N58" s="431">
        <v>45.8</v>
      </c>
      <c r="O58" s="431">
        <v>43.8</v>
      </c>
      <c r="P58" s="431">
        <v>42.8</v>
      </c>
      <c r="Q58" s="431">
        <v>41.8</v>
      </c>
      <c r="R58" s="431">
        <v>38.799999999999997</v>
      </c>
      <c r="S58" s="432">
        <v>33.799999999999997</v>
      </c>
    </row>
    <row r="59" spans="2:19" s="76" customFormat="1" ht="17.100000000000001" customHeight="1">
      <c r="B59"/>
      <c r="C59" s="440">
        <v>55</v>
      </c>
      <c r="D59" s="441">
        <v>55.1</v>
      </c>
      <c r="E59" s="441">
        <v>54.1</v>
      </c>
      <c r="F59" s="441">
        <v>53.1</v>
      </c>
      <c r="G59" s="441">
        <v>52.1</v>
      </c>
      <c r="H59" s="441">
        <v>51.1</v>
      </c>
      <c r="I59" s="441">
        <v>50.1</v>
      </c>
      <c r="J59" s="441">
        <v>49.1</v>
      </c>
      <c r="K59" s="441">
        <v>48.1</v>
      </c>
      <c r="L59" s="441">
        <v>47.1</v>
      </c>
      <c r="M59" s="441">
        <v>46.1</v>
      </c>
      <c r="N59" s="441">
        <v>45.1</v>
      </c>
      <c r="O59" s="441">
        <v>43.1</v>
      </c>
      <c r="P59" s="441">
        <v>42.1</v>
      </c>
      <c r="Q59" s="441">
        <v>41.1</v>
      </c>
      <c r="R59" s="441">
        <v>38.1</v>
      </c>
      <c r="S59" s="442">
        <v>33.1</v>
      </c>
    </row>
    <row r="60" spans="2:19" ht="17.100000000000001" customHeight="1">
      <c r="B60"/>
      <c r="C60" s="425">
        <v>56</v>
      </c>
      <c r="D60" s="426">
        <v>54.4</v>
      </c>
      <c r="E60" s="426">
        <v>53.4</v>
      </c>
      <c r="F60" s="426">
        <v>52.4</v>
      </c>
      <c r="G60" s="426">
        <v>51.4</v>
      </c>
      <c r="H60" s="426">
        <v>50.4</v>
      </c>
      <c r="I60" s="426">
        <v>49.4</v>
      </c>
      <c r="J60" s="426">
        <v>48.4</v>
      </c>
      <c r="K60" s="426">
        <v>47.4</v>
      </c>
      <c r="L60" s="426">
        <v>46.4</v>
      </c>
      <c r="M60" s="426">
        <v>45.4</v>
      </c>
      <c r="N60" s="426">
        <v>44.4</v>
      </c>
      <c r="O60" s="426">
        <v>42.4</v>
      </c>
      <c r="P60" s="426">
        <v>41.4</v>
      </c>
      <c r="Q60" s="426">
        <v>40.4</v>
      </c>
      <c r="R60" s="426">
        <v>37.4</v>
      </c>
      <c r="S60" s="427">
        <v>32.4</v>
      </c>
    </row>
    <row r="61" spans="2:19" ht="17.100000000000001" customHeight="1">
      <c r="B61"/>
      <c r="C61" s="425">
        <v>57</v>
      </c>
      <c r="D61" s="426">
        <v>53.7</v>
      </c>
      <c r="E61" s="426">
        <v>52.7</v>
      </c>
      <c r="F61" s="426">
        <v>51.7</v>
      </c>
      <c r="G61" s="426">
        <v>50.7</v>
      </c>
      <c r="H61" s="426">
        <v>49.7</v>
      </c>
      <c r="I61" s="426">
        <v>48.7</v>
      </c>
      <c r="J61" s="426">
        <v>47.7</v>
      </c>
      <c r="K61" s="426">
        <v>46.7</v>
      </c>
      <c r="L61" s="426">
        <v>45.7</v>
      </c>
      <c r="M61" s="426">
        <v>44.7</v>
      </c>
      <c r="N61" s="426">
        <v>43.7</v>
      </c>
      <c r="O61" s="426">
        <v>41.7</v>
      </c>
      <c r="P61" s="426">
        <v>40.700000000000003</v>
      </c>
      <c r="Q61" s="426">
        <v>39.700000000000003</v>
      </c>
      <c r="R61" s="426">
        <v>36.700000000000003</v>
      </c>
      <c r="S61" s="427">
        <v>31.7</v>
      </c>
    </row>
    <row r="62" spans="2:19" ht="17.100000000000001" customHeight="1">
      <c r="B62"/>
      <c r="C62" s="425">
        <v>58</v>
      </c>
      <c r="D62" s="426">
        <v>53</v>
      </c>
      <c r="E62" s="426">
        <v>52</v>
      </c>
      <c r="F62" s="426">
        <v>51</v>
      </c>
      <c r="G62" s="426">
        <v>50</v>
      </c>
      <c r="H62" s="426">
        <v>49</v>
      </c>
      <c r="I62" s="426">
        <v>48</v>
      </c>
      <c r="J62" s="426">
        <v>47</v>
      </c>
      <c r="K62" s="426">
        <v>46</v>
      </c>
      <c r="L62" s="426">
        <v>45</v>
      </c>
      <c r="M62" s="426">
        <v>44</v>
      </c>
      <c r="N62" s="426">
        <v>43</v>
      </c>
      <c r="O62" s="426">
        <v>41</v>
      </c>
      <c r="P62" s="426">
        <v>40</v>
      </c>
      <c r="Q62" s="426">
        <v>39</v>
      </c>
      <c r="R62" s="426">
        <v>36</v>
      </c>
      <c r="S62" s="427">
        <v>31</v>
      </c>
    </row>
    <row r="63" spans="2:19" ht="17.100000000000001" customHeight="1">
      <c r="B63"/>
      <c r="C63" s="425">
        <v>59</v>
      </c>
      <c r="D63" s="426">
        <v>52.3</v>
      </c>
      <c r="E63" s="426">
        <v>51.3</v>
      </c>
      <c r="F63" s="426">
        <v>50.3</v>
      </c>
      <c r="G63" s="426">
        <v>49.3</v>
      </c>
      <c r="H63" s="426">
        <v>48.3</v>
      </c>
      <c r="I63" s="426">
        <v>47.3</v>
      </c>
      <c r="J63" s="426">
        <v>46.3</v>
      </c>
      <c r="K63" s="426">
        <v>45.3</v>
      </c>
      <c r="L63" s="426">
        <v>44.3</v>
      </c>
      <c r="M63" s="426">
        <v>43.3</v>
      </c>
      <c r="N63" s="426">
        <v>42.3</v>
      </c>
      <c r="O63" s="426">
        <v>40.299999999999997</v>
      </c>
      <c r="P63" s="426">
        <v>39.299999999999997</v>
      </c>
      <c r="Q63" s="426">
        <v>38.299999999999997</v>
      </c>
      <c r="R63" s="426">
        <v>35.299999999999997</v>
      </c>
      <c r="S63" s="427">
        <v>30.3</v>
      </c>
    </row>
    <row r="64" spans="2:19" ht="17.100000000000001" customHeight="1">
      <c r="B64"/>
      <c r="C64" s="428">
        <v>60</v>
      </c>
      <c r="D64" s="429">
        <v>52</v>
      </c>
      <c r="E64" s="429">
        <v>51</v>
      </c>
      <c r="F64" s="429">
        <v>50</v>
      </c>
      <c r="G64" s="429">
        <v>49</v>
      </c>
      <c r="H64" s="429">
        <v>48</v>
      </c>
      <c r="I64" s="429">
        <v>47</v>
      </c>
      <c r="J64" s="429">
        <v>46</v>
      </c>
      <c r="K64" s="429">
        <v>45</v>
      </c>
      <c r="L64" s="429">
        <v>44</v>
      </c>
      <c r="M64" s="429">
        <v>43</v>
      </c>
      <c r="N64" s="429">
        <v>42</v>
      </c>
      <c r="O64" s="429">
        <v>40</v>
      </c>
      <c r="P64" s="429">
        <v>39</v>
      </c>
      <c r="Q64" s="429">
        <v>38</v>
      </c>
      <c r="R64" s="429">
        <v>35</v>
      </c>
      <c r="S64" s="430">
        <v>30</v>
      </c>
    </row>
    <row r="65" spans="2:19" ht="17.100000000000001" customHeight="1">
      <c r="B65"/>
      <c r="C65" s="443">
        <v>61</v>
      </c>
      <c r="D65" s="444">
        <v>51</v>
      </c>
      <c r="E65" s="444">
        <v>50</v>
      </c>
      <c r="F65" s="444">
        <v>49</v>
      </c>
      <c r="G65" s="444">
        <v>48</v>
      </c>
      <c r="H65" s="444">
        <v>47</v>
      </c>
      <c r="I65" s="444">
        <v>46</v>
      </c>
      <c r="J65" s="444">
        <v>45</v>
      </c>
      <c r="K65" s="444">
        <v>44</v>
      </c>
      <c r="L65" s="444">
        <v>43</v>
      </c>
      <c r="M65" s="444">
        <v>42</v>
      </c>
      <c r="N65" s="444">
        <v>41</v>
      </c>
      <c r="O65" s="444">
        <v>39</v>
      </c>
      <c r="P65" s="444">
        <v>38</v>
      </c>
      <c r="Q65" s="444">
        <v>37</v>
      </c>
      <c r="R65" s="444">
        <v>34</v>
      </c>
      <c r="S65" s="445">
        <v>29</v>
      </c>
    </row>
    <row r="66" spans="2:19" ht="17.100000000000001" customHeight="1">
      <c r="B66"/>
      <c r="C66" s="446">
        <v>62</v>
      </c>
      <c r="D66" s="447">
        <v>50</v>
      </c>
      <c r="E66" s="447">
        <v>49</v>
      </c>
      <c r="F66" s="447">
        <v>48</v>
      </c>
      <c r="G66" s="447">
        <v>47</v>
      </c>
      <c r="H66" s="447">
        <v>46</v>
      </c>
      <c r="I66" s="447">
        <v>45</v>
      </c>
      <c r="J66" s="447">
        <v>44</v>
      </c>
      <c r="K66" s="447">
        <v>43</v>
      </c>
      <c r="L66" s="447">
        <v>42</v>
      </c>
      <c r="M66" s="447">
        <v>41</v>
      </c>
      <c r="N66" s="447">
        <v>40</v>
      </c>
      <c r="O66" s="447">
        <v>38</v>
      </c>
      <c r="P66" s="447">
        <v>37</v>
      </c>
      <c r="Q66" s="447">
        <v>36</v>
      </c>
      <c r="R66" s="447">
        <v>33</v>
      </c>
      <c r="S66" s="448">
        <v>28</v>
      </c>
    </row>
    <row r="67" spans="2:19" ht="17.100000000000001" customHeight="1">
      <c r="B67"/>
      <c r="C67" s="446">
        <v>63</v>
      </c>
      <c r="D67" s="447">
        <v>49</v>
      </c>
      <c r="E67" s="447">
        <v>48</v>
      </c>
      <c r="F67" s="447">
        <v>47</v>
      </c>
      <c r="G67" s="447">
        <v>46</v>
      </c>
      <c r="H67" s="447">
        <v>45</v>
      </c>
      <c r="I67" s="447">
        <v>44</v>
      </c>
      <c r="J67" s="447">
        <v>43</v>
      </c>
      <c r="K67" s="447">
        <v>42</v>
      </c>
      <c r="L67" s="447">
        <v>41</v>
      </c>
      <c r="M67" s="447">
        <v>40</v>
      </c>
      <c r="N67" s="447">
        <v>39</v>
      </c>
      <c r="O67" s="447">
        <v>37</v>
      </c>
      <c r="P67" s="447">
        <v>36</v>
      </c>
      <c r="Q67" s="447">
        <v>35</v>
      </c>
      <c r="R67" s="447">
        <v>32</v>
      </c>
      <c r="S67" s="448">
        <v>27</v>
      </c>
    </row>
    <row r="68" spans="2:19" ht="17.100000000000001" customHeight="1">
      <c r="B68"/>
      <c r="C68" s="446">
        <v>64</v>
      </c>
      <c r="D68" s="447">
        <v>48</v>
      </c>
      <c r="E68" s="447">
        <v>47</v>
      </c>
      <c r="F68" s="447">
        <v>46</v>
      </c>
      <c r="G68" s="447">
        <v>45</v>
      </c>
      <c r="H68" s="447">
        <v>44</v>
      </c>
      <c r="I68" s="447">
        <v>43</v>
      </c>
      <c r="J68" s="447">
        <v>42</v>
      </c>
      <c r="K68" s="447">
        <v>41</v>
      </c>
      <c r="L68" s="447">
        <v>40</v>
      </c>
      <c r="M68" s="447">
        <v>39</v>
      </c>
      <c r="N68" s="447">
        <v>38</v>
      </c>
      <c r="O68" s="447">
        <v>36</v>
      </c>
      <c r="P68" s="447">
        <v>35</v>
      </c>
      <c r="Q68" s="447">
        <v>34</v>
      </c>
      <c r="R68" s="447">
        <v>31</v>
      </c>
      <c r="S68" s="448">
        <v>26</v>
      </c>
    </row>
    <row r="69" spans="2:19" ht="17.100000000000001" customHeight="1">
      <c r="B69"/>
      <c r="C69" s="446">
        <v>65</v>
      </c>
      <c r="D69" s="447">
        <v>47</v>
      </c>
      <c r="E69" s="447">
        <v>46</v>
      </c>
      <c r="F69" s="447">
        <v>45</v>
      </c>
      <c r="G69" s="447">
        <v>44</v>
      </c>
      <c r="H69" s="447">
        <v>43</v>
      </c>
      <c r="I69" s="447">
        <v>42</v>
      </c>
      <c r="J69" s="447">
        <v>41</v>
      </c>
      <c r="K69" s="447">
        <v>40</v>
      </c>
      <c r="L69" s="447">
        <v>39</v>
      </c>
      <c r="M69" s="447">
        <v>38</v>
      </c>
      <c r="N69" s="447">
        <v>37</v>
      </c>
      <c r="O69" s="447">
        <v>35</v>
      </c>
      <c r="P69" s="447">
        <v>34</v>
      </c>
      <c r="Q69" s="447">
        <v>33</v>
      </c>
      <c r="R69" s="447">
        <v>30</v>
      </c>
      <c r="S69" s="448">
        <v>25</v>
      </c>
    </row>
    <row r="70" spans="2:19" ht="17.100000000000001" customHeight="1">
      <c r="B70"/>
      <c r="C70" s="446">
        <v>66</v>
      </c>
      <c r="D70" s="447">
        <v>46</v>
      </c>
      <c r="E70" s="447">
        <v>45</v>
      </c>
      <c r="F70" s="447">
        <v>44</v>
      </c>
      <c r="G70" s="447">
        <v>43</v>
      </c>
      <c r="H70" s="447">
        <v>42</v>
      </c>
      <c r="I70" s="447">
        <v>41</v>
      </c>
      <c r="J70" s="447">
        <v>40</v>
      </c>
      <c r="K70" s="447">
        <v>39</v>
      </c>
      <c r="L70" s="447">
        <v>38</v>
      </c>
      <c r="M70" s="447">
        <v>37</v>
      </c>
      <c r="N70" s="447">
        <v>36</v>
      </c>
      <c r="O70" s="447">
        <v>34</v>
      </c>
      <c r="P70" s="447">
        <v>33</v>
      </c>
      <c r="Q70" s="447">
        <v>32</v>
      </c>
      <c r="R70" s="447">
        <v>29</v>
      </c>
      <c r="S70" s="448">
        <v>24</v>
      </c>
    </row>
    <row r="71" spans="2:19" ht="17.100000000000001" customHeight="1">
      <c r="B71"/>
      <c r="C71" s="446">
        <v>67</v>
      </c>
      <c r="D71" s="447">
        <v>45</v>
      </c>
      <c r="E71" s="447">
        <v>44</v>
      </c>
      <c r="F71" s="447">
        <v>43</v>
      </c>
      <c r="G71" s="447">
        <v>42</v>
      </c>
      <c r="H71" s="447">
        <v>41</v>
      </c>
      <c r="I71" s="447">
        <v>40</v>
      </c>
      <c r="J71" s="447">
        <v>39</v>
      </c>
      <c r="K71" s="447">
        <v>38</v>
      </c>
      <c r="L71" s="447">
        <v>37</v>
      </c>
      <c r="M71" s="447">
        <v>36</v>
      </c>
      <c r="N71" s="447">
        <v>35</v>
      </c>
      <c r="O71" s="447">
        <v>33</v>
      </c>
      <c r="P71" s="447">
        <v>32</v>
      </c>
      <c r="Q71" s="447">
        <v>31</v>
      </c>
      <c r="R71" s="447">
        <v>28</v>
      </c>
      <c r="S71" s="448">
        <v>23</v>
      </c>
    </row>
    <row r="72" spans="2:19" ht="17.100000000000001" customHeight="1">
      <c r="B72"/>
      <c r="C72" s="446">
        <v>68</v>
      </c>
      <c r="D72" s="447">
        <v>44</v>
      </c>
      <c r="E72" s="447">
        <v>43</v>
      </c>
      <c r="F72" s="447">
        <v>42</v>
      </c>
      <c r="G72" s="447">
        <v>41</v>
      </c>
      <c r="H72" s="447">
        <v>40</v>
      </c>
      <c r="I72" s="447">
        <v>39</v>
      </c>
      <c r="J72" s="447">
        <v>38</v>
      </c>
      <c r="K72" s="447">
        <v>37</v>
      </c>
      <c r="L72" s="447">
        <v>36</v>
      </c>
      <c r="M72" s="447">
        <v>35</v>
      </c>
      <c r="N72" s="447">
        <v>34</v>
      </c>
      <c r="O72" s="447">
        <v>32</v>
      </c>
      <c r="P72" s="447">
        <v>31</v>
      </c>
      <c r="Q72" s="447">
        <v>30</v>
      </c>
      <c r="R72" s="447">
        <v>27</v>
      </c>
      <c r="S72" s="448">
        <v>22</v>
      </c>
    </row>
    <row r="73" spans="2:19" ht="17.100000000000001" customHeight="1">
      <c r="B73"/>
      <c r="C73" s="446">
        <v>69</v>
      </c>
      <c r="D73" s="447">
        <v>43</v>
      </c>
      <c r="E73" s="447">
        <v>42</v>
      </c>
      <c r="F73" s="447">
        <v>41</v>
      </c>
      <c r="G73" s="447">
        <v>40</v>
      </c>
      <c r="H73" s="447">
        <v>39</v>
      </c>
      <c r="I73" s="447">
        <v>38</v>
      </c>
      <c r="J73" s="447">
        <v>37</v>
      </c>
      <c r="K73" s="447">
        <v>36</v>
      </c>
      <c r="L73" s="447">
        <v>35</v>
      </c>
      <c r="M73" s="447">
        <v>34</v>
      </c>
      <c r="N73" s="447">
        <v>33</v>
      </c>
      <c r="O73" s="447">
        <v>31</v>
      </c>
      <c r="P73" s="447">
        <v>30</v>
      </c>
      <c r="Q73" s="447">
        <v>29</v>
      </c>
      <c r="R73" s="447">
        <v>26</v>
      </c>
      <c r="S73" s="448">
        <v>21</v>
      </c>
    </row>
    <row r="74" spans="2:19" ht="17.100000000000001" customHeight="1">
      <c r="B74"/>
      <c r="C74" s="446">
        <v>70</v>
      </c>
      <c r="D74" s="447">
        <v>42</v>
      </c>
      <c r="E74" s="447">
        <v>41</v>
      </c>
      <c r="F74" s="447">
        <v>40</v>
      </c>
      <c r="G74" s="447">
        <v>39</v>
      </c>
      <c r="H74" s="447">
        <v>38</v>
      </c>
      <c r="I74" s="447">
        <v>37</v>
      </c>
      <c r="J74" s="447">
        <v>36</v>
      </c>
      <c r="K74" s="447">
        <v>35</v>
      </c>
      <c r="L74" s="447">
        <v>34</v>
      </c>
      <c r="M74" s="447">
        <v>33</v>
      </c>
      <c r="N74" s="447">
        <v>32</v>
      </c>
      <c r="O74" s="447">
        <v>30</v>
      </c>
      <c r="P74" s="447">
        <v>29</v>
      </c>
      <c r="Q74" s="447">
        <v>28</v>
      </c>
      <c r="R74" s="447">
        <v>25</v>
      </c>
      <c r="S74" s="448">
        <v>20</v>
      </c>
    </row>
    <row r="75" spans="2:19" ht="17.100000000000001" customHeight="1">
      <c r="B75"/>
      <c r="C75" s="446">
        <v>71</v>
      </c>
      <c r="D75" s="447">
        <v>41</v>
      </c>
      <c r="E75" s="447">
        <v>40</v>
      </c>
      <c r="F75" s="447">
        <v>39</v>
      </c>
      <c r="G75" s="447">
        <v>38</v>
      </c>
      <c r="H75" s="447">
        <v>37</v>
      </c>
      <c r="I75" s="447">
        <v>36</v>
      </c>
      <c r="J75" s="447">
        <v>35</v>
      </c>
      <c r="K75" s="447">
        <v>34</v>
      </c>
      <c r="L75" s="447">
        <v>33</v>
      </c>
      <c r="M75" s="447">
        <v>32</v>
      </c>
      <c r="N75" s="447">
        <v>31</v>
      </c>
      <c r="O75" s="447">
        <v>29</v>
      </c>
      <c r="P75" s="447">
        <v>28</v>
      </c>
      <c r="Q75" s="447">
        <v>27</v>
      </c>
      <c r="R75" s="447">
        <v>24</v>
      </c>
      <c r="S75" s="448">
        <v>19</v>
      </c>
    </row>
    <row r="76" spans="2:19" ht="17.100000000000001" customHeight="1">
      <c r="B76"/>
      <c r="C76" s="449">
        <v>72</v>
      </c>
      <c r="D76" s="450">
        <v>40</v>
      </c>
      <c r="E76" s="450">
        <v>39</v>
      </c>
      <c r="F76" s="450">
        <v>38</v>
      </c>
      <c r="G76" s="450">
        <v>37</v>
      </c>
      <c r="H76" s="450">
        <v>36</v>
      </c>
      <c r="I76" s="450">
        <v>35</v>
      </c>
      <c r="J76" s="450">
        <v>34</v>
      </c>
      <c r="K76" s="450">
        <v>33</v>
      </c>
      <c r="L76" s="450">
        <v>32</v>
      </c>
      <c r="M76" s="450">
        <v>31</v>
      </c>
      <c r="N76" s="450">
        <v>30</v>
      </c>
      <c r="O76" s="450">
        <v>28</v>
      </c>
      <c r="P76" s="450">
        <v>27</v>
      </c>
      <c r="Q76" s="450">
        <v>26</v>
      </c>
      <c r="R76" s="450">
        <v>23</v>
      </c>
      <c r="S76" s="451">
        <v>18</v>
      </c>
    </row>
    <row r="77" spans="2:19">
      <c r="B77" s="452"/>
      <c r="C77" s="453">
        <v>73</v>
      </c>
      <c r="D77" s="423">
        <v>39</v>
      </c>
      <c r="E77" s="423">
        <v>38</v>
      </c>
      <c r="F77" s="423">
        <v>37</v>
      </c>
      <c r="G77" s="423">
        <v>36</v>
      </c>
      <c r="H77" s="423">
        <v>35</v>
      </c>
      <c r="I77" s="423">
        <v>34</v>
      </c>
      <c r="J77" s="423">
        <v>33</v>
      </c>
      <c r="K77" s="423">
        <v>32</v>
      </c>
      <c r="L77" s="423">
        <v>31</v>
      </c>
      <c r="M77" s="423">
        <v>30</v>
      </c>
      <c r="N77" s="423">
        <v>29</v>
      </c>
      <c r="O77" s="423">
        <v>27</v>
      </c>
      <c r="P77" s="423">
        <v>26</v>
      </c>
      <c r="Q77" s="423">
        <v>25</v>
      </c>
      <c r="R77" s="423">
        <v>22</v>
      </c>
      <c r="S77" s="424">
        <v>17</v>
      </c>
    </row>
    <row r="78" spans="2:19">
      <c r="B78" s="41"/>
      <c r="C78" s="446">
        <v>74</v>
      </c>
      <c r="D78" s="447">
        <v>38</v>
      </c>
      <c r="E78" s="447">
        <v>37</v>
      </c>
      <c r="F78" s="447">
        <v>36</v>
      </c>
      <c r="G78" s="447">
        <v>35</v>
      </c>
      <c r="H78" s="447">
        <v>34</v>
      </c>
      <c r="I78" s="447">
        <v>33</v>
      </c>
      <c r="J78" s="447">
        <v>32</v>
      </c>
      <c r="K78" s="447">
        <v>31</v>
      </c>
      <c r="L78" s="447">
        <v>30</v>
      </c>
      <c r="M78" s="447">
        <v>29</v>
      </c>
      <c r="N78" s="447">
        <v>28</v>
      </c>
      <c r="O78" s="447">
        <v>26</v>
      </c>
      <c r="P78" s="447">
        <v>25</v>
      </c>
      <c r="Q78" s="447">
        <v>24</v>
      </c>
      <c r="R78" s="447">
        <v>21</v>
      </c>
      <c r="S78" s="448">
        <v>16</v>
      </c>
    </row>
    <row r="79" spans="2:19">
      <c r="C79" s="446">
        <v>75</v>
      </c>
      <c r="D79" s="447">
        <v>37</v>
      </c>
      <c r="E79" s="447">
        <v>36</v>
      </c>
      <c r="F79" s="447">
        <v>35</v>
      </c>
      <c r="G79" s="447">
        <v>34</v>
      </c>
      <c r="H79" s="447">
        <v>33</v>
      </c>
      <c r="I79" s="447">
        <v>32</v>
      </c>
      <c r="J79" s="447">
        <v>31</v>
      </c>
      <c r="K79" s="447">
        <v>30</v>
      </c>
      <c r="L79" s="447">
        <v>29</v>
      </c>
      <c r="M79" s="447">
        <v>28</v>
      </c>
      <c r="N79" s="447">
        <v>27</v>
      </c>
      <c r="O79" s="447">
        <v>25</v>
      </c>
      <c r="P79" s="447">
        <v>24</v>
      </c>
      <c r="Q79" s="447">
        <v>23</v>
      </c>
      <c r="R79" s="447">
        <v>20</v>
      </c>
      <c r="S79" s="448">
        <v>15</v>
      </c>
    </row>
    <row r="80" spans="2:19">
      <c r="C80" s="446">
        <v>76</v>
      </c>
      <c r="D80" s="447">
        <v>36</v>
      </c>
      <c r="E80" s="447">
        <v>35</v>
      </c>
      <c r="F80" s="447">
        <v>34</v>
      </c>
      <c r="G80" s="447">
        <v>33</v>
      </c>
      <c r="H80" s="447">
        <v>32</v>
      </c>
      <c r="I80" s="447">
        <v>31</v>
      </c>
      <c r="J80" s="447">
        <v>30</v>
      </c>
      <c r="K80" s="447">
        <v>29</v>
      </c>
      <c r="L80" s="447">
        <v>28</v>
      </c>
      <c r="M80" s="447">
        <v>27</v>
      </c>
      <c r="N80" s="447">
        <v>26</v>
      </c>
      <c r="O80" s="447">
        <v>24</v>
      </c>
      <c r="P80" s="447">
        <v>23</v>
      </c>
      <c r="Q80" s="447">
        <v>22</v>
      </c>
      <c r="R80" s="447">
        <v>19</v>
      </c>
      <c r="S80" s="448">
        <v>14</v>
      </c>
    </row>
    <row r="81" spans="3:19">
      <c r="C81" s="446">
        <v>77</v>
      </c>
      <c r="D81" s="447">
        <v>35</v>
      </c>
      <c r="E81" s="447">
        <v>34</v>
      </c>
      <c r="F81" s="447">
        <v>33</v>
      </c>
      <c r="G81" s="447">
        <v>32</v>
      </c>
      <c r="H81" s="447">
        <v>31</v>
      </c>
      <c r="I81" s="447">
        <v>30</v>
      </c>
      <c r="J81" s="447">
        <v>29</v>
      </c>
      <c r="K81" s="447">
        <v>28</v>
      </c>
      <c r="L81" s="447">
        <v>27</v>
      </c>
      <c r="M81" s="447">
        <v>26</v>
      </c>
      <c r="N81" s="447">
        <v>25</v>
      </c>
      <c r="O81" s="447">
        <v>23</v>
      </c>
      <c r="P81" s="447">
        <v>22</v>
      </c>
      <c r="Q81" s="447">
        <v>21</v>
      </c>
      <c r="R81" s="447">
        <v>18</v>
      </c>
      <c r="S81" s="448">
        <v>13</v>
      </c>
    </row>
    <row r="82" spans="3:19">
      <c r="C82" s="446">
        <v>78</v>
      </c>
      <c r="D82" s="447">
        <v>34</v>
      </c>
      <c r="E82" s="447">
        <v>33</v>
      </c>
      <c r="F82" s="447">
        <v>32</v>
      </c>
      <c r="G82" s="447">
        <v>31</v>
      </c>
      <c r="H82" s="447">
        <v>30</v>
      </c>
      <c r="I82" s="447">
        <v>29</v>
      </c>
      <c r="J82" s="447">
        <v>28</v>
      </c>
      <c r="K82" s="447">
        <v>27</v>
      </c>
      <c r="L82" s="447">
        <v>26</v>
      </c>
      <c r="M82" s="447">
        <v>25</v>
      </c>
      <c r="N82" s="447">
        <v>24</v>
      </c>
      <c r="O82" s="447">
        <v>22</v>
      </c>
      <c r="P82" s="447">
        <v>21</v>
      </c>
      <c r="Q82" s="447">
        <v>20</v>
      </c>
      <c r="R82" s="447">
        <v>17</v>
      </c>
      <c r="S82" s="448">
        <v>12</v>
      </c>
    </row>
    <row r="83" spans="3:19">
      <c r="C83" s="446">
        <v>79</v>
      </c>
      <c r="D83" s="447">
        <v>33</v>
      </c>
      <c r="E83" s="447">
        <v>32</v>
      </c>
      <c r="F83" s="447">
        <v>31</v>
      </c>
      <c r="G83" s="447">
        <v>30</v>
      </c>
      <c r="H83" s="447">
        <v>29</v>
      </c>
      <c r="I83" s="447">
        <v>28</v>
      </c>
      <c r="J83" s="447">
        <v>27</v>
      </c>
      <c r="K83" s="447">
        <v>26</v>
      </c>
      <c r="L83" s="447">
        <v>25</v>
      </c>
      <c r="M83" s="447">
        <v>24</v>
      </c>
      <c r="N83" s="447">
        <v>23</v>
      </c>
      <c r="O83" s="447">
        <v>21</v>
      </c>
      <c r="P83" s="447">
        <v>20</v>
      </c>
      <c r="Q83" s="447">
        <v>19</v>
      </c>
      <c r="R83" s="447">
        <v>16</v>
      </c>
      <c r="S83" s="448">
        <v>11</v>
      </c>
    </row>
    <row r="84" spans="3:19">
      <c r="C84" s="446">
        <v>80</v>
      </c>
      <c r="D84" s="447">
        <v>32</v>
      </c>
      <c r="E84" s="447">
        <v>31</v>
      </c>
      <c r="F84" s="447">
        <v>30</v>
      </c>
      <c r="G84" s="447">
        <v>29</v>
      </c>
      <c r="H84" s="447">
        <v>28</v>
      </c>
      <c r="I84" s="447">
        <v>27</v>
      </c>
      <c r="J84" s="447">
        <v>26</v>
      </c>
      <c r="K84" s="447">
        <v>25</v>
      </c>
      <c r="L84" s="447">
        <v>24</v>
      </c>
      <c r="M84" s="447">
        <v>23</v>
      </c>
      <c r="N84" s="447">
        <v>22</v>
      </c>
      <c r="O84" s="447">
        <v>20</v>
      </c>
      <c r="P84" s="447">
        <v>19</v>
      </c>
      <c r="Q84" s="447">
        <v>18</v>
      </c>
      <c r="R84" s="447">
        <v>15</v>
      </c>
      <c r="S84" s="448">
        <v>10</v>
      </c>
    </row>
    <row r="85" spans="3:19">
      <c r="C85" s="446">
        <v>81</v>
      </c>
      <c r="D85" s="447">
        <v>31</v>
      </c>
      <c r="E85" s="447">
        <v>30</v>
      </c>
      <c r="F85" s="447">
        <v>29</v>
      </c>
      <c r="G85" s="447">
        <v>28</v>
      </c>
      <c r="H85" s="447">
        <v>27</v>
      </c>
      <c r="I85" s="447">
        <v>26</v>
      </c>
      <c r="J85" s="447">
        <v>25</v>
      </c>
      <c r="K85" s="447">
        <v>24</v>
      </c>
      <c r="L85" s="447">
        <v>23</v>
      </c>
      <c r="M85" s="447">
        <v>22</v>
      </c>
      <c r="N85" s="447">
        <v>21</v>
      </c>
      <c r="O85" s="447">
        <v>19</v>
      </c>
      <c r="P85" s="447">
        <v>18</v>
      </c>
      <c r="Q85" s="447">
        <v>17</v>
      </c>
      <c r="R85" s="447">
        <v>14</v>
      </c>
      <c r="S85" s="448">
        <v>9</v>
      </c>
    </row>
    <row r="86" spans="3:19">
      <c r="C86" s="446">
        <v>82</v>
      </c>
      <c r="D86" s="447">
        <v>30</v>
      </c>
      <c r="E86" s="447">
        <v>29</v>
      </c>
      <c r="F86" s="447">
        <v>28</v>
      </c>
      <c r="G86" s="447">
        <v>27</v>
      </c>
      <c r="H86" s="447">
        <v>26</v>
      </c>
      <c r="I86" s="447">
        <v>25</v>
      </c>
      <c r="J86" s="447">
        <v>24</v>
      </c>
      <c r="K86" s="447">
        <v>23</v>
      </c>
      <c r="L86" s="447">
        <v>22</v>
      </c>
      <c r="M86" s="447">
        <v>21</v>
      </c>
      <c r="N86" s="447">
        <v>20</v>
      </c>
      <c r="O86" s="447">
        <v>18</v>
      </c>
      <c r="P86" s="447">
        <v>17</v>
      </c>
      <c r="Q86" s="447">
        <v>16</v>
      </c>
      <c r="R86" s="447">
        <v>13</v>
      </c>
      <c r="S86" s="448">
        <v>8</v>
      </c>
    </row>
    <row r="87" spans="3:19">
      <c r="C87" s="446">
        <v>83</v>
      </c>
      <c r="D87" s="447">
        <v>29</v>
      </c>
      <c r="E87" s="447">
        <v>28</v>
      </c>
      <c r="F87" s="447">
        <v>27</v>
      </c>
      <c r="G87" s="447">
        <v>26</v>
      </c>
      <c r="H87" s="447">
        <v>25</v>
      </c>
      <c r="I87" s="447">
        <v>24</v>
      </c>
      <c r="J87" s="447">
        <v>23</v>
      </c>
      <c r="K87" s="447">
        <v>22</v>
      </c>
      <c r="L87" s="447">
        <v>21</v>
      </c>
      <c r="M87" s="447">
        <v>20</v>
      </c>
      <c r="N87" s="447">
        <v>19</v>
      </c>
      <c r="O87" s="447">
        <v>17</v>
      </c>
      <c r="P87" s="447">
        <v>16</v>
      </c>
      <c r="Q87" s="447">
        <v>15</v>
      </c>
      <c r="R87" s="447">
        <v>12</v>
      </c>
      <c r="S87" s="448">
        <v>7</v>
      </c>
    </row>
    <row r="88" spans="3:19" ht="17.25" thickBot="1">
      <c r="C88" s="454">
        <v>84</v>
      </c>
      <c r="D88" s="455">
        <v>28</v>
      </c>
      <c r="E88" s="455">
        <v>27</v>
      </c>
      <c r="F88" s="455">
        <v>26</v>
      </c>
      <c r="G88" s="455">
        <v>25</v>
      </c>
      <c r="H88" s="455">
        <v>24</v>
      </c>
      <c r="I88" s="455">
        <v>23</v>
      </c>
      <c r="J88" s="455">
        <v>22</v>
      </c>
      <c r="K88" s="455">
        <v>21</v>
      </c>
      <c r="L88" s="455">
        <v>20</v>
      </c>
      <c r="M88" s="455">
        <v>19</v>
      </c>
      <c r="N88" s="455">
        <v>18</v>
      </c>
      <c r="O88" s="455">
        <v>16</v>
      </c>
      <c r="P88" s="455">
        <v>15</v>
      </c>
      <c r="Q88" s="455">
        <v>14</v>
      </c>
      <c r="R88" s="455">
        <v>11</v>
      </c>
      <c r="S88" s="456">
        <v>6</v>
      </c>
    </row>
    <row r="89" spans="3:19">
      <c r="C89" s="457" t="s">
        <v>2821</v>
      </c>
    </row>
  </sheetData>
  <mergeCells count="1">
    <mergeCell ref="R3:S3"/>
  </mergeCells>
  <phoneticPr fontId="1" type="noConversion"/>
  <printOptions horizontalCentered="1" verticalCentered="1"/>
  <pageMargins left="0.31496062992125984" right="0.31496062992125984" top="0.39370078740157483" bottom="0.19685039370078741" header="0.19685039370078741" footer="0.19685039370078741"/>
  <pageSetup paperSize="9" scale="52" fitToWidth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theme="8"/>
    <pageSetUpPr fitToPage="1"/>
  </sheetPr>
  <dimension ref="A1:AF29"/>
  <sheetViews>
    <sheetView view="pageBreakPreview" zoomScale="70" zoomScaleNormal="70" zoomScaleSheetLayoutView="70" workbookViewId="0">
      <selection activeCell="L26" sqref="L26"/>
    </sheetView>
  </sheetViews>
  <sheetFormatPr defaultColWidth="9" defaultRowHeight="13.5"/>
  <cols>
    <col min="1" max="26" width="11.125" style="181" customWidth="1"/>
    <col min="27" max="27" width="9" style="181"/>
    <col min="28" max="28" width="11.75" style="181" bestFit="1" customWidth="1"/>
    <col min="29" max="29" width="8.5" style="181" bestFit="1" customWidth="1"/>
    <col min="30" max="30" width="9.75" style="181" bestFit="1" customWidth="1"/>
    <col min="31" max="31" width="8.5" style="181" bestFit="1" customWidth="1"/>
    <col min="32" max="32" width="8.625" style="181" bestFit="1" customWidth="1"/>
    <col min="33" max="36" width="8.5" style="181" bestFit="1" customWidth="1"/>
    <col min="37" max="37" width="10.125" style="181" bestFit="1" customWidth="1"/>
    <col min="38" max="38" width="8.75" style="181" bestFit="1" customWidth="1"/>
    <col min="39" max="16384" width="9" style="181"/>
  </cols>
  <sheetData>
    <row r="1" spans="1:32" ht="24">
      <c r="A1" s="363" t="s">
        <v>2728</v>
      </c>
    </row>
    <row r="2" spans="1:32" ht="13.5" customHeight="1">
      <c r="A2" s="363"/>
    </row>
    <row r="3" spans="1:32" ht="24">
      <c r="A3" s="1601" t="s">
        <v>2729</v>
      </c>
      <c r="B3" s="1601"/>
      <c r="C3" s="1601"/>
      <c r="D3" s="1601"/>
      <c r="E3" s="1601"/>
      <c r="F3" s="1601"/>
      <c r="G3" s="1601"/>
      <c r="H3" s="1601"/>
      <c r="I3" s="1601"/>
      <c r="J3" s="1601"/>
      <c r="K3" s="1601"/>
      <c r="L3" s="1601"/>
      <c r="M3" s="1601"/>
      <c r="N3" s="1601"/>
      <c r="O3" s="1601"/>
      <c r="P3" s="1601"/>
      <c r="Q3" s="1601"/>
      <c r="R3" s="1601"/>
      <c r="S3" s="1601"/>
      <c r="T3" s="1601"/>
      <c r="U3" s="1601"/>
      <c r="V3" s="1601"/>
      <c r="W3" s="1601"/>
      <c r="X3" s="1601"/>
      <c r="Y3" s="1601"/>
      <c r="Z3" s="1601"/>
      <c r="AA3" s="1601"/>
      <c r="AB3" s="1601"/>
      <c r="AC3" s="1601"/>
      <c r="AD3" s="1601"/>
      <c r="AE3" s="1601"/>
    </row>
    <row r="4" spans="1:32" ht="24.75" customHeight="1">
      <c r="A4" s="1602" t="s">
        <v>4</v>
      </c>
      <c r="B4" s="1602"/>
      <c r="C4" s="364">
        <v>1</v>
      </c>
      <c r="D4" s="364">
        <v>2</v>
      </c>
      <c r="E4" s="364">
        <v>3</v>
      </c>
      <c r="F4" s="364">
        <v>4</v>
      </c>
      <c r="G4" s="364">
        <v>5</v>
      </c>
      <c r="H4" s="364">
        <v>6</v>
      </c>
      <c r="I4" s="364">
        <v>7</v>
      </c>
      <c r="J4" s="364">
        <v>8</v>
      </c>
      <c r="K4" s="364">
        <v>9</v>
      </c>
      <c r="L4" s="364">
        <v>10</v>
      </c>
      <c r="M4" s="364">
        <v>11</v>
      </c>
      <c r="N4" s="364">
        <v>12</v>
      </c>
      <c r="O4" s="364">
        <v>13</v>
      </c>
      <c r="P4" s="364">
        <v>14</v>
      </c>
      <c r="Q4" s="364">
        <v>15</v>
      </c>
      <c r="R4" s="364">
        <v>16</v>
      </c>
      <c r="S4" s="364">
        <v>17</v>
      </c>
      <c r="T4" s="364">
        <v>18</v>
      </c>
      <c r="U4" s="364">
        <v>19</v>
      </c>
      <c r="V4" s="364">
        <v>20</v>
      </c>
      <c r="W4" s="364">
        <v>21</v>
      </c>
      <c r="X4" s="364">
        <v>22</v>
      </c>
      <c r="Y4" s="364">
        <v>23</v>
      </c>
      <c r="Z4" s="364">
        <v>24</v>
      </c>
    </row>
    <row r="5" spans="1:32" customFormat="1" ht="151.5" customHeight="1">
      <c r="A5" s="1613" t="s">
        <v>2730</v>
      </c>
      <c r="B5" s="458" t="s">
        <v>74</v>
      </c>
      <c r="C5" s="459" t="s">
        <v>2822</v>
      </c>
      <c r="D5" s="459" t="s">
        <v>2823</v>
      </c>
      <c r="E5" s="459" t="s">
        <v>2824</v>
      </c>
      <c r="F5" s="459" t="s">
        <v>2825</v>
      </c>
      <c r="G5" s="459" t="s">
        <v>2826</v>
      </c>
      <c r="H5" s="459" t="s">
        <v>2827</v>
      </c>
      <c r="I5" s="460" t="s">
        <v>2828</v>
      </c>
      <c r="J5" s="459" t="s">
        <v>2829</v>
      </c>
      <c r="K5" s="459" t="s">
        <v>2830</v>
      </c>
      <c r="L5" s="459" t="s">
        <v>2831</v>
      </c>
      <c r="M5" s="459" t="s">
        <v>2832</v>
      </c>
      <c r="N5" s="459" t="s">
        <v>2823</v>
      </c>
      <c r="O5" s="459" t="s">
        <v>2833</v>
      </c>
      <c r="P5" s="459" t="s">
        <v>2834</v>
      </c>
      <c r="Q5" s="459" t="s">
        <v>2823</v>
      </c>
      <c r="R5" s="459" t="s">
        <v>2823</v>
      </c>
      <c r="S5" s="459" t="s">
        <v>2835</v>
      </c>
      <c r="T5" s="459" t="s">
        <v>2836</v>
      </c>
      <c r="U5" s="459" t="s">
        <v>2837</v>
      </c>
      <c r="V5" s="459" t="s">
        <v>2823</v>
      </c>
      <c r="W5" s="459" t="s">
        <v>2838</v>
      </c>
      <c r="X5" s="459" t="s">
        <v>2823</v>
      </c>
      <c r="Y5" s="460" t="s">
        <v>2839</v>
      </c>
      <c r="Z5" s="460" t="s">
        <v>2840</v>
      </c>
    </row>
    <row r="6" spans="1:32" customFormat="1" ht="113.25" customHeight="1">
      <c r="A6" s="1613"/>
      <c r="B6" s="458" t="s">
        <v>73</v>
      </c>
      <c r="C6" s="459" t="s">
        <v>2841</v>
      </c>
      <c r="D6" s="459" t="s">
        <v>2842</v>
      </c>
      <c r="E6" s="459" t="s">
        <v>2843</v>
      </c>
      <c r="F6" s="459" t="s">
        <v>2844</v>
      </c>
      <c r="G6" s="459" t="s">
        <v>2845</v>
      </c>
      <c r="H6" s="459" t="s">
        <v>2846</v>
      </c>
      <c r="I6" s="459" t="s">
        <v>2847</v>
      </c>
      <c r="J6" s="460" t="s">
        <v>2848</v>
      </c>
      <c r="K6" s="459" t="s">
        <v>2849</v>
      </c>
      <c r="L6" s="459" t="s">
        <v>2823</v>
      </c>
      <c r="M6" s="459" t="s">
        <v>2850</v>
      </c>
      <c r="N6" s="459" t="s">
        <v>2823</v>
      </c>
      <c r="O6" s="459" t="s">
        <v>2851</v>
      </c>
      <c r="P6" s="459" t="s">
        <v>2852</v>
      </c>
      <c r="Q6" s="459" t="s">
        <v>2853</v>
      </c>
      <c r="R6" s="459" t="s">
        <v>2854</v>
      </c>
      <c r="S6" s="459" t="s">
        <v>2855</v>
      </c>
      <c r="T6" s="459" t="s">
        <v>2856</v>
      </c>
      <c r="U6" s="459" t="s">
        <v>2857</v>
      </c>
      <c r="V6" s="459" t="s">
        <v>2858</v>
      </c>
      <c r="W6" s="459" t="s">
        <v>2859</v>
      </c>
      <c r="X6" s="459" t="s">
        <v>2860</v>
      </c>
      <c r="Y6" s="460" t="s">
        <v>2861</v>
      </c>
      <c r="Z6" s="460" t="s">
        <v>2840</v>
      </c>
    </row>
    <row r="7" spans="1:32" customFormat="1" ht="113.25" customHeight="1">
      <c r="A7" s="1613"/>
      <c r="B7" s="458" t="s">
        <v>2258</v>
      </c>
      <c r="C7" s="459" t="s">
        <v>2823</v>
      </c>
      <c r="D7" s="459" t="s">
        <v>2823</v>
      </c>
      <c r="E7" s="460" t="s">
        <v>2823</v>
      </c>
      <c r="F7" s="459" t="s">
        <v>2823</v>
      </c>
      <c r="G7" s="459" t="s">
        <v>2862</v>
      </c>
      <c r="H7" s="459" t="s">
        <v>2823</v>
      </c>
      <c r="I7" s="460" t="s">
        <v>2823</v>
      </c>
      <c r="J7" s="459" t="s">
        <v>2863</v>
      </c>
      <c r="K7" s="459" t="s">
        <v>2823</v>
      </c>
      <c r="L7" s="459" t="s">
        <v>2864</v>
      </c>
      <c r="M7" s="459" t="s">
        <v>2865</v>
      </c>
      <c r="N7" s="459" t="s">
        <v>2866</v>
      </c>
      <c r="O7" s="459" t="s">
        <v>2867</v>
      </c>
      <c r="P7" s="459" t="s">
        <v>2823</v>
      </c>
      <c r="Q7" s="459" t="s">
        <v>2868</v>
      </c>
      <c r="R7" s="459" t="s">
        <v>2823</v>
      </c>
      <c r="S7" s="459" t="s">
        <v>2869</v>
      </c>
      <c r="T7" s="459" t="s">
        <v>2870</v>
      </c>
      <c r="U7" s="459" t="s">
        <v>2871</v>
      </c>
      <c r="V7" s="459" t="s">
        <v>2872</v>
      </c>
      <c r="W7" s="459" t="s">
        <v>2823</v>
      </c>
      <c r="X7" s="459" t="s">
        <v>2823</v>
      </c>
      <c r="Y7" s="459" t="s">
        <v>2873</v>
      </c>
      <c r="Z7" s="460" t="s">
        <v>2840</v>
      </c>
    </row>
    <row r="8" spans="1:32" customFormat="1" ht="113.25" customHeight="1">
      <c r="A8" s="1613"/>
      <c r="B8" s="458" t="s">
        <v>2788</v>
      </c>
      <c r="C8" s="459" t="s">
        <v>2823</v>
      </c>
      <c r="D8" s="459" t="s">
        <v>2823</v>
      </c>
      <c r="E8" s="459" t="s">
        <v>2823</v>
      </c>
      <c r="F8" s="459" t="s">
        <v>2823</v>
      </c>
      <c r="G8" s="459" t="s">
        <v>2823</v>
      </c>
      <c r="H8" s="459" t="s">
        <v>2823</v>
      </c>
      <c r="I8" s="460" t="s">
        <v>2823</v>
      </c>
      <c r="J8" s="460" t="s">
        <v>2823</v>
      </c>
      <c r="K8" s="459" t="s">
        <v>2823</v>
      </c>
      <c r="L8" s="459" t="s">
        <v>2823</v>
      </c>
      <c r="M8" s="459" t="s">
        <v>2823</v>
      </c>
      <c r="N8" s="459" t="s">
        <v>2823</v>
      </c>
      <c r="O8" s="459" t="s">
        <v>2874</v>
      </c>
      <c r="P8" s="459" t="s">
        <v>2875</v>
      </c>
      <c r="Q8" s="459" t="s">
        <v>2823</v>
      </c>
      <c r="R8" s="459" t="s">
        <v>2823</v>
      </c>
      <c r="S8" s="459" t="s">
        <v>2823</v>
      </c>
      <c r="T8" s="459" t="s">
        <v>2876</v>
      </c>
      <c r="U8" s="459" t="s">
        <v>2877</v>
      </c>
      <c r="V8" s="459" t="s">
        <v>2878</v>
      </c>
      <c r="W8" s="459" t="s">
        <v>2823</v>
      </c>
      <c r="X8" s="459" t="s">
        <v>2823</v>
      </c>
      <c r="Y8" s="460" t="s">
        <v>2879</v>
      </c>
      <c r="Z8" s="460" t="s">
        <v>2840</v>
      </c>
    </row>
    <row r="9" spans="1:32" customFormat="1" ht="113.25" customHeight="1">
      <c r="A9" s="1613"/>
      <c r="B9" s="458" t="s">
        <v>1432</v>
      </c>
      <c r="C9" s="459" t="s">
        <v>2823</v>
      </c>
      <c r="D9" s="459" t="s">
        <v>2823</v>
      </c>
      <c r="E9" s="459" t="s">
        <v>2823</v>
      </c>
      <c r="F9" s="459" t="s">
        <v>2823</v>
      </c>
      <c r="G9" s="459" t="s">
        <v>2823</v>
      </c>
      <c r="H9" s="459" t="s">
        <v>2823</v>
      </c>
      <c r="I9" s="460" t="s">
        <v>2823</v>
      </c>
      <c r="J9" s="460" t="s">
        <v>2823</v>
      </c>
      <c r="K9" s="459" t="s">
        <v>2823</v>
      </c>
      <c r="L9" s="459" t="s">
        <v>2823</v>
      </c>
      <c r="M9" s="459" t="s">
        <v>2823</v>
      </c>
      <c r="N9" s="459" t="s">
        <v>2823</v>
      </c>
      <c r="O9" s="459" t="s">
        <v>2823</v>
      </c>
      <c r="P9" s="459" t="s">
        <v>2880</v>
      </c>
      <c r="Q9" s="459" t="s">
        <v>2823</v>
      </c>
      <c r="R9" s="459" t="s">
        <v>2881</v>
      </c>
      <c r="S9" s="459" t="s">
        <v>2882</v>
      </c>
      <c r="T9" s="459" t="s">
        <v>2883</v>
      </c>
      <c r="U9" s="459" t="s">
        <v>2823</v>
      </c>
      <c r="V9" s="459" t="s">
        <v>2823</v>
      </c>
      <c r="W9" s="459" t="s">
        <v>2823</v>
      </c>
      <c r="X9" s="459" t="s">
        <v>2823</v>
      </c>
      <c r="Y9" s="459" t="s">
        <v>2884</v>
      </c>
      <c r="Z9" s="460" t="s">
        <v>2840</v>
      </c>
    </row>
    <row r="10" spans="1:32" ht="113.25" customHeight="1">
      <c r="A10" s="1613"/>
      <c r="B10" s="458" t="s">
        <v>2794</v>
      </c>
      <c r="C10" s="459" t="s">
        <v>2823</v>
      </c>
      <c r="D10" s="459" t="s">
        <v>2823</v>
      </c>
      <c r="E10" s="459" t="s">
        <v>2823</v>
      </c>
      <c r="F10" s="459" t="s">
        <v>2823</v>
      </c>
      <c r="G10" s="459" t="s">
        <v>2823</v>
      </c>
      <c r="H10" s="459" t="s">
        <v>2823</v>
      </c>
      <c r="I10" s="460" t="s">
        <v>2823</v>
      </c>
      <c r="J10" s="460" t="s">
        <v>2823</v>
      </c>
      <c r="K10" s="459" t="s">
        <v>2823</v>
      </c>
      <c r="L10" s="459" t="s">
        <v>2823</v>
      </c>
      <c r="M10" s="459" t="s">
        <v>2823</v>
      </c>
      <c r="N10" s="459" t="s">
        <v>2823</v>
      </c>
      <c r="O10" s="459" t="s">
        <v>2885</v>
      </c>
      <c r="P10" s="459" t="s">
        <v>2886</v>
      </c>
      <c r="Q10" s="459" t="s">
        <v>2887</v>
      </c>
      <c r="R10" s="459" t="s">
        <v>2823</v>
      </c>
      <c r="S10" s="459" t="s">
        <v>2823</v>
      </c>
      <c r="T10" s="459" t="s">
        <v>2888</v>
      </c>
      <c r="U10" s="459" t="s">
        <v>2823</v>
      </c>
      <c r="V10" s="459" t="s">
        <v>2889</v>
      </c>
      <c r="W10" s="459" t="s">
        <v>2823</v>
      </c>
      <c r="X10" s="459" t="s">
        <v>2823</v>
      </c>
      <c r="Y10" s="460" t="s">
        <v>2823</v>
      </c>
      <c r="Z10" s="460" t="s">
        <v>2840</v>
      </c>
    </row>
    <row r="11" spans="1:32" ht="18" customHeight="1">
      <c r="C11" s="387"/>
      <c r="D11" s="387"/>
      <c r="Z11" s="388" t="s">
        <v>2795</v>
      </c>
    </row>
    <row r="12" spans="1:32" s="390" customFormat="1" ht="24.75" customHeight="1">
      <c r="A12" s="1596" t="s">
        <v>2796</v>
      </c>
      <c r="B12" s="1597"/>
      <c r="C12" s="389">
        <v>1</v>
      </c>
      <c r="D12" s="389">
        <v>2</v>
      </c>
      <c r="E12" s="389">
        <v>3</v>
      </c>
      <c r="F12" s="389">
        <v>4</v>
      </c>
      <c r="G12" s="389">
        <v>5</v>
      </c>
      <c r="H12" s="389">
        <v>6</v>
      </c>
      <c r="I12" s="389">
        <v>7</v>
      </c>
      <c r="J12" s="389">
        <v>8</v>
      </c>
      <c r="K12" s="389">
        <v>9</v>
      </c>
      <c r="L12" s="389">
        <v>10</v>
      </c>
      <c r="M12" s="389">
        <v>11</v>
      </c>
      <c r="N12" s="389">
        <v>12</v>
      </c>
      <c r="O12" s="389">
        <v>13</v>
      </c>
      <c r="P12" s="389">
        <v>14</v>
      </c>
      <c r="Q12" s="389">
        <v>15</v>
      </c>
      <c r="R12" s="389">
        <v>16</v>
      </c>
      <c r="S12" s="389">
        <v>17</v>
      </c>
      <c r="T12" s="389">
        <v>18</v>
      </c>
      <c r="U12" s="389">
        <v>19</v>
      </c>
      <c r="V12" s="389">
        <v>20</v>
      </c>
      <c r="W12" s="389">
        <v>21</v>
      </c>
      <c r="X12" s="389">
        <v>22</v>
      </c>
      <c r="Y12" s="389">
        <v>23</v>
      </c>
      <c r="Z12" s="461">
        <v>24</v>
      </c>
      <c r="AB12" s="391"/>
      <c r="AC12" s="391"/>
      <c r="AD12" s="391"/>
    </row>
    <row r="13" spans="1:32" s="390" customFormat="1" ht="16.5">
      <c r="A13" s="1598" t="s">
        <v>1365</v>
      </c>
      <c r="B13" s="392" t="s">
        <v>2797</v>
      </c>
      <c r="C13" s="393">
        <v>79</v>
      </c>
      <c r="D13" s="393">
        <v>78</v>
      </c>
      <c r="E13" s="393">
        <v>77</v>
      </c>
      <c r="F13" s="393">
        <v>76</v>
      </c>
      <c r="G13" s="393">
        <v>75</v>
      </c>
      <c r="H13" s="393">
        <v>74</v>
      </c>
      <c r="I13" s="393">
        <v>73</v>
      </c>
      <c r="J13" s="393">
        <v>72</v>
      </c>
      <c r="K13" s="393">
        <v>71</v>
      </c>
      <c r="L13" s="393">
        <v>70</v>
      </c>
      <c r="M13" s="393">
        <v>69</v>
      </c>
      <c r="N13" s="393">
        <v>68</v>
      </c>
      <c r="O13" s="393">
        <v>67</v>
      </c>
      <c r="P13" s="393">
        <v>66</v>
      </c>
      <c r="Q13" s="393">
        <v>65</v>
      </c>
      <c r="R13" s="393">
        <v>62</v>
      </c>
      <c r="S13" s="393">
        <v>61</v>
      </c>
      <c r="T13" s="393">
        <v>58</v>
      </c>
      <c r="U13" s="393">
        <v>57</v>
      </c>
      <c r="V13" s="393">
        <v>56</v>
      </c>
      <c r="W13" s="393">
        <v>54</v>
      </c>
      <c r="X13" s="393">
        <v>52</v>
      </c>
      <c r="Y13" s="393">
        <v>49</v>
      </c>
      <c r="Z13" s="462">
        <v>47</v>
      </c>
      <c r="AA13"/>
      <c r="AB13"/>
      <c r="AC13"/>
      <c r="AD13"/>
      <c r="AE13"/>
      <c r="AF13"/>
    </row>
    <row r="14" spans="1:32" s="390" customFormat="1" ht="16.5">
      <c r="A14" s="1599"/>
      <c r="B14" s="392" t="s">
        <v>2798</v>
      </c>
      <c r="C14" s="393">
        <v>72</v>
      </c>
      <c r="D14" s="393">
        <v>71</v>
      </c>
      <c r="E14" s="393">
        <v>70</v>
      </c>
      <c r="F14" s="393">
        <v>69</v>
      </c>
      <c r="G14" s="393">
        <v>68</v>
      </c>
      <c r="H14" s="393">
        <v>67</v>
      </c>
      <c r="I14" s="393">
        <v>66</v>
      </c>
      <c r="J14" s="393">
        <v>65</v>
      </c>
      <c r="K14" s="393">
        <v>64</v>
      </c>
      <c r="L14" s="393">
        <v>63</v>
      </c>
      <c r="M14" s="393">
        <v>62</v>
      </c>
      <c r="N14" s="393">
        <v>61</v>
      </c>
      <c r="O14" s="393">
        <v>60</v>
      </c>
      <c r="P14" s="393">
        <v>59</v>
      </c>
      <c r="Q14" s="393">
        <v>58</v>
      </c>
      <c r="R14" s="393">
        <v>55</v>
      </c>
      <c r="S14" s="393">
        <v>54</v>
      </c>
      <c r="T14" s="393">
        <v>51</v>
      </c>
      <c r="U14" s="393">
        <v>50</v>
      </c>
      <c r="V14" s="393">
        <v>49</v>
      </c>
      <c r="W14" s="393">
        <v>47</v>
      </c>
      <c r="X14" s="393">
        <v>45</v>
      </c>
      <c r="Y14" s="393">
        <v>42</v>
      </c>
      <c r="Z14" s="462">
        <v>40</v>
      </c>
      <c r="AA14"/>
      <c r="AB14"/>
      <c r="AC14"/>
      <c r="AD14"/>
      <c r="AE14"/>
      <c r="AF14"/>
    </row>
    <row r="15" spans="1:32" s="390" customFormat="1" ht="16.5">
      <c r="A15" s="1599"/>
      <c r="B15" s="392" t="s">
        <v>2799</v>
      </c>
      <c r="C15" s="394">
        <v>65</v>
      </c>
      <c r="D15" s="394">
        <v>64</v>
      </c>
      <c r="E15" s="394">
        <v>63</v>
      </c>
      <c r="F15" s="394">
        <v>62</v>
      </c>
      <c r="G15" s="394">
        <v>61</v>
      </c>
      <c r="H15" s="394">
        <v>60</v>
      </c>
      <c r="I15" s="394">
        <v>59</v>
      </c>
      <c r="J15" s="394">
        <v>58</v>
      </c>
      <c r="K15" s="394">
        <v>57</v>
      </c>
      <c r="L15" s="394">
        <v>56</v>
      </c>
      <c r="M15" s="394">
        <v>55</v>
      </c>
      <c r="N15" s="394">
        <v>54</v>
      </c>
      <c r="O15" s="394">
        <v>53</v>
      </c>
      <c r="P15" s="394">
        <v>52</v>
      </c>
      <c r="Q15" s="394">
        <v>51</v>
      </c>
      <c r="R15" s="394">
        <v>48</v>
      </c>
      <c r="S15" s="394">
        <v>47</v>
      </c>
      <c r="T15" s="394">
        <v>44</v>
      </c>
      <c r="U15" s="394">
        <v>43</v>
      </c>
      <c r="V15" s="394">
        <v>42</v>
      </c>
      <c r="W15" s="394">
        <v>40</v>
      </c>
      <c r="X15" s="394">
        <v>38</v>
      </c>
      <c r="Y15" s="394">
        <v>35</v>
      </c>
      <c r="Z15" s="463">
        <v>33</v>
      </c>
      <c r="AA15"/>
      <c r="AB15"/>
      <c r="AC15"/>
      <c r="AD15"/>
      <c r="AE15"/>
      <c r="AF15"/>
    </row>
    <row r="16" spans="1:32" s="390" customFormat="1" ht="16.5">
      <c r="A16" s="1599"/>
      <c r="B16" s="392" t="s">
        <v>2800</v>
      </c>
      <c r="C16" s="395">
        <v>57</v>
      </c>
      <c r="D16" s="395">
        <v>56</v>
      </c>
      <c r="E16" s="395">
        <v>55</v>
      </c>
      <c r="F16" s="395">
        <v>54</v>
      </c>
      <c r="G16" s="395">
        <v>53</v>
      </c>
      <c r="H16" s="395">
        <v>52</v>
      </c>
      <c r="I16" s="395">
        <v>51</v>
      </c>
      <c r="J16" s="395">
        <v>50</v>
      </c>
      <c r="K16" s="395">
        <v>49</v>
      </c>
      <c r="L16" s="395">
        <v>48</v>
      </c>
      <c r="M16" s="395">
        <v>47</v>
      </c>
      <c r="N16" s="395">
        <v>46</v>
      </c>
      <c r="O16" s="395">
        <v>45</v>
      </c>
      <c r="P16" s="395">
        <v>44</v>
      </c>
      <c r="Q16" s="395">
        <v>43</v>
      </c>
      <c r="R16" s="395">
        <v>40</v>
      </c>
      <c r="S16" s="395">
        <v>39</v>
      </c>
      <c r="T16" s="395">
        <v>36</v>
      </c>
      <c r="U16" s="395">
        <v>35</v>
      </c>
      <c r="V16" s="395">
        <v>34</v>
      </c>
      <c r="W16" s="395">
        <v>32</v>
      </c>
      <c r="X16" s="395">
        <v>30</v>
      </c>
      <c r="Y16" s="395">
        <v>27</v>
      </c>
      <c r="Z16" s="464">
        <v>25</v>
      </c>
      <c r="AA16"/>
      <c r="AB16"/>
      <c r="AC16"/>
      <c r="AD16"/>
      <c r="AE16"/>
      <c r="AF16"/>
    </row>
    <row r="17" spans="1:32" s="390" customFormat="1" ht="16.5">
      <c r="A17" s="1600"/>
      <c r="B17" s="396" t="s">
        <v>2801</v>
      </c>
      <c r="C17" s="397">
        <v>49</v>
      </c>
      <c r="D17" s="397">
        <v>48</v>
      </c>
      <c r="E17" s="397">
        <v>47</v>
      </c>
      <c r="F17" s="397">
        <v>46</v>
      </c>
      <c r="G17" s="397">
        <v>45</v>
      </c>
      <c r="H17" s="397">
        <v>44</v>
      </c>
      <c r="I17" s="397">
        <v>43</v>
      </c>
      <c r="J17" s="397">
        <v>42</v>
      </c>
      <c r="K17" s="397">
        <v>41</v>
      </c>
      <c r="L17" s="397">
        <v>40</v>
      </c>
      <c r="M17" s="397">
        <v>39</v>
      </c>
      <c r="N17" s="397">
        <v>38</v>
      </c>
      <c r="O17" s="397">
        <v>37</v>
      </c>
      <c r="P17" s="397">
        <v>36</v>
      </c>
      <c r="Q17" s="397">
        <v>35</v>
      </c>
      <c r="R17" s="397">
        <v>32</v>
      </c>
      <c r="S17" s="397">
        <v>31</v>
      </c>
      <c r="T17" s="397">
        <v>28</v>
      </c>
      <c r="U17" s="397">
        <v>27</v>
      </c>
      <c r="V17" s="397">
        <v>26</v>
      </c>
      <c r="W17" s="397">
        <v>24</v>
      </c>
      <c r="X17" s="397">
        <v>22</v>
      </c>
      <c r="Y17" s="397">
        <v>19</v>
      </c>
      <c r="Z17" s="465">
        <v>17</v>
      </c>
      <c r="AA17"/>
      <c r="AB17"/>
      <c r="AC17"/>
      <c r="AD17"/>
      <c r="AE17"/>
      <c r="AF17"/>
    </row>
    <row r="18" spans="1:32" s="390" customFormat="1" ht="17.25">
      <c r="A18" s="398" t="s">
        <v>2802</v>
      </c>
      <c r="B18" s="399"/>
      <c r="C18" s="399"/>
      <c r="D18" s="399"/>
      <c r="E18" s="399"/>
      <c r="F18" s="399"/>
      <c r="G18" s="399"/>
      <c r="H18" s="399"/>
      <c r="I18" s="399"/>
      <c r="J18" s="399"/>
      <c r="K18" s="399"/>
      <c r="L18" s="399"/>
      <c r="M18" s="399"/>
      <c r="N18" s="399"/>
      <c r="O18" s="399"/>
      <c r="P18" s="399"/>
      <c r="Q18" s="399"/>
      <c r="R18" s="399"/>
      <c r="S18" s="399"/>
      <c r="T18" s="399"/>
      <c r="U18" s="399"/>
      <c r="V18" s="399"/>
      <c r="W18" s="399"/>
      <c r="X18" s="399"/>
      <c r="Y18" s="399"/>
      <c r="Z18" s="399"/>
      <c r="AA18"/>
      <c r="AB18"/>
      <c r="AC18"/>
      <c r="AD18"/>
      <c r="AE18"/>
      <c r="AF18"/>
    </row>
    <row r="19" spans="1:32" s="390" customFormat="1" ht="17.25">
      <c r="A19" s="399"/>
      <c r="B19" s="399"/>
      <c r="C19" s="399"/>
      <c r="D19" s="399"/>
      <c r="E19" s="399"/>
      <c r="F19" s="399"/>
      <c r="G19" s="399"/>
      <c r="H19" s="399"/>
      <c r="I19" s="399"/>
      <c r="J19" s="399"/>
      <c r="K19" s="399"/>
      <c r="L19" s="399"/>
      <c r="M19" s="399"/>
      <c r="N19" s="399"/>
      <c r="O19" s="399"/>
      <c r="P19" s="399"/>
      <c r="Q19" s="399"/>
      <c r="R19" s="399"/>
      <c r="S19" s="399"/>
      <c r="T19" s="399"/>
      <c r="U19" s="399"/>
      <c r="V19" s="399"/>
      <c r="W19" s="399"/>
      <c r="X19" s="399"/>
      <c r="Y19" s="399"/>
      <c r="Z19" s="399"/>
      <c r="AA19" s="400"/>
    </row>
    <row r="20" spans="1:32" s="390" customFormat="1" ht="17.25">
      <c r="A20" s="401" t="s">
        <v>2803</v>
      </c>
      <c r="B20" s="399"/>
      <c r="C20" s="399"/>
      <c r="D20" s="399"/>
      <c r="I20" s="398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s="399"/>
      <c r="Z20" s="399"/>
      <c r="AA20" s="400"/>
    </row>
    <row r="21" spans="1:32" s="390" customFormat="1" ht="17.25">
      <c r="A21" s="402" t="s">
        <v>1386</v>
      </c>
      <c r="B21" s="403" t="s">
        <v>2804</v>
      </c>
      <c r="C21" s="403" t="s">
        <v>2805</v>
      </c>
      <c r="D21" s="403" t="s">
        <v>2806</v>
      </c>
      <c r="E21" s="404" t="s">
        <v>2890</v>
      </c>
      <c r="F21" s="404" t="s">
        <v>2891</v>
      </c>
      <c r="G21" s="404" t="s">
        <v>2892</v>
      </c>
      <c r="H21" s="405" t="s">
        <v>2893</v>
      </c>
      <c r="I21" s="40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s="399"/>
      <c r="Z21" s="399"/>
      <c r="AA21" s="400"/>
    </row>
    <row r="22" spans="1:32" s="390" customFormat="1" ht="17.25">
      <c r="A22" s="407" t="s">
        <v>2811</v>
      </c>
      <c r="B22" s="408" t="s">
        <v>2894</v>
      </c>
      <c r="C22" s="408" t="s">
        <v>2895</v>
      </c>
      <c r="D22" s="408">
        <v>0</v>
      </c>
      <c r="E22" s="408" t="s">
        <v>2896</v>
      </c>
      <c r="F22" s="408" t="s">
        <v>2897</v>
      </c>
      <c r="G22" s="408" t="s">
        <v>2898</v>
      </c>
      <c r="H22" s="409" t="s">
        <v>2899</v>
      </c>
      <c r="I22" s="399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s="399"/>
      <c r="Z22" s="399"/>
      <c r="AA22" s="400"/>
    </row>
    <row r="23" spans="1:32" s="390" customFormat="1" ht="17.25">
      <c r="A23"/>
      <c r="B23"/>
      <c r="C23"/>
      <c r="D23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400"/>
    </row>
    <row r="24" spans="1:32" s="390" customFormat="1" ht="17.25">
      <c r="A24" s="401" t="s">
        <v>2813</v>
      </c>
      <c r="B24" s="399"/>
      <c r="C24"/>
      <c r="D24"/>
      <c r="E24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400"/>
    </row>
    <row r="25" spans="1:32" ht="17.25">
      <c r="A25" s="402" t="s">
        <v>2814</v>
      </c>
      <c r="B25" s="410" t="s">
        <v>2815</v>
      </c>
      <c r="C25" s="411" t="s">
        <v>2816</v>
      </c>
      <c r="D25" s="412" t="s">
        <v>2817</v>
      </c>
      <c r="E25"/>
      <c r="J25" s="413"/>
    </row>
    <row r="26" spans="1:32" ht="17.25">
      <c r="A26" s="414">
        <v>7.0000000000000001E-3</v>
      </c>
      <c r="B26" s="415">
        <v>0.7</v>
      </c>
      <c r="C26" s="416">
        <v>0.3</v>
      </c>
      <c r="D26" s="417" t="s">
        <v>2818</v>
      </c>
      <c r="E26"/>
      <c r="J26" s="413"/>
    </row>
    <row r="27" spans="1:32" ht="17.25">
      <c r="A27" s="398"/>
      <c r="J27" s="413"/>
    </row>
    <row r="28" spans="1:32" ht="17.25">
      <c r="A28" s="406"/>
      <c r="J28" s="413"/>
    </row>
    <row r="29" spans="1:32" ht="17.25">
      <c r="G29" s="181" t="s">
        <v>2246</v>
      </c>
      <c r="Y29" s="466"/>
    </row>
  </sheetData>
  <mergeCells count="5">
    <mergeCell ref="A3:AE3"/>
    <mergeCell ref="A4:B4"/>
    <mergeCell ref="A5:A10"/>
    <mergeCell ref="A12:B12"/>
    <mergeCell ref="A13:A17"/>
  </mergeCells>
  <phoneticPr fontId="1" type="noConversion"/>
  <printOptions horizontalCentered="1"/>
  <pageMargins left="0.39370078740157483" right="0.39370078740157483" top="0.59055118110236227" bottom="0.19685039370078741" header="0.19685039370078741" footer="0.19685039370078741"/>
  <pageSetup paperSize="9" scale="4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1">
    <tabColor theme="8"/>
    <pageSetUpPr fitToPage="1"/>
  </sheetPr>
  <dimension ref="A1:AA89"/>
  <sheetViews>
    <sheetView showGridLines="0" view="pageBreakPreview" zoomScale="80" zoomScaleNormal="85" zoomScaleSheetLayoutView="80" workbookViewId="0">
      <pane xSplit="3" ySplit="4" topLeftCell="D17" activePane="bottomRight" state="frozen"/>
      <selection pane="topRight" activeCell="D1" sqref="D1"/>
      <selection pane="bottomLeft" activeCell="A6" sqref="A6"/>
      <selection pane="bottomRight" activeCell="AG49" sqref="AG49"/>
    </sheetView>
  </sheetViews>
  <sheetFormatPr defaultRowHeight="16.5"/>
  <cols>
    <col min="1" max="1" width="1.125" customWidth="1"/>
    <col min="2" max="2" width="1.5" style="34" customWidth="1"/>
    <col min="3" max="3" width="10.5" style="34" customWidth="1"/>
    <col min="4" max="27" width="5.625" style="34" customWidth="1"/>
    <col min="28" max="29" width="6.25" customWidth="1"/>
  </cols>
  <sheetData>
    <row r="1" spans="2:27" ht="3.75" customHeight="1"/>
    <row r="2" spans="2:27" ht="23.25" customHeight="1">
      <c r="B2" s="418"/>
      <c r="C2" s="363" t="s">
        <v>2819</v>
      </c>
    </row>
    <row r="3" spans="2:27" ht="17.100000000000001" customHeight="1" thickBot="1">
      <c r="B3" s="41"/>
      <c r="Z3" s="1612" t="s">
        <v>2820</v>
      </c>
      <c r="AA3" s="1612"/>
    </row>
    <row r="4" spans="2:27" ht="17.100000000000001" customHeight="1">
      <c r="B4"/>
      <c r="C4" s="419" t="s">
        <v>4</v>
      </c>
      <c r="D4" s="420">
        <v>1</v>
      </c>
      <c r="E4" s="420">
        <v>2</v>
      </c>
      <c r="F4" s="420">
        <v>3</v>
      </c>
      <c r="G4" s="420">
        <v>4</v>
      </c>
      <c r="H4" s="420">
        <v>5</v>
      </c>
      <c r="I4" s="420">
        <v>6</v>
      </c>
      <c r="J4" s="420">
        <v>7</v>
      </c>
      <c r="K4" s="420">
        <v>8</v>
      </c>
      <c r="L4" s="420">
        <v>9</v>
      </c>
      <c r="M4" s="420">
        <v>10</v>
      </c>
      <c r="N4" s="420">
        <v>11</v>
      </c>
      <c r="O4" s="420">
        <v>12</v>
      </c>
      <c r="P4" s="420">
        <v>13</v>
      </c>
      <c r="Q4" s="420">
        <v>14</v>
      </c>
      <c r="R4" s="420">
        <v>15</v>
      </c>
      <c r="S4" s="420">
        <v>16</v>
      </c>
      <c r="T4" s="420">
        <v>17</v>
      </c>
      <c r="U4" s="420">
        <v>18</v>
      </c>
      <c r="V4" s="420">
        <v>19</v>
      </c>
      <c r="W4" s="420">
        <v>20</v>
      </c>
      <c r="X4" s="420">
        <v>21</v>
      </c>
      <c r="Y4" s="420">
        <v>22</v>
      </c>
      <c r="Z4" s="420">
        <v>23</v>
      </c>
      <c r="AA4" s="421">
        <v>24</v>
      </c>
    </row>
    <row r="5" spans="2:27" ht="17.100000000000001" customHeight="1">
      <c r="B5"/>
      <c r="C5" s="422">
        <v>1</v>
      </c>
      <c r="D5" s="423">
        <v>84.5</v>
      </c>
      <c r="E5" s="423">
        <v>83.5</v>
      </c>
      <c r="F5" s="423">
        <v>82.5</v>
      </c>
      <c r="G5" s="423">
        <v>81.5</v>
      </c>
      <c r="H5" s="423">
        <v>80.5</v>
      </c>
      <c r="I5" s="423">
        <v>79.5</v>
      </c>
      <c r="J5" s="423">
        <v>78.5</v>
      </c>
      <c r="K5" s="423">
        <v>77.5</v>
      </c>
      <c r="L5" s="423">
        <v>76.5</v>
      </c>
      <c r="M5" s="423">
        <v>75.5</v>
      </c>
      <c r="N5" s="423">
        <v>74.5</v>
      </c>
      <c r="O5" s="423">
        <v>73.5</v>
      </c>
      <c r="P5" s="423">
        <v>72.5</v>
      </c>
      <c r="Q5" s="423">
        <v>71.5</v>
      </c>
      <c r="R5" s="423">
        <v>70.5</v>
      </c>
      <c r="S5" s="423">
        <v>67.5</v>
      </c>
      <c r="T5" s="423">
        <v>66.5</v>
      </c>
      <c r="U5" s="423">
        <v>63.5</v>
      </c>
      <c r="V5" s="423">
        <v>62.5</v>
      </c>
      <c r="W5" s="423">
        <v>61.5</v>
      </c>
      <c r="X5" s="423">
        <v>59.5</v>
      </c>
      <c r="Y5" s="423">
        <v>57.5</v>
      </c>
      <c r="Z5" s="423">
        <v>54.5</v>
      </c>
      <c r="AA5" s="424">
        <v>52.5</v>
      </c>
    </row>
    <row r="6" spans="2:27" ht="17.100000000000001" customHeight="1">
      <c r="B6"/>
      <c r="C6" s="425">
        <v>2</v>
      </c>
      <c r="D6" s="426">
        <v>84</v>
      </c>
      <c r="E6" s="426">
        <v>83</v>
      </c>
      <c r="F6" s="426">
        <v>82</v>
      </c>
      <c r="G6" s="426">
        <v>81</v>
      </c>
      <c r="H6" s="426">
        <v>80</v>
      </c>
      <c r="I6" s="426">
        <v>79</v>
      </c>
      <c r="J6" s="426">
        <v>78</v>
      </c>
      <c r="K6" s="426">
        <v>77</v>
      </c>
      <c r="L6" s="426">
        <v>76</v>
      </c>
      <c r="M6" s="426">
        <v>75</v>
      </c>
      <c r="N6" s="426">
        <v>74</v>
      </c>
      <c r="O6" s="426">
        <v>73</v>
      </c>
      <c r="P6" s="426">
        <v>72</v>
      </c>
      <c r="Q6" s="426">
        <v>71</v>
      </c>
      <c r="R6" s="426">
        <v>70</v>
      </c>
      <c r="S6" s="426">
        <v>67</v>
      </c>
      <c r="T6" s="426">
        <v>66</v>
      </c>
      <c r="U6" s="426">
        <v>63</v>
      </c>
      <c r="V6" s="426">
        <v>62</v>
      </c>
      <c r="W6" s="426">
        <v>61</v>
      </c>
      <c r="X6" s="426">
        <v>59</v>
      </c>
      <c r="Y6" s="426">
        <v>57</v>
      </c>
      <c r="Z6" s="426">
        <v>54</v>
      </c>
      <c r="AA6" s="427">
        <v>52</v>
      </c>
    </row>
    <row r="7" spans="2:27" ht="17.100000000000001" customHeight="1">
      <c r="B7"/>
      <c r="C7" s="425">
        <v>3</v>
      </c>
      <c r="D7" s="426">
        <v>83.5</v>
      </c>
      <c r="E7" s="426">
        <v>82.5</v>
      </c>
      <c r="F7" s="426">
        <v>81.5</v>
      </c>
      <c r="G7" s="426">
        <v>80.5</v>
      </c>
      <c r="H7" s="426">
        <v>79.5</v>
      </c>
      <c r="I7" s="426">
        <v>78.5</v>
      </c>
      <c r="J7" s="426">
        <v>77.5</v>
      </c>
      <c r="K7" s="426">
        <v>76.5</v>
      </c>
      <c r="L7" s="426">
        <v>75.5</v>
      </c>
      <c r="M7" s="426">
        <v>74.5</v>
      </c>
      <c r="N7" s="426">
        <v>73.5</v>
      </c>
      <c r="O7" s="426">
        <v>72.5</v>
      </c>
      <c r="P7" s="426">
        <v>71.5</v>
      </c>
      <c r="Q7" s="426">
        <v>70.5</v>
      </c>
      <c r="R7" s="426">
        <v>69.5</v>
      </c>
      <c r="S7" s="426">
        <v>66.5</v>
      </c>
      <c r="T7" s="426">
        <v>65.5</v>
      </c>
      <c r="U7" s="426">
        <v>62.5</v>
      </c>
      <c r="V7" s="426">
        <v>61.5</v>
      </c>
      <c r="W7" s="426">
        <v>60.5</v>
      </c>
      <c r="X7" s="426">
        <v>58.5</v>
      </c>
      <c r="Y7" s="426">
        <v>56.5</v>
      </c>
      <c r="Z7" s="426">
        <v>53.5</v>
      </c>
      <c r="AA7" s="427">
        <v>51.5</v>
      </c>
    </row>
    <row r="8" spans="2:27" ht="17.100000000000001" customHeight="1">
      <c r="B8"/>
      <c r="C8" s="425">
        <v>4</v>
      </c>
      <c r="D8" s="426">
        <v>83</v>
      </c>
      <c r="E8" s="426">
        <v>82</v>
      </c>
      <c r="F8" s="426">
        <v>81</v>
      </c>
      <c r="G8" s="426">
        <v>80</v>
      </c>
      <c r="H8" s="426">
        <v>79</v>
      </c>
      <c r="I8" s="426">
        <v>78</v>
      </c>
      <c r="J8" s="426">
        <v>77</v>
      </c>
      <c r="K8" s="426">
        <v>76</v>
      </c>
      <c r="L8" s="426">
        <v>75</v>
      </c>
      <c r="M8" s="426">
        <v>74</v>
      </c>
      <c r="N8" s="426">
        <v>73</v>
      </c>
      <c r="O8" s="426">
        <v>72</v>
      </c>
      <c r="P8" s="426">
        <v>71</v>
      </c>
      <c r="Q8" s="426">
        <v>70</v>
      </c>
      <c r="R8" s="426">
        <v>69</v>
      </c>
      <c r="S8" s="426">
        <v>66</v>
      </c>
      <c r="T8" s="426">
        <v>65</v>
      </c>
      <c r="U8" s="426">
        <v>62</v>
      </c>
      <c r="V8" s="426">
        <v>61</v>
      </c>
      <c r="W8" s="426">
        <v>60</v>
      </c>
      <c r="X8" s="426">
        <v>58</v>
      </c>
      <c r="Y8" s="426">
        <v>56</v>
      </c>
      <c r="Z8" s="426">
        <v>53</v>
      </c>
      <c r="AA8" s="427">
        <v>51</v>
      </c>
    </row>
    <row r="9" spans="2:27" ht="17.100000000000001" customHeight="1">
      <c r="B9"/>
      <c r="C9" s="425">
        <v>5</v>
      </c>
      <c r="D9" s="426">
        <v>82.5</v>
      </c>
      <c r="E9" s="426">
        <v>81.5</v>
      </c>
      <c r="F9" s="426">
        <v>80.5</v>
      </c>
      <c r="G9" s="426">
        <v>79.5</v>
      </c>
      <c r="H9" s="426">
        <v>78.5</v>
      </c>
      <c r="I9" s="426">
        <v>77.5</v>
      </c>
      <c r="J9" s="426">
        <v>76.5</v>
      </c>
      <c r="K9" s="426">
        <v>75.5</v>
      </c>
      <c r="L9" s="426">
        <v>74.5</v>
      </c>
      <c r="M9" s="426">
        <v>73.5</v>
      </c>
      <c r="N9" s="426">
        <v>72.5</v>
      </c>
      <c r="O9" s="426">
        <v>71.5</v>
      </c>
      <c r="P9" s="426">
        <v>70.5</v>
      </c>
      <c r="Q9" s="426">
        <v>69.5</v>
      </c>
      <c r="R9" s="426">
        <v>68.5</v>
      </c>
      <c r="S9" s="426">
        <v>65.5</v>
      </c>
      <c r="T9" s="426">
        <v>64.5</v>
      </c>
      <c r="U9" s="426">
        <v>61.5</v>
      </c>
      <c r="V9" s="426">
        <v>60.5</v>
      </c>
      <c r="W9" s="426">
        <v>59.5</v>
      </c>
      <c r="X9" s="426">
        <v>57.5</v>
      </c>
      <c r="Y9" s="426">
        <v>55.5</v>
      </c>
      <c r="Z9" s="426">
        <v>52.5</v>
      </c>
      <c r="AA9" s="427">
        <v>50.5</v>
      </c>
    </row>
    <row r="10" spans="2:27" ht="17.100000000000001" customHeight="1">
      <c r="B10"/>
      <c r="C10" s="425">
        <v>6</v>
      </c>
      <c r="D10" s="426">
        <v>82</v>
      </c>
      <c r="E10" s="426">
        <v>81</v>
      </c>
      <c r="F10" s="426">
        <v>80</v>
      </c>
      <c r="G10" s="426">
        <v>79</v>
      </c>
      <c r="H10" s="426">
        <v>78</v>
      </c>
      <c r="I10" s="426">
        <v>77</v>
      </c>
      <c r="J10" s="426">
        <v>76</v>
      </c>
      <c r="K10" s="426">
        <v>75</v>
      </c>
      <c r="L10" s="426">
        <v>74</v>
      </c>
      <c r="M10" s="426">
        <v>73</v>
      </c>
      <c r="N10" s="426">
        <v>72</v>
      </c>
      <c r="O10" s="426">
        <v>71</v>
      </c>
      <c r="P10" s="426">
        <v>70</v>
      </c>
      <c r="Q10" s="426">
        <v>69</v>
      </c>
      <c r="R10" s="426">
        <v>68</v>
      </c>
      <c r="S10" s="426">
        <v>65</v>
      </c>
      <c r="T10" s="426">
        <v>64</v>
      </c>
      <c r="U10" s="426">
        <v>61</v>
      </c>
      <c r="V10" s="426">
        <v>60</v>
      </c>
      <c r="W10" s="426">
        <v>59</v>
      </c>
      <c r="X10" s="426">
        <v>57</v>
      </c>
      <c r="Y10" s="426">
        <v>55</v>
      </c>
      <c r="Z10" s="426">
        <v>52</v>
      </c>
      <c r="AA10" s="427">
        <v>50</v>
      </c>
    </row>
    <row r="11" spans="2:27" ht="17.100000000000001" customHeight="1">
      <c r="B11"/>
      <c r="C11" s="425">
        <v>7</v>
      </c>
      <c r="D11" s="426">
        <v>81.5</v>
      </c>
      <c r="E11" s="426">
        <v>80.5</v>
      </c>
      <c r="F11" s="426">
        <v>79.5</v>
      </c>
      <c r="G11" s="426">
        <v>78.5</v>
      </c>
      <c r="H11" s="426">
        <v>77.5</v>
      </c>
      <c r="I11" s="426">
        <v>76.5</v>
      </c>
      <c r="J11" s="426">
        <v>75.5</v>
      </c>
      <c r="K11" s="426">
        <v>74.5</v>
      </c>
      <c r="L11" s="426">
        <v>73.5</v>
      </c>
      <c r="M11" s="426">
        <v>72.5</v>
      </c>
      <c r="N11" s="426">
        <v>71.5</v>
      </c>
      <c r="O11" s="426">
        <v>70.5</v>
      </c>
      <c r="P11" s="426">
        <v>69.5</v>
      </c>
      <c r="Q11" s="426">
        <v>68.5</v>
      </c>
      <c r="R11" s="426">
        <v>67.5</v>
      </c>
      <c r="S11" s="426">
        <v>64.5</v>
      </c>
      <c r="T11" s="426">
        <v>63.5</v>
      </c>
      <c r="U11" s="426">
        <v>60.5</v>
      </c>
      <c r="V11" s="426">
        <v>59.5</v>
      </c>
      <c r="W11" s="426">
        <v>58.5</v>
      </c>
      <c r="X11" s="426">
        <v>56.5</v>
      </c>
      <c r="Y11" s="426">
        <v>54.5</v>
      </c>
      <c r="Z11" s="426">
        <v>51.5</v>
      </c>
      <c r="AA11" s="427">
        <v>49.5</v>
      </c>
    </row>
    <row r="12" spans="2:27" ht="17.100000000000001" customHeight="1">
      <c r="B12"/>
      <c r="C12" s="425">
        <v>8</v>
      </c>
      <c r="D12" s="426">
        <v>81</v>
      </c>
      <c r="E12" s="426">
        <v>80</v>
      </c>
      <c r="F12" s="426">
        <v>79</v>
      </c>
      <c r="G12" s="426">
        <v>78</v>
      </c>
      <c r="H12" s="426">
        <v>77</v>
      </c>
      <c r="I12" s="426">
        <v>76</v>
      </c>
      <c r="J12" s="426">
        <v>75</v>
      </c>
      <c r="K12" s="426">
        <v>74</v>
      </c>
      <c r="L12" s="426">
        <v>73</v>
      </c>
      <c r="M12" s="426">
        <v>72</v>
      </c>
      <c r="N12" s="426">
        <v>71</v>
      </c>
      <c r="O12" s="426">
        <v>70</v>
      </c>
      <c r="P12" s="426">
        <v>69</v>
      </c>
      <c r="Q12" s="426">
        <v>68</v>
      </c>
      <c r="R12" s="426">
        <v>67</v>
      </c>
      <c r="S12" s="426">
        <v>64</v>
      </c>
      <c r="T12" s="426">
        <v>63</v>
      </c>
      <c r="U12" s="426">
        <v>60</v>
      </c>
      <c r="V12" s="426">
        <v>59</v>
      </c>
      <c r="W12" s="426">
        <v>58</v>
      </c>
      <c r="X12" s="426">
        <v>56</v>
      </c>
      <c r="Y12" s="426">
        <v>54</v>
      </c>
      <c r="Z12" s="426">
        <v>51</v>
      </c>
      <c r="AA12" s="427">
        <v>49</v>
      </c>
    </row>
    <row r="13" spans="2:27" ht="17.100000000000001" customHeight="1">
      <c r="B13"/>
      <c r="C13" s="425">
        <v>9</v>
      </c>
      <c r="D13" s="426">
        <v>80.5</v>
      </c>
      <c r="E13" s="426">
        <v>79.5</v>
      </c>
      <c r="F13" s="426">
        <v>78.5</v>
      </c>
      <c r="G13" s="426">
        <v>77.5</v>
      </c>
      <c r="H13" s="426">
        <v>76.5</v>
      </c>
      <c r="I13" s="426">
        <v>75.5</v>
      </c>
      <c r="J13" s="426">
        <v>74.5</v>
      </c>
      <c r="K13" s="426">
        <v>73.5</v>
      </c>
      <c r="L13" s="426">
        <v>72.5</v>
      </c>
      <c r="M13" s="426">
        <v>71.5</v>
      </c>
      <c r="N13" s="426">
        <v>70.5</v>
      </c>
      <c r="O13" s="426">
        <v>69.5</v>
      </c>
      <c r="P13" s="426">
        <v>68.5</v>
      </c>
      <c r="Q13" s="426">
        <v>67.5</v>
      </c>
      <c r="R13" s="426">
        <v>66.5</v>
      </c>
      <c r="S13" s="426">
        <v>63.5</v>
      </c>
      <c r="T13" s="426">
        <v>62.5</v>
      </c>
      <c r="U13" s="426">
        <v>59.5</v>
      </c>
      <c r="V13" s="426">
        <v>58.5</v>
      </c>
      <c r="W13" s="426">
        <v>57.5</v>
      </c>
      <c r="X13" s="426">
        <v>55.5</v>
      </c>
      <c r="Y13" s="426">
        <v>53.5</v>
      </c>
      <c r="Z13" s="426">
        <v>50.5</v>
      </c>
      <c r="AA13" s="427">
        <v>48.5</v>
      </c>
    </row>
    <row r="14" spans="2:27" ht="17.100000000000001" customHeight="1">
      <c r="B14"/>
      <c r="C14" s="425">
        <v>10</v>
      </c>
      <c r="D14" s="426">
        <v>80</v>
      </c>
      <c r="E14" s="426">
        <v>79</v>
      </c>
      <c r="F14" s="426">
        <v>78</v>
      </c>
      <c r="G14" s="426">
        <v>77</v>
      </c>
      <c r="H14" s="426">
        <v>76</v>
      </c>
      <c r="I14" s="426">
        <v>75</v>
      </c>
      <c r="J14" s="426">
        <v>74</v>
      </c>
      <c r="K14" s="426">
        <v>73</v>
      </c>
      <c r="L14" s="426">
        <v>72</v>
      </c>
      <c r="M14" s="426">
        <v>71</v>
      </c>
      <c r="N14" s="426">
        <v>70</v>
      </c>
      <c r="O14" s="426">
        <v>69</v>
      </c>
      <c r="P14" s="426">
        <v>68</v>
      </c>
      <c r="Q14" s="426">
        <v>67</v>
      </c>
      <c r="R14" s="426">
        <v>66</v>
      </c>
      <c r="S14" s="426">
        <v>63</v>
      </c>
      <c r="T14" s="426">
        <v>62</v>
      </c>
      <c r="U14" s="426">
        <v>59</v>
      </c>
      <c r="V14" s="426">
        <v>58</v>
      </c>
      <c r="W14" s="426">
        <v>57</v>
      </c>
      <c r="X14" s="426">
        <v>55</v>
      </c>
      <c r="Y14" s="426">
        <v>53</v>
      </c>
      <c r="Z14" s="426">
        <v>50</v>
      </c>
      <c r="AA14" s="427">
        <v>48</v>
      </c>
    </row>
    <row r="15" spans="2:27" ht="17.100000000000001" customHeight="1">
      <c r="B15"/>
      <c r="C15" s="425">
        <v>11</v>
      </c>
      <c r="D15" s="426">
        <v>79.5</v>
      </c>
      <c r="E15" s="426">
        <v>78.5</v>
      </c>
      <c r="F15" s="426">
        <v>77.5</v>
      </c>
      <c r="G15" s="426">
        <v>76.5</v>
      </c>
      <c r="H15" s="426">
        <v>75.5</v>
      </c>
      <c r="I15" s="426">
        <v>74.5</v>
      </c>
      <c r="J15" s="426">
        <v>73.5</v>
      </c>
      <c r="K15" s="426">
        <v>72.5</v>
      </c>
      <c r="L15" s="426">
        <v>71.5</v>
      </c>
      <c r="M15" s="426">
        <v>70.5</v>
      </c>
      <c r="N15" s="426">
        <v>69.5</v>
      </c>
      <c r="O15" s="426">
        <v>68.5</v>
      </c>
      <c r="P15" s="426">
        <v>67.5</v>
      </c>
      <c r="Q15" s="426">
        <v>66.5</v>
      </c>
      <c r="R15" s="426">
        <v>65.5</v>
      </c>
      <c r="S15" s="426">
        <v>62.5</v>
      </c>
      <c r="T15" s="426">
        <v>61.5</v>
      </c>
      <c r="U15" s="426">
        <v>58.5</v>
      </c>
      <c r="V15" s="426">
        <v>57.5</v>
      </c>
      <c r="W15" s="426">
        <v>56.5</v>
      </c>
      <c r="X15" s="426">
        <v>54.5</v>
      </c>
      <c r="Y15" s="426">
        <v>52.5</v>
      </c>
      <c r="Z15" s="426">
        <v>49.5</v>
      </c>
      <c r="AA15" s="427">
        <v>47.5</v>
      </c>
    </row>
    <row r="16" spans="2:27" ht="17.100000000000001" customHeight="1">
      <c r="B16"/>
      <c r="C16" s="428">
        <v>12</v>
      </c>
      <c r="D16" s="429">
        <v>79</v>
      </c>
      <c r="E16" s="429">
        <v>78</v>
      </c>
      <c r="F16" s="429">
        <v>77</v>
      </c>
      <c r="G16" s="429">
        <v>76</v>
      </c>
      <c r="H16" s="429">
        <v>75</v>
      </c>
      <c r="I16" s="429">
        <v>74</v>
      </c>
      <c r="J16" s="429">
        <v>73</v>
      </c>
      <c r="K16" s="429">
        <v>72</v>
      </c>
      <c r="L16" s="429">
        <v>71</v>
      </c>
      <c r="M16" s="429">
        <v>70</v>
      </c>
      <c r="N16" s="429">
        <v>69</v>
      </c>
      <c r="O16" s="429">
        <v>68</v>
      </c>
      <c r="P16" s="429">
        <v>67</v>
      </c>
      <c r="Q16" s="429">
        <v>66</v>
      </c>
      <c r="R16" s="429">
        <v>65</v>
      </c>
      <c r="S16" s="429">
        <v>62</v>
      </c>
      <c r="T16" s="429">
        <v>61</v>
      </c>
      <c r="U16" s="429">
        <v>58</v>
      </c>
      <c r="V16" s="429">
        <v>57</v>
      </c>
      <c r="W16" s="429">
        <v>56</v>
      </c>
      <c r="X16" s="429">
        <v>54</v>
      </c>
      <c r="Y16" s="429">
        <v>52</v>
      </c>
      <c r="Z16" s="429">
        <v>49</v>
      </c>
      <c r="AA16" s="430">
        <v>47</v>
      </c>
    </row>
    <row r="17" spans="1:27" ht="17.100000000000001" customHeight="1">
      <c r="B17"/>
      <c r="C17" s="422">
        <v>13</v>
      </c>
      <c r="D17" s="431">
        <v>78.400000000000006</v>
      </c>
      <c r="E17" s="431">
        <v>77.400000000000006</v>
      </c>
      <c r="F17" s="431">
        <v>76.400000000000006</v>
      </c>
      <c r="G17" s="431">
        <v>75.400000000000006</v>
      </c>
      <c r="H17" s="431">
        <v>74.400000000000006</v>
      </c>
      <c r="I17" s="431">
        <v>73.400000000000006</v>
      </c>
      <c r="J17" s="431">
        <v>72.400000000000006</v>
      </c>
      <c r="K17" s="431">
        <v>71.400000000000006</v>
      </c>
      <c r="L17" s="431">
        <v>70.400000000000006</v>
      </c>
      <c r="M17" s="431">
        <v>69.400000000000006</v>
      </c>
      <c r="N17" s="431">
        <v>68.400000000000006</v>
      </c>
      <c r="O17" s="431">
        <v>67.400000000000006</v>
      </c>
      <c r="P17" s="431">
        <v>66.400000000000006</v>
      </c>
      <c r="Q17" s="431">
        <v>65.400000000000006</v>
      </c>
      <c r="R17" s="431">
        <v>64.400000000000006</v>
      </c>
      <c r="S17" s="431">
        <v>61.4</v>
      </c>
      <c r="T17" s="431">
        <v>60.4</v>
      </c>
      <c r="U17" s="431">
        <v>57.4</v>
      </c>
      <c r="V17" s="431">
        <v>56.4</v>
      </c>
      <c r="W17" s="431">
        <v>55.4</v>
      </c>
      <c r="X17" s="431">
        <v>53.4</v>
      </c>
      <c r="Y17" s="431">
        <v>51.4</v>
      </c>
      <c r="Z17" s="431">
        <v>48.4</v>
      </c>
      <c r="AA17" s="432">
        <v>46.4</v>
      </c>
    </row>
    <row r="18" spans="1:27" ht="17.100000000000001" customHeight="1">
      <c r="B18"/>
      <c r="C18" s="425">
        <v>14</v>
      </c>
      <c r="D18" s="431">
        <v>77.8</v>
      </c>
      <c r="E18" s="431">
        <v>76.8</v>
      </c>
      <c r="F18" s="431">
        <v>75.8</v>
      </c>
      <c r="G18" s="431">
        <v>74.8</v>
      </c>
      <c r="H18" s="431">
        <v>73.8</v>
      </c>
      <c r="I18" s="431">
        <v>72.8</v>
      </c>
      <c r="J18" s="431">
        <v>71.8</v>
      </c>
      <c r="K18" s="431">
        <v>70.8</v>
      </c>
      <c r="L18" s="431">
        <v>69.8</v>
      </c>
      <c r="M18" s="431">
        <v>68.8</v>
      </c>
      <c r="N18" s="431">
        <v>67.8</v>
      </c>
      <c r="O18" s="431">
        <v>66.8</v>
      </c>
      <c r="P18" s="431">
        <v>65.8</v>
      </c>
      <c r="Q18" s="431">
        <v>64.8</v>
      </c>
      <c r="R18" s="431">
        <v>63.8</v>
      </c>
      <c r="S18" s="431">
        <v>60.8</v>
      </c>
      <c r="T18" s="431">
        <v>59.8</v>
      </c>
      <c r="U18" s="431">
        <v>56.8</v>
      </c>
      <c r="V18" s="431">
        <v>55.8</v>
      </c>
      <c r="W18" s="431">
        <v>54.8</v>
      </c>
      <c r="X18" s="431">
        <v>52.8</v>
      </c>
      <c r="Y18" s="431">
        <v>50.8</v>
      </c>
      <c r="Z18" s="431">
        <v>47.8</v>
      </c>
      <c r="AA18" s="432">
        <v>45.8</v>
      </c>
    </row>
    <row r="19" spans="1:27" ht="17.100000000000001" customHeight="1">
      <c r="B19"/>
      <c r="C19" s="425">
        <v>15</v>
      </c>
      <c r="D19" s="431">
        <v>77.3</v>
      </c>
      <c r="E19" s="431">
        <v>76.3</v>
      </c>
      <c r="F19" s="431">
        <v>75.3</v>
      </c>
      <c r="G19" s="431">
        <v>74.3</v>
      </c>
      <c r="H19" s="431">
        <v>73.3</v>
      </c>
      <c r="I19" s="431">
        <v>72.3</v>
      </c>
      <c r="J19" s="431">
        <v>71.3</v>
      </c>
      <c r="K19" s="431">
        <v>70.3</v>
      </c>
      <c r="L19" s="431">
        <v>69.3</v>
      </c>
      <c r="M19" s="431">
        <v>68.3</v>
      </c>
      <c r="N19" s="431">
        <v>67.3</v>
      </c>
      <c r="O19" s="431">
        <v>66.3</v>
      </c>
      <c r="P19" s="431">
        <v>65.3</v>
      </c>
      <c r="Q19" s="431">
        <v>64.3</v>
      </c>
      <c r="R19" s="431">
        <v>63.3</v>
      </c>
      <c r="S19" s="431">
        <v>60.3</v>
      </c>
      <c r="T19" s="431">
        <v>59.3</v>
      </c>
      <c r="U19" s="431">
        <v>56.3</v>
      </c>
      <c r="V19" s="431">
        <v>55.3</v>
      </c>
      <c r="W19" s="431">
        <v>54.3</v>
      </c>
      <c r="X19" s="431">
        <v>52.3</v>
      </c>
      <c r="Y19" s="431">
        <v>50.3</v>
      </c>
      <c r="Z19" s="431">
        <v>47.3</v>
      </c>
      <c r="AA19" s="432">
        <v>45.3</v>
      </c>
    </row>
    <row r="20" spans="1:27" ht="17.100000000000001" customHeight="1">
      <c r="B20"/>
      <c r="C20" s="425">
        <v>16</v>
      </c>
      <c r="D20" s="431">
        <v>76.7</v>
      </c>
      <c r="E20" s="431">
        <v>75.7</v>
      </c>
      <c r="F20" s="431">
        <v>74.7</v>
      </c>
      <c r="G20" s="431">
        <v>73.7</v>
      </c>
      <c r="H20" s="431">
        <v>72.7</v>
      </c>
      <c r="I20" s="431">
        <v>71.7</v>
      </c>
      <c r="J20" s="431">
        <v>70.7</v>
      </c>
      <c r="K20" s="431">
        <v>69.7</v>
      </c>
      <c r="L20" s="431">
        <v>68.7</v>
      </c>
      <c r="M20" s="431">
        <v>67.7</v>
      </c>
      <c r="N20" s="431">
        <v>66.7</v>
      </c>
      <c r="O20" s="431">
        <v>65.7</v>
      </c>
      <c r="P20" s="431">
        <v>64.7</v>
      </c>
      <c r="Q20" s="431">
        <v>63.7</v>
      </c>
      <c r="R20" s="431">
        <v>62.7</v>
      </c>
      <c r="S20" s="431">
        <v>59.7</v>
      </c>
      <c r="T20" s="431">
        <v>58.7</v>
      </c>
      <c r="U20" s="431">
        <v>55.7</v>
      </c>
      <c r="V20" s="431">
        <v>54.7</v>
      </c>
      <c r="W20" s="431">
        <v>53.7</v>
      </c>
      <c r="X20" s="431">
        <v>51.7</v>
      </c>
      <c r="Y20" s="431">
        <v>49.7</v>
      </c>
      <c r="Z20" s="431">
        <v>46.7</v>
      </c>
      <c r="AA20" s="432">
        <v>44.7</v>
      </c>
    </row>
    <row r="21" spans="1:27" ht="17.100000000000001" customHeight="1">
      <c r="B21"/>
      <c r="C21" s="425">
        <v>17</v>
      </c>
      <c r="D21" s="431">
        <v>76.099999999999994</v>
      </c>
      <c r="E21" s="431">
        <v>75.099999999999994</v>
      </c>
      <c r="F21" s="431">
        <v>74.099999999999994</v>
      </c>
      <c r="G21" s="431">
        <v>73.099999999999994</v>
      </c>
      <c r="H21" s="431">
        <v>72.099999999999994</v>
      </c>
      <c r="I21" s="431">
        <v>71.099999999999994</v>
      </c>
      <c r="J21" s="431">
        <v>70.099999999999994</v>
      </c>
      <c r="K21" s="431">
        <v>69.099999999999994</v>
      </c>
      <c r="L21" s="431">
        <v>68.099999999999994</v>
      </c>
      <c r="M21" s="431">
        <v>67.099999999999994</v>
      </c>
      <c r="N21" s="431">
        <v>66.099999999999994</v>
      </c>
      <c r="O21" s="431">
        <v>65.099999999999994</v>
      </c>
      <c r="P21" s="431">
        <v>64.099999999999994</v>
      </c>
      <c r="Q21" s="431">
        <v>63.1</v>
      </c>
      <c r="R21" s="431">
        <v>62.1</v>
      </c>
      <c r="S21" s="431">
        <v>59.1</v>
      </c>
      <c r="T21" s="431">
        <v>58.1</v>
      </c>
      <c r="U21" s="431">
        <v>55.1</v>
      </c>
      <c r="V21" s="431">
        <v>54.1</v>
      </c>
      <c r="W21" s="431">
        <v>53.1</v>
      </c>
      <c r="X21" s="431">
        <v>51.1</v>
      </c>
      <c r="Y21" s="431">
        <v>49.1</v>
      </c>
      <c r="Z21" s="431">
        <v>46.1</v>
      </c>
      <c r="AA21" s="432">
        <v>44.1</v>
      </c>
    </row>
    <row r="22" spans="1:27" ht="17.100000000000001" customHeight="1">
      <c r="B22"/>
      <c r="C22" s="425">
        <v>18</v>
      </c>
      <c r="D22" s="431">
        <v>75.5</v>
      </c>
      <c r="E22" s="431">
        <v>74.5</v>
      </c>
      <c r="F22" s="431">
        <v>73.5</v>
      </c>
      <c r="G22" s="431">
        <v>72.5</v>
      </c>
      <c r="H22" s="431">
        <v>71.5</v>
      </c>
      <c r="I22" s="431">
        <v>70.5</v>
      </c>
      <c r="J22" s="431">
        <v>69.5</v>
      </c>
      <c r="K22" s="431">
        <v>68.5</v>
      </c>
      <c r="L22" s="431">
        <v>67.5</v>
      </c>
      <c r="M22" s="431">
        <v>66.5</v>
      </c>
      <c r="N22" s="431">
        <v>65.5</v>
      </c>
      <c r="O22" s="431">
        <v>64.5</v>
      </c>
      <c r="P22" s="431">
        <v>63.5</v>
      </c>
      <c r="Q22" s="431">
        <v>62.5</v>
      </c>
      <c r="R22" s="431">
        <v>61.5</v>
      </c>
      <c r="S22" s="431">
        <v>58.5</v>
      </c>
      <c r="T22" s="431">
        <v>57.5</v>
      </c>
      <c r="U22" s="431">
        <v>54.5</v>
      </c>
      <c r="V22" s="431">
        <v>53.5</v>
      </c>
      <c r="W22" s="431">
        <v>52.5</v>
      </c>
      <c r="X22" s="431">
        <v>50.5</v>
      </c>
      <c r="Y22" s="431">
        <v>48.5</v>
      </c>
      <c r="Z22" s="431">
        <v>45.5</v>
      </c>
      <c r="AA22" s="432">
        <v>43.5</v>
      </c>
    </row>
    <row r="23" spans="1:27" ht="17.100000000000001" customHeight="1">
      <c r="B23"/>
      <c r="C23" s="425">
        <v>19</v>
      </c>
      <c r="D23" s="431">
        <v>74.900000000000006</v>
      </c>
      <c r="E23" s="431">
        <v>73.900000000000006</v>
      </c>
      <c r="F23" s="431">
        <v>72.900000000000006</v>
      </c>
      <c r="G23" s="431">
        <v>71.900000000000006</v>
      </c>
      <c r="H23" s="431">
        <v>70.900000000000006</v>
      </c>
      <c r="I23" s="431">
        <v>69.900000000000006</v>
      </c>
      <c r="J23" s="431">
        <v>68.900000000000006</v>
      </c>
      <c r="K23" s="431">
        <v>67.900000000000006</v>
      </c>
      <c r="L23" s="431">
        <v>66.900000000000006</v>
      </c>
      <c r="M23" s="431">
        <v>65.900000000000006</v>
      </c>
      <c r="N23" s="431">
        <v>64.900000000000006</v>
      </c>
      <c r="O23" s="431">
        <v>63.9</v>
      </c>
      <c r="P23" s="431">
        <v>62.9</v>
      </c>
      <c r="Q23" s="431">
        <v>61.9</v>
      </c>
      <c r="R23" s="431">
        <v>60.9</v>
      </c>
      <c r="S23" s="431">
        <v>57.9</v>
      </c>
      <c r="T23" s="431">
        <v>56.9</v>
      </c>
      <c r="U23" s="431">
        <v>53.9</v>
      </c>
      <c r="V23" s="431">
        <v>52.9</v>
      </c>
      <c r="W23" s="431">
        <v>51.9</v>
      </c>
      <c r="X23" s="431">
        <v>49.9</v>
      </c>
      <c r="Y23" s="431">
        <v>47.9</v>
      </c>
      <c r="Z23" s="431">
        <v>44.9</v>
      </c>
      <c r="AA23" s="432">
        <v>42.9</v>
      </c>
    </row>
    <row r="24" spans="1:27" ht="17.100000000000001" customHeight="1">
      <c r="B24"/>
      <c r="C24" s="425">
        <v>20</v>
      </c>
      <c r="D24" s="431">
        <v>74.400000000000006</v>
      </c>
      <c r="E24" s="431">
        <v>73.400000000000006</v>
      </c>
      <c r="F24" s="431">
        <v>72.400000000000006</v>
      </c>
      <c r="G24" s="431">
        <v>71.400000000000006</v>
      </c>
      <c r="H24" s="431">
        <v>70.400000000000006</v>
      </c>
      <c r="I24" s="431">
        <v>69.400000000000006</v>
      </c>
      <c r="J24" s="431">
        <v>68.400000000000006</v>
      </c>
      <c r="K24" s="431">
        <v>67.400000000000006</v>
      </c>
      <c r="L24" s="431">
        <v>66.400000000000006</v>
      </c>
      <c r="M24" s="431">
        <v>65.400000000000006</v>
      </c>
      <c r="N24" s="431">
        <v>64.400000000000006</v>
      </c>
      <c r="O24" s="431">
        <v>63.4</v>
      </c>
      <c r="P24" s="431">
        <v>62.4</v>
      </c>
      <c r="Q24" s="431">
        <v>61.4</v>
      </c>
      <c r="R24" s="431">
        <v>60.4</v>
      </c>
      <c r="S24" s="431">
        <v>57.4</v>
      </c>
      <c r="T24" s="431">
        <v>56.4</v>
      </c>
      <c r="U24" s="431">
        <v>53.4</v>
      </c>
      <c r="V24" s="431">
        <v>52.4</v>
      </c>
      <c r="W24" s="431">
        <v>51.4</v>
      </c>
      <c r="X24" s="431">
        <v>49.4</v>
      </c>
      <c r="Y24" s="431">
        <v>47.4</v>
      </c>
      <c r="Z24" s="431">
        <v>44.4</v>
      </c>
      <c r="AA24" s="432">
        <v>42.4</v>
      </c>
    </row>
    <row r="25" spans="1:27" ht="17.100000000000001" customHeight="1">
      <c r="B25"/>
      <c r="C25" s="425">
        <v>21</v>
      </c>
      <c r="D25" s="431">
        <v>73.8</v>
      </c>
      <c r="E25" s="431">
        <v>72.8</v>
      </c>
      <c r="F25" s="431">
        <v>71.8</v>
      </c>
      <c r="G25" s="431">
        <v>70.8</v>
      </c>
      <c r="H25" s="431">
        <v>69.8</v>
      </c>
      <c r="I25" s="431">
        <v>68.8</v>
      </c>
      <c r="J25" s="431">
        <v>67.8</v>
      </c>
      <c r="K25" s="431">
        <v>66.8</v>
      </c>
      <c r="L25" s="431">
        <v>65.8</v>
      </c>
      <c r="M25" s="431">
        <v>64.8</v>
      </c>
      <c r="N25" s="431">
        <v>63.8</v>
      </c>
      <c r="O25" s="431">
        <v>62.8</v>
      </c>
      <c r="P25" s="431">
        <v>61.8</v>
      </c>
      <c r="Q25" s="431">
        <v>60.8</v>
      </c>
      <c r="R25" s="431">
        <v>59.8</v>
      </c>
      <c r="S25" s="431">
        <v>56.8</v>
      </c>
      <c r="T25" s="431">
        <v>55.8</v>
      </c>
      <c r="U25" s="431">
        <v>52.8</v>
      </c>
      <c r="V25" s="431">
        <v>51.8</v>
      </c>
      <c r="W25" s="431">
        <v>50.8</v>
      </c>
      <c r="X25" s="431">
        <v>48.8</v>
      </c>
      <c r="Y25" s="431">
        <v>46.8</v>
      </c>
      <c r="Z25" s="431">
        <v>43.8</v>
      </c>
      <c r="AA25" s="432">
        <v>41.8</v>
      </c>
    </row>
    <row r="26" spans="1:27" ht="17.100000000000001" customHeight="1">
      <c r="B26"/>
      <c r="C26" s="425">
        <v>22</v>
      </c>
      <c r="D26" s="431">
        <v>73.2</v>
      </c>
      <c r="E26" s="431">
        <v>72.2</v>
      </c>
      <c r="F26" s="431">
        <v>71.2</v>
      </c>
      <c r="G26" s="431">
        <v>70.2</v>
      </c>
      <c r="H26" s="431">
        <v>69.2</v>
      </c>
      <c r="I26" s="431">
        <v>68.2</v>
      </c>
      <c r="J26" s="431">
        <v>67.2</v>
      </c>
      <c r="K26" s="431">
        <v>66.2</v>
      </c>
      <c r="L26" s="431">
        <v>65.2</v>
      </c>
      <c r="M26" s="431">
        <v>64.2</v>
      </c>
      <c r="N26" s="431">
        <v>63.2</v>
      </c>
      <c r="O26" s="431">
        <v>62.2</v>
      </c>
      <c r="P26" s="431">
        <v>61.2</v>
      </c>
      <c r="Q26" s="431">
        <v>60.2</v>
      </c>
      <c r="R26" s="431">
        <v>59.2</v>
      </c>
      <c r="S26" s="431">
        <v>56.2</v>
      </c>
      <c r="T26" s="431">
        <v>55.2</v>
      </c>
      <c r="U26" s="431">
        <v>52.2</v>
      </c>
      <c r="V26" s="431">
        <v>51.2</v>
      </c>
      <c r="W26" s="431">
        <v>50.2</v>
      </c>
      <c r="X26" s="431">
        <v>48.2</v>
      </c>
      <c r="Y26" s="431">
        <v>46.2</v>
      </c>
      <c r="Z26" s="431">
        <v>43.2</v>
      </c>
      <c r="AA26" s="432">
        <v>41.2</v>
      </c>
    </row>
    <row r="27" spans="1:27" ht="17.100000000000001" customHeight="1">
      <c r="B27"/>
      <c r="C27" s="425">
        <v>23</v>
      </c>
      <c r="D27" s="431">
        <v>72.599999999999994</v>
      </c>
      <c r="E27" s="431">
        <v>71.599999999999994</v>
      </c>
      <c r="F27" s="431">
        <v>70.599999999999994</v>
      </c>
      <c r="G27" s="431">
        <v>69.599999999999994</v>
      </c>
      <c r="H27" s="431">
        <v>68.599999999999994</v>
      </c>
      <c r="I27" s="431">
        <v>67.599999999999994</v>
      </c>
      <c r="J27" s="431">
        <v>66.599999999999994</v>
      </c>
      <c r="K27" s="431">
        <v>65.599999999999994</v>
      </c>
      <c r="L27" s="431">
        <v>64.599999999999994</v>
      </c>
      <c r="M27" s="431">
        <v>63.6</v>
      </c>
      <c r="N27" s="431">
        <v>62.6</v>
      </c>
      <c r="O27" s="431">
        <v>61.6</v>
      </c>
      <c r="P27" s="431">
        <v>60.6</v>
      </c>
      <c r="Q27" s="431">
        <v>59.6</v>
      </c>
      <c r="R27" s="431">
        <v>58.6</v>
      </c>
      <c r="S27" s="431">
        <v>55.6</v>
      </c>
      <c r="T27" s="431">
        <v>54.6</v>
      </c>
      <c r="U27" s="431">
        <v>51.6</v>
      </c>
      <c r="V27" s="431">
        <v>50.6</v>
      </c>
      <c r="W27" s="431">
        <v>49.6</v>
      </c>
      <c r="X27" s="431">
        <v>47.6</v>
      </c>
      <c r="Y27" s="431">
        <v>45.6</v>
      </c>
      <c r="Z27" s="431">
        <v>42.6</v>
      </c>
      <c r="AA27" s="432">
        <v>40.6</v>
      </c>
    </row>
    <row r="28" spans="1:27" ht="17.100000000000001" customHeight="1">
      <c r="A28" s="433"/>
      <c r="B28"/>
      <c r="C28" s="428">
        <v>24</v>
      </c>
      <c r="D28" s="429">
        <v>72</v>
      </c>
      <c r="E28" s="429">
        <v>71</v>
      </c>
      <c r="F28" s="429">
        <v>70</v>
      </c>
      <c r="G28" s="429">
        <v>69</v>
      </c>
      <c r="H28" s="429">
        <v>68</v>
      </c>
      <c r="I28" s="429">
        <v>67</v>
      </c>
      <c r="J28" s="429">
        <v>66</v>
      </c>
      <c r="K28" s="429">
        <v>65</v>
      </c>
      <c r="L28" s="429">
        <v>64</v>
      </c>
      <c r="M28" s="429">
        <v>63</v>
      </c>
      <c r="N28" s="429">
        <v>62</v>
      </c>
      <c r="O28" s="429">
        <v>61</v>
      </c>
      <c r="P28" s="429">
        <v>60</v>
      </c>
      <c r="Q28" s="429">
        <v>59</v>
      </c>
      <c r="R28" s="429">
        <v>58</v>
      </c>
      <c r="S28" s="429">
        <v>55</v>
      </c>
      <c r="T28" s="429">
        <v>54</v>
      </c>
      <c r="U28" s="429">
        <v>51</v>
      </c>
      <c r="V28" s="429">
        <v>50</v>
      </c>
      <c r="W28" s="429">
        <v>49</v>
      </c>
      <c r="X28" s="429">
        <v>47</v>
      </c>
      <c r="Y28" s="429">
        <v>45</v>
      </c>
      <c r="Z28" s="429">
        <v>42</v>
      </c>
      <c r="AA28" s="430">
        <v>40</v>
      </c>
    </row>
    <row r="29" spans="1:27" ht="17.100000000000001" customHeight="1">
      <c r="B29"/>
      <c r="C29" s="422">
        <v>25</v>
      </c>
      <c r="D29" s="431">
        <v>71.5</v>
      </c>
      <c r="E29" s="431">
        <v>70.5</v>
      </c>
      <c r="F29" s="431">
        <v>69.5</v>
      </c>
      <c r="G29" s="431">
        <v>68.5</v>
      </c>
      <c r="H29" s="431">
        <v>67.5</v>
      </c>
      <c r="I29" s="431">
        <v>66.5</v>
      </c>
      <c r="J29" s="431">
        <v>65.5</v>
      </c>
      <c r="K29" s="431">
        <v>64.5</v>
      </c>
      <c r="L29" s="431">
        <v>63.5</v>
      </c>
      <c r="M29" s="431">
        <v>62.5</v>
      </c>
      <c r="N29" s="431">
        <v>61.5</v>
      </c>
      <c r="O29" s="431">
        <v>60.5</v>
      </c>
      <c r="P29" s="431">
        <v>59.5</v>
      </c>
      <c r="Q29" s="431">
        <v>58.5</v>
      </c>
      <c r="R29" s="431">
        <v>57.5</v>
      </c>
      <c r="S29" s="431">
        <v>54.5</v>
      </c>
      <c r="T29" s="431">
        <v>53.5</v>
      </c>
      <c r="U29" s="431">
        <v>50.5</v>
      </c>
      <c r="V29" s="431">
        <v>49.5</v>
      </c>
      <c r="W29" s="431">
        <v>48.5</v>
      </c>
      <c r="X29" s="431">
        <v>46.5</v>
      </c>
      <c r="Y29" s="431">
        <v>44.5</v>
      </c>
      <c r="Z29" s="431">
        <v>41.5</v>
      </c>
      <c r="AA29" s="432">
        <v>39.5</v>
      </c>
    </row>
    <row r="30" spans="1:27" ht="17.100000000000001" customHeight="1">
      <c r="B30"/>
      <c r="C30" s="425">
        <v>26</v>
      </c>
      <c r="D30" s="431">
        <v>70.900000000000006</v>
      </c>
      <c r="E30" s="431">
        <v>69.900000000000006</v>
      </c>
      <c r="F30" s="431">
        <v>68.900000000000006</v>
      </c>
      <c r="G30" s="431">
        <v>67.900000000000006</v>
      </c>
      <c r="H30" s="431">
        <v>66.900000000000006</v>
      </c>
      <c r="I30" s="431">
        <v>65.900000000000006</v>
      </c>
      <c r="J30" s="431">
        <v>64.900000000000006</v>
      </c>
      <c r="K30" s="431">
        <v>63.9</v>
      </c>
      <c r="L30" s="431">
        <v>62.9</v>
      </c>
      <c r="M30" s="431">
        <v>61.9</v>
      </c>
      <c r="N30" s="431">
        <v>60.9</v>
      </c>
      <c r="O30" s="431">
        <v>59.9</v>
      </c>
      <c r="P30" s="431">
        <v>58.9</v>
      </c>
      <c r="Q30" s="431">
        <v>57.9</v>
      </c>
      <c r="R30" s="431">
        <v>56.9</v>
      </c>
      <c r="S30" s="431">
        <v>53.9</v>
      </c>
      <c r="T30" s="431">
        <v>52.9</v>
      </c>
      <c r="U30" s="431">
        <v>49.9</v>
      </c>
      <c r="V30" s="431">
        <v>48.9</v>
      </c>
      <c r="W30" s="431">
        <v>47.9</v>
      </c>
      <c r="X30" s="431">
        <v>45.9</v>
      </c>
      <c r="Y30" s="431">
        <v>43.9</v>
      </c>
      <c r="Z30" s="431">
        <v>40.9</v>
      </c>
      <c r="AA30" s="432">
        <v>38.9</v>
      </c>
    </row>
    <row r="31" spans="1:27" ht="17.100000000000001" customHeight="1">
      <c r="B31"/>
      <c r="C31" s="425">
        <v>27</v>
      </c>
      <c r="D31" s="431">
        <v>70.3</v>
      </c>
      <c r="E31" s="431">
        <v>69.3</v>
      </c>
      <c r="F31" s="431">
        <v>68.3</v>
      </c>
      <c r="G31" s="431">
        <v>67.3</v>
      </c>
      <c r="H31" s="431">
        <v>66.3</v>
      </c>
      <c r="I31" s="431">
        <v>65.3</v>
      </c>
      <c r="J31" s="431">
        <v>64.3</v>
      </c>
      <c r="K31" s="431">
        <v>63.3</v>
      </c>
      <c r="L31" s="431">
        <v>62.3</v>
      </c>
      <c r="M31" s="431">
        <v>61.3</v>
      </c>
      <c r="N31" s="431">
        <v>60.3</v>
      </c>
      <c r="O31" s="431">
        <v>59.3</v>
      </c>
      <c r="P31" s="431">
        <v>58.3</v>
      </c>
      <c r="Q31" s="431">
        <v>57.3</v>
      </c>
      <c r="R31" s="431">
        <v>56.3</v>
      </c>
      <c r="S31" s="431">
        <v>53.3</v>
      </c>
      <c r="T31" s="431">
        <v>52.3</v>
      </c>
      <c r="U31" s="431">
        <v>49.3</v>
      </c>
      <c r="V31" s="431">
        <v>48.3</v>
      </c>
      <c r="W31" s="431">
        <v>47.3</v>
      </c>
      <c r="X31" s="431">
        <v>45.3</v>
      </c>
      <c r="Y31" s="431">
        <v>43.3</v>
      </c>
      <c r="Z31" s="431">
        <v>40.299999999999997</v>
      </c>
      <c r="AA31" s="432">
        <v>38.299999999999997</v>
      </c>
    </row>
    <row r="32" spans="1:27" ht="17.100000000000001" customHeight="1">
      <c r="B32"/>
      <c r="C32" s="425">
        <v>28</v>
      </c>
      <c r="D32" s="431">
        <v>69.7</v>
      </c>
      <c r="E32" s="431">
        <v>68.7</v>
      </c>
      <c r="F32" s="431">
        <v>67.7</v>
      </c>
      <c r="G32" s="431">
        <v>66.7</v>
      </c>
      <c r="H32" s="431">
        <v>65.7</v>
      </c>
      <c r="I32" s="431">
        <v>64.7</v>
      </c>
      <c r="J32" s="431">
        <v>63.7</v>
      </c>
      <c r="K32" s="431">
        <v>62.7</v>
      </c>
      <c r="L32" s="431">
        <v>61.7</v>
      </c>
      <c r="M32" s="431">
        <v>60.7</v>
      </c>
      <c r="N32" s="431">
        <v>59.7</v>
      </c>
      <c r="O32" s="431">
        <v>58.7</v>
      </c>
      <c r="P32" s="431">
        <v>57.7</v>
      </c>
      <c r="Q32" s="431">
        <v>56.7</v>
      </c>
      <c r="R32" s="431">
        <v>55.7</v>
      </c>
      <c r="S32" s="431">
        <v>52.7</v>
      </c>
      <c r="T32" s="431">
        <v>51.7</v>
      </c>
      <c r="U32" s="431">
        <v>48.7</v>
      </c>
      <c r="V32" s="431">
        <v>47.7</v>
      </c>
      <c r="W32" s="431">
        <v>46.7</v>
      </c>
      <c r="X32" s="431">
        <v>44.7</v>
      </c>
      <c r="Y32" s="431">
        <v>42.7</v>
      </c>
      <c r="Z32" s="431">
        <v>39.700000000000003</v>
      </c>
      <c r="AA32" s="432">
        <v>37.700000000000003</v>
      </c>
    </row>
    <row r="33" spans="2:27" ht="17.100000000000001" customHeight="1">
      <c r="B33"/>
      <c r="C33" s="425">
        <v>29</v>
      </c>
      <c r="D33" s="431">
        <v>69.099999999999994</v>
      </c>
      <c r="E33" s="431">
        <v>68.099999999999994</v>
      </c>
      <c r="F33" s="431">
        <v>67.099999999999994</v>
      </c>
      <c r="G33" s="431">
        <v>66.099999999999994</v>
      </c>
      <c r="H33" s="431">
        <v>65.099999999999994</v>
      </c>
      <c r="I33" s="431">
        <v>64.099999999999994</v>
      </c>
      <c r="J33" s="431">
        <v>63.1</v>
      </c>
      <c r="K33" s="431">
        <v>62.1</v>
      </c>
      <c r="L33" s="431">
        <v>61.1</v>
      </c>
      <c r="M33" s="431">
        <v>60.1</v>
      </c>
      <c r="N33" s="431">
        <v>59.1</v>
      </c>
      <c r="O33" s="431">
        <v>58.1</v>
      </c>
      <c r="P33" s="431">
        <v>57.1</v>
      </c>
      <c r="Q33" s="431">
        <v>56.1</v>
      </c>
      <c r="R33" s="431">
        <v>55.1</v>
      </c>
      <c r="S33" s="431">
        <v>52.1</v>
      </c>
      <c r="T33" s="431">
        <v>51.1</v>
      </c>
      <c r="U33" s="431">
        <v>48.1</v>
      </c>
      <c r="V33" s="431">
        <v>47.1</v>
      </c>
      <c r="W33" s="431">
        <v>46.1</v>
      </c>
      <c r="X33" s="431">
        <v>44.1</v>
      </c>
      <c r="Y33" s="431">
        <v>42.1</v>
      </c>
      <c r="Z33" s="431">
        <v>39.1</v>
      </c>
      <c r="AA33" s="432">
        <v>37.1</v>
      </c>
    </row>
    <row r="34" spans="2:27" ht="17.100000000000001" customHeight="1">
      <c r="B34"/>
      <c r="C34" s="425">
        <v>30</v>
      </c>
      <c r="D34" s="431">
        <v>68.5</v>
      </c>
      <c r="E34" s="431">
        <v>67.5</v>
      </c>
      <c r="F34" s="431">
        <v>66.5</v>
      </c>
      <c r="G34" s="431">
        <v>65.5</v>
      </c>
      <c r="H34" s="431">
        <v>64.5</v>
      </c>
      <c r="I34" s="431">
        <v>63.5</v>
      </c>
      <c r="J34" s="431">
        <v>62.5</v>
      </c>
      <c r="K34" s="431">
        <v>61.5</v>
      </c>
      <c r="L34" s="431">
        <v>60.5</v>
      </c>
      <c r="M34" s="431">
        <v>59.5</v>
      </c>
      <c r="N34" s="431">
        <v>58.5</v>
      </c>
      <c r="O34" s="431">
        <v>57.5</v>
      </c>
      <c r="P34" s="431">
        <v>56.5</v>
      </c>
      <c r="Q34" s="431">
        <v>55.5</v>
      </c>
      <c r="R34" s="431">
        <v>54.5</v>
      </c>
      <c r="S34" s="431">
        <v>51.5</v>
      </c>
      <c r="T34" s="431">
        <v>50.5</v>
      </c>
      <c r="U34" s="431">
        <v>47.5</v>
      </c>
      <c r="V34" s="431">
        <v>46.5</v>
      </c>
      <c r="W34" s="431">
        <v>45.5</v>
      </c>
      <c r="X34" s="431">
        <v>43.5</v>
      </c>
      <c r="Y34" s="431">
        <v>41.5</v>
      </c>
      <c r="Z34" s="431">
        <v>38.5</v>
      </c>
      <c r="AA34" s="432">
        <v>36.5</v>
      </c>
    </row>
    <row r="35" spans="2:27" ht="17.100000000000001" customHeight="1">
      <c r="B35"/>
      <c r="C35" s="425">
        <v>31</v>
      </c>
      <c r="D35" s="431">
        <v>67.900000000000006</v>
      </c>
      <c r="E35" s="431">
        <v>66.900000000000006</v>
      </c>
      <c r="F35" s="431">
        <v>65.900000000000006</v>
      </c>
      <c r="G35" s="431">
        <v>64.900000000000006</v>
      </c>
      <c r="H35" s="431">
        <v>63.9</v>
      </c>
      <c r="I35" s="431">
        <v>62.9</v>
      </c>
      <c r="J35" s="431">
        <v>61.9</v>
      </c>
      <c r="K35" s="431">
        <v>60.9</v>
      </c>
      <c r="L35" s="431">
        <v>59.9</v>
      </c>
      <c r="M35" s="431">
        <v>58.9</v>
      </c>
      <c r="N35" s="431">
        <v>57.9</v>
      </c>
      <c r="O35" s="431">
        <v>56.9</v>
      </c>
      <c r="P35" s="431">
        <v>55.9</v>
      </c>
      <c r="Q35" s="431">
        <v>54.9</v>
      </c>
      <c r="R35" s="431">
        <v>53.9</v>
      </c>
      <c r="S35" s="431">
        <v>50.9</v>
      </c>
      <c r="T35" s="431">
        <v>49.9</v>
      </c>
      <c r="U35" s="431">
        <v>46.9</v>
      </c>
      <c r="V35" s="431">
        <v>45.9</v>
      </c>
      <c r="W35" s="431">
        <v>44.9</v>
      </c>
      <c r="X35" s="431">
        <v>42.9</v>
      </c>
      <c r="Y35" s="431">
        <v>40.9</v>
      </c>
      <c r="Z35" s="431">
        <v>37.9</v>
      </c>
      <c r="AA35" s="432">
        <v>35.9</v>
      </c>
    </row>
    <row r="36" spans="2:27" ht="17.100000000000001" customHeight="1">
      <c r="B36"/>
      <c r="C36" s="425">
        <v>32</v>
      </c>
      <c r="D36" s="431">
        <v>67.3</v>
      </c>
      <c r="E36" s="431">
        <v>66.3</v>
      </c>
      <c r="F36" s="431">
        <v>65.3</v>
      </c>
      <c r="G36" s="431">
        <v>64.3</v>
      </c>
      <c r="H36" s="431">
        <v>63.3</v>
      </c>
      <c r="I36" s="431">
        <v>62.3</v>
      </c>
      <c r="J36" s="431">
        <v>61.3</v>
      </c>
      <c r="K36" s="431">
        <v>60.3</v>
      </c>
      <c r="L36" s="431">
        <v>59.3</v>
      </c>
      <c r="M36" s="431">
        <v>58.3</v>
      </c>
      <c r="N36" s="431">
        <v>57.3</v>
      </c>
      <c r="O36" s="431">
        <v>56.3</v>
      </c>
      <c r="P36" s="431">
        <v>55.3</v>
      </c>
      <c r="Q36" s="431">
        <v>54.3</v>
      </c>
      <c r="R36" s="431">
        <v>53.3</v>
      </c>
      <c r="S36" s="431">
        <v>50.3</v>
      </c>
      <c r="T36" s="431">
        <v>49.3</v>
      </c>
      <c r="U36" s="431">
        <v>46.3</v>
      </c>
      <c r="V36" s="431">
        <v>45.3</v>
      </c>
      <c r="W36" s="431">
        <v>44.3</v>
      </c>
      <c r="X36" s="431">
        <v>42.3</v>
      </c>
      <c r="Y36" s="431">
        <v>40.299999999999997</v>
      </c>
      <c r="Z36" s="431">
        <v>37.299999999999997</v>
      </c>
      <c r="AA36" s="432">
        <v>35.299999999999997</v>
      </c>
    </row>
    <row r="37" spans="2:27" ht="17.100000000000001" customHeight="1">
      <c r="B37"/>
      <c r="C37" s="425">
        <v>33</v>
      </c>
      <c r="D37" s="431">
        <v>66.7</v>
      </c>
      <c r="E37" s="431">
        <v>65.7</v>
      </c>
      <c r="F37" s="431">
        <v>64.7</v>
      </c>
      <c r="G37" s="431">
        <v>63.7</v>
      </c>
      <c r="H37" s="431">
        <v>62.7</v>
      </c>
      <c r="I37" s="431">
        <v>61.7</v>
      </c>
      <c r="J37" s="431">
        <v>60.7</v>
      </c>
      <c r="K37" s="431">
        <v>59.7</v>
      </c>
      <c r="L37" s="431">
        <v>58.7</v>
      </c>
      <c r="M37" s="431">
        <v>57.7</v>
      </c>
      <c r="N37" s="431">
        <v>56.7</v>
      </c>
      <c r="O37" s="431">
        <v>55.7</v>
      </c>
      <c r="P37" s="431">
        <v>54.7</v>
      </c>
      <c r="Q37" s="431">
        <v>53.7</v>
      </c>
      <c r="R37" s="431">
        <v>52.7</v>
      </c>
      <c r="S37" s="431">
        <v>49.7</v>
      </c>
      <c r="T37" s="431">
        <v>48.7</v>
      </c>
      <c r="U37" s="431">
        <v>45.7</v>
      </c>
      <c r="V37" s="431">
        <v>44.7</v>
      </c>
      <c r="W37" s="431">
        <v>43.7</v>
      </c>
      <c r="X37" s="431">
        <v>41.7</v>
      </c>
      <c r="Y37" s="431">
        <v>39.700000000000003</v>
      </c>
      <c r="Z37" s="431">
        <v>36.700000000000003</v>
      </c>
      <c r="AA37" s="432">
        <v>34.700000000000003</v>
      </c>
    </row>
    <row r="38" spans="2:27" ht="17.100000000000001" customHeight="1">
      <c r="B38"/>
      <c r="C38" s="425">
        <v>34</v>
      </c>
      <c r="D38" s="431">
        <v>66.099999999999994</v>
      </c>
      <c r="E38" s="431">
        <v>65.099999999999994</v>
      </c>
      <c r="F38" s="431">
        <v>64.099999999999994</v>
      </c>
      <c r="G38" s="431">
        <v>63.1</v>
      </c>
      <c r="H38" s="431">
        <v>62.1</v>
      </c>
      <c r="I38" s="431">
        <v>61.1</v>
      </c>
      <c r="J38" s="431">
        <v>60.1</v>
      </c>
      <c r="K38" s="431">
        <v>59.1</v>
      </c>
      <c r="L38" s="431">
        <v>58.1</v>
      </c>
      <c r="M38" s="431">
        <v>57.1</v>
      </c>
      <c r="N38" s="431">
        <v>56.1</v>
      </c>
      <c r="O38" s="431">
        <v>55.1</v>
      </c>
      <c r="P38" s="431">
        <v>54.1</v>
      </c>
      <c r="Q38" s="431">
        <v>53.1</v>
      </c>
      <c r="R38" s="431">
        <v>52.1</v>
      </c>
      <c r="S38" s="431">
        <v>49.1</v>
      </c>
      <c r="T38" s="431">
        <v>48.1</v>
      </c>
      <c r="U38" s="431">
        <v>45.1</v>
      </c>
      <c r="V38" s="431">
        <v>44.1</v>
      </c>
      <c r="W38" s="431">
        <v>43.1</v>
      </c>
      <c r="X38" s="431">
        <v>41.1</v>
      </c>
      <c r="Y38" s="431">
        <v>39.1</v>
      </c>
      <c r="Z38" s="431">
        <v>36.1</v>
      </c>
      <c r="AA38" s="432">
        <v>34.1</v>
      </c>
    </row>
    <row r="39" spans="2:27" ht="17.100000000000001" customHeight="1">
      <c r="B39"/>
      <c r="C39" s="425">
        <v>35</v>
      </c>
      <c r="D39" s="431">
        <v>65.599999999999994</v>
      </c>
      <c r="E39" s="431">
        <v>64.599999999999994</v>
      </c>
      <c r="F39" s="431">
        <v>63.6</v>
      </c>
      <c r="G39" s="431">
        <v>62.5</v>
      </c>
      <c r="H39" s="431">
        <v>61.5</v>
      </c>
      <c r="I39" s="431">
        <v>60.5</v>
      </c>
      <c r="J39" s="431">
        <v>59.5</v>
      </c>
      <c r="K39" s="431">
        <v>58.6</v>
      </c>
      <c r="L39" s="431">
        <v>57.6</v>
      </c>
      <c r="M39" s="431">
        <v>56.6</v>
      </c>
      <c r="N39" s="431">
        <v>55.6</v>
      </c>
      <c r="O39" s="431">
        <v>54.6</v>
      </c>
      <c r="P39" s="431">
        <v>53.6</v>
      </c>
      <c r="Q39" s="431">
        <v>52.6</v>
      </c>
      <c r="R39" s="431">
        <v>51.6</v>
      </c>
      <c r="S39" s="431">
        <v>48.6</v>
      </c>
      <c r="T39" s="431">
        <v>47.6</v>
      </c>
      <c r="U39" s="431">
        <v>44.6</v>
      </c>
      <c r="V39" s="431">
        <v>43.6</v>
      </c>
      <c r="W39" s="431">
        <v>42.6</v>
      </c>
      <c r="X39" s="431">
        <v>40.6</v>
      </c>
      <c r="Y39" s="431">
        <v>38.6</v>
      </c>
      <c r="Z39" s="431">
        <v>35.6</v>
      </c>
      <c r="AA39" s="432">
        <v>33.6</v>
      </c>
    </row>
    <row r="40" spans="2:27" ht="17.100000000000001" customHeight="1">
      <c r="B40"/>
      <c r="C40" s="434">
        <v>36</v>
      </c>
      <c r="D40" s="435">
        <v>65</v>
      </c>
      <c r="E40" s="435">
        <v>64</v>
      </c>
      <c r="F40" s="435">
        <v>63</v>
      </c>
      <c r="G40" s="435">
        <v>62</v>
      </c>
      <c r="H40" s="435">
        <v>61</v>
      </c>
      <c r="I40" s="435">
        <v>60</v>
      </c>
      <c r="J40" s="435">
        <v>59</v>
      </c>
      <c r="K40" s="435">
        <v>58</v>
      </c>
      <c r="L40" s="435">
        <v>57</v>
      </c>
      <c r="M40" s="435">
        <v>56</v>
      </c>
      <c r="N40" s="435">
        <v>55</v>
      </c>
      <c r="O40" s="435">
        <v>54</v>
      </c>
      <c r="P40" s="435">
        <v>53</v>
      </c>
      <c r="Q40" s="435">
        <v>52</v>
      </c>
      <c r="R40" s="435">
        <v>51</v>
      </c>
      <c r="S40" s="435">
        <v>48</v>
      </c>
      <c r="T40" s="435">
        <v>47</v>
      </c>
      <c r="U40" s="435">
        <v>44</v>
      </c>
      <c r="V40" s="435">
        <v>43</v>
      </c>
      <c r="W40" s="435">
        <v>42</v>
      </c>
      <c r="X40" s="435">
        <v>40</v>
      </c>
      <c r="Y40" s="435">
        <v>38</v>
      </c>
      <c r="Z40" s="435">
        <v>35</v>
      </c>
      <c r="AA40" s="436">
        <v>33</v>
      </c>
    </row>
    <row r="41" spans="2:27" ht="17.100000000000001" customHeight="1">
      <c r="B41"/>
      <c r="C41" s="422">
        <v>37</v>
      </c>
      <c r="D41" s="431">
        <v>64.3</v>
      </c>
      <c r="E41" s="431">
        <v>63.3</v>
      </c>
      <c r="F41" s="431">
        <v>62.3</v>
      </c>
      <c r="G41" s="431">
        <v>61.3</v>
      </c>
      <c r="H41" s="431">
        <v>60.3</v>
      </c>
      <c r="I41" s="431">
        <v>59.3</v>
      </c>
      <c r="J41" s="431">
        <v>58.3</v>
      </c>
      <c r="K41" s="431">
        <v>57.3</v>
      </c>
      <c r="L41" s="431">
        <v>56.3</v>
      </c>
      <c r="M41" s="431">
        <v>55.3</v>
      </c>
      <c r="N41" s="431">
        <v>54.3</v>
      </c>
      <c r="O41" s="431">
        <v>53.3</v>
      </c>
      <c r="P41" s="431">
        <v>52.3</v>
      </c>
      <c r="Q41" s="431">
        <v>51.3</v>
      </c>
      <c r="R41" s="431">
        <v>50.3</v>
      </c>
      <c r="S41" s="431">
        <v>47.3</v>
      </c>
      <c r="T41" s="431">
        <v>46.3</v>
      </c>
      <c r="U41" s="431">
        <v>43.3</v>
      </c>
      <c r="V41" s="431">
        <v>42.3</v>
      </c>
      <c r="W41" s="431">
        <v>41.3</v>
      </c>
      <c r="X41" s="431">
        <v>39.299999999999997</v>
      </c>
      <c r="Y41" s="431">
        <v>37.299999999999997</v>
      </c>
      <c r="Z41" s="431">
        <v>34.299999999999997</v>
      </c>
      <c r="AA41" s="432">
        <v>32.299999999999997</v>
      </c>
    </row>
    <row r="42" spans="2:27" ht="17.100000000000001" customHeight="1">
      <c r="B42"/>
      <c r="C42" s="425">
        <v>38</v>
      </c>
      <c r="D42" s="431">
        <v>63.6</v>
      </c>
      <c r="E42" s="431">
        <v>62.6</v>
      </c>
      <c r="F42" s="431">
        <v>61.6</v>
      </c>
      <c r="G42" s="431">
        <v>60.6</v>
      </c>
      <c r="H42" s="431">
        <v>59.6</v>
      </c>
      <c r="I42" s="431">
        <v>58.6</v>
      </c>
      <c r="J42" s="431">
        <v>57.6</v>
      </c>
      <c r="K42" s="431">
        <v>56.6</v>
      </c>
      <c r="L42" s="431">
        <v>55.6</v>
      </c>
      <c r="M42" s="431">
        <v>54.6</v>
      </c>
      <c r="N42" s="431">
        <v>53.6</v>
      </c>
      <c r="O42" s="431">
        <v>52.6</v>
      </c>
      <c r="P42" s="431">
        <v>51.6</v>
      </c>
      <c r="Q42" s="431">
        <v>50.6</v>
      </c>
      <c r="R42" s="431">
        <v>49.6</v>
      </c>
      <c r="S42" s="431">
        <v>46.6</v>
      </c>
      <c r="T42" s="431">
        <v>45.6</v>
      </c>
      <c r="U42" s="431">
        <v>42.6</v>
      </c>
      <c r="V42" s="431">
        <v>41.6</v>
      </c>
      <c r="W42" s="431">
        <v>40.6</v>
      </c>
      <c r="X42" s="431">
        <v>38.6</v>
      </c>
      <c r="Y42" s="431">
        <v>36.6</v>
      </c>
      <c r="Z42" s="431">
        <v>33.6</v>
      </c>
      <c r="AA42" s="432">
        <v>31.6</v>
      </c>
    </row>
    <row r="43" spans="2:27" ht="17.100000000000001" customHeight="1">
      <c r="B43"/>
      <c r="C43" s="425">
        <v>39</v>
      </c>
      <c r="D43" s="431">
        <v>63</v>
      </c>
      <c r="E43" s="431">
        <v>62</v>
      </c>
      <c r="F43" s="431">
        <v>61</v>
      </c>
      <c r="G43" s="431">
        <v>60</v>
      </c>
      <c r="H43" s="431">
        <v>59</v>
      </c>
      <c r="I43" s="431">
        <v>58</v>
      </c>
      <c r="J43" s="431">
        <v>57</v>
      </c>
      <c r="K43" s="431">
        <v>56</v>
      </c>
      <c r="L43" s="431">
        <v>55</v>
      </c>
      <c r="M43" s="431">
        <v>54</v>
      </c>
      <c r="N43" s="431">
        <v>53</v>
      </c>
      <c r="O43" s="431">
        <v>52</v>
      </c>
      <c r="P43" s="431">
        <v>51</v>
      </c>
      <c r="Q43" s="431">
        <v>50</v>
      </c>
      <c r="R43" s="431">
        <v>49</v>
      </c>
      <c r="S43" s="431">
        <v>46</v>
      </c>
      <c r="T43" s="431">
        <v>45</v>
      </c>
      <c r="U43" s="431">
        <v>42</v>
      </c>
      <c r="V43" s="431">
        <v>41</v>
      </c>
      <c r="W43" s="431">
        <v>40</v>
      </c>
      <c r="X43" s="431">
        <v>38</v>
      </c>
      <c r="Y43" s="431">
        <v>36</v>
      </c>
      <c r="Z43" s="431">
        <v>33</v>
      </c>
      <c r="AA43" s="432">
        <v>31</v>
      </c>
    </row>
    <row r="44" spans="2:27" ht="17.100000000000001" customHeight="1">
      <c r="B44"/>
      <c r="C44" s="425">
        <v>40</v>
      </c>
      <c r="D44" s="431">
        <v>62.3</v>
      </c>
      <c r="E44" s="431">
        <v>61.3</v>
      </c>
      <c r="F44" s="431">
        <v>60.3</v>
      </c>
      <c r="G44" s="431">
        <v>59.3</v>
      </c>
      <c r="H44" s="431">
        <v>58.3</v>
      </c>
      <c r="I44" s="431">
        <v>57.3</v>
      </c>
      <c r="J44" s="431">
        <v>56.3</v>
      </c>
      <c r="K44" s="431">
        <v>55.3</v>
      </c>
      <c r="L44" s="431">
        <v>54.3</v>
      </c>
      <c r="M44" s="431">
        <v>53.3</v>
      </c>
      <c r="N44" s="431">
        <v>52.3</v>
      </c>
      <c r="O44" s="431">
        <v>51.3</v>
      </c>
      <c r="P44" s="431">
        <v>50.3</v>
      </c>
      <c r="Q44" s="431">
        <v>49.3</v>
      </c>
      <c r="R44" s="431">
        <v>48.3</v>
      </c>
      <c r="S44" s="431">
        <v>45.3</v>
      </c>
      <c r="T44" s="431">
        <v>44.3</v>
      </c>
      <c r="U44" s="431">
        <v>41.3</v>
      </c>
      <c r="V44" s="431">
        <v>40.299999999999997</v>
      </c>
      <c r="W44" s="431">
        <v>39.299999999999997</v>
      </c>
      <c r="X44" s="431">
        <v>37.299999999999997</v>
      </c>
      <c r="Y44" s="431">
        <v>35.299999999999997</v>
      </c>
      <c r="Z44" s="431">
        <v>32.299999999999997</v>
      </c>
      <c r="AA44" s="432">
        <v>30.3</v>
      </c>
    </row>
    <row r="45" spans="2:27" ht="17.100000000000001" customHeight="1">
      <c r="B45"/>
      <c r="C45" s="425">
        <v>41</v>
      </c>
      <c r="D45" s="431">
        <v>61.7</v>
      </c>
      <c r="E45" s="431">
        <v>60.7</v>
      </c>
      <c r="F45" s="431">
        <v>59.7</v>
      </c>
      <c r="G45" s="431">
        <v>58.7</v>
      </c>
      <c r="H45" s="431">
        <v>57.7</v>
      </c>
      <c r="I45" s="431">
        <v>56.7</v>
      </c>
      <c r="J45" s="431">
        <v>55.7</v>
      </c>
      <c r="K45" s="431">
        <v>54.7</v>
      </c>
      <c r="L45" s="431">
        <v>53.7</v>
      </c>
      <c r="M45" s="431">
        <v>52.7</v>
      </c>
      <c r="N45" s="431">
        <v>51.7</v>
      </c>
      <c r="O45" s="431">
        <v>50.7</v>
      </c>
      <c r="P45" s="431">
        <v>49.7</v>
      </c>
      <c r="Q45" s="431">
        <v>48.7</v>
      </c>
      <c r="R45" s="431">
        <v>47.7</v>
      </c>
      <c r="S45" s="431">
        <v>44.7</v>
      </c>
      <c r="T45" s="431">
        <v>43.7</v>
      </c>
      <c r="U45" s="431">
        <v>40.700000000000003</v>
      </c>
      <c r="V45" s="431">
        <v>39.700000000000003</v>
      </c>
      <c r="W45" s="431">
        <v>38.700000000000003</v>
      </c>
      <c r="X45" s="431">
        <v>36.700000000000003</v>
      </c>
      <c r="Y45" s="431">
        <v>34.700000000000003</v>
      </c>
      <c r="Z45" s="431">
        <v>31.7</v>
      </c>
      <c r="AA45" s="432">
        <v>29.7</v>
      </c>
    </row>
    <row r="46" spans="2:27" ht="17.100000000000001" customHeight="1">
      <c r="B46"/>
      <c r="C46" s="425">
        <v>42</v>
      </c>
      <c r="D46" s="431">
        <v>61</v>
      </c>
      <c r="E46" s="431">
        <v>60</v>
      </c>
      <c r="F46" s="431">
        <v>59</v>
      </c>
      <c r="G46" s="431">
        <v>58</v>
      </c>
      <c r="H46" s="431">
        <v>57</v>
      </c>
      <c r="I46" s="431">
        <v>56</v>
      </c>
      <c r="J46" s="431">
        <v>55</v>
      </c>
      <c r="K46" s="431">
        <v>54</v>
      </c>
      <c r="L46" s="431">
        <v>53</v>
      </c>
      <c r="M46" s="431">
        <v>52</v>
      </c>
      <c r="N46" s="431">
        <v>51</v>
      </c>
      <c r="O46" s="431">
        <v>50</v>
      </c>
      <c r="P46" s="431">
        <v>49</v>
      </c>
      <c r="Q46" s="431">
        <v>48</v>
      </c>
      <c r="R46" s="431">
        <v>47</v>
      </c>
      <c r="S46" s="431">
        <v>44</v>
      </c>
      <c r="T46" s="431">
        <v>43</v>
      </c>
      <c r="U46" s="431">
        <v>40</v>
      </c>
      <c r="V46" s="431">
        <v>39</v>
      </c>
      <c r="W46" s="431">
        <v>38</v>
      </c>
      <c r="X46" s="431">
        <v>36</v>
      </c>
      <c r="Y46" s="431">
        <v>34</v>
      </c>
      <c r="Z46" s="431">
        <v>31</v>
      </c>
      <c r="AA46" s="432">
        <v>29</v>
      </c>
    </row>
    <row r="47" spans="2:27" ht="17.100000000000001" customHeight="1">
      <c r="B47"/>
      <c r="C47" s="425">
        <v>43</v>
      </c>
      <c r="D47" s="431">
        <v>60.3</v>
      </c>
      <c r="E47" s="431">
        <v>59.3</v>
      </c>
      <c r="F47" s="431">
        <v>58.3</v>
      </c>
      <c r="G47" s="431">
        <v>57.3</v>
      </c>
      <c r="H47" s="431">
        <v>56.3</v>
      </c>
      <c r="I47" s="431">
        <v>55.3</v>
      </c>
      <c r="J47" s="431">
        <v>54.3</v>
      </c>
      <c r="K47" s="431">
        <v>53.3</v>
      </c>
      <c r="L47" s="431">
        <v>52.3</v>
      </c>
      <c r="M47" s="431">
        <v>51.3</v>
      </c>
      <c r="N47" s="431">
        <v>50.3</v>
      </c>
      <c r="O47" s="431">
        <v>49.3</v>
      </c>
      <c r="P47" s="431">
        <v>48.3</v>
      </c>
      <c r="Q47" s="431">
        <v>47.3</v>
      </c>
      <c r="R47" s="431">
        <v>46.3</v>
      </c>
      <c r="S47" s="431">
        <v>43.3</v>
      </c>
      <c r="T47" s="431">
        <v>42.3</v>
      </c>
      <c r="U47" s="431">
        <v>39.299999999999997</v>
      </c>
      <c r="V47" s="431">
        <v>38.299999999999997</v>
      </c>
      <c r="W47" s="431">
        <v>37.299999999999997</v>
      </c>
      <c r="X47" s="431">
        <v>35.299999999999997</v>
      </c>
      <c r="Y47" s="431">
        <v>33.299999999999997</v>
      </c>
      <c r="Z47" s="431">
        <v>30.3</v>
      </c>
      <c r="AA47" s="432">
        <v>28.3</v>
      </c>
    </row>
    <row r="48" spans="2:27" ht="17.100000000000001" customHeight="1">
      <c r="B48"/>
      <c r="C48" s="425">
        <v>44</v>
      </c>
      <c r="D48" s="431">
        <v>59.7</v>
      </c>
      <c r="E48" s="431">
        <v>58.7</v>
      </c>
      <c r="F48" s="431">
        <v>57.7</v>
      </c>
      <c r="G48" s="431">
        <v>56.7</v>
      </c>
      <c r="H48" s="431">
        <v>55.7</v>
      </c>
      <c r="I48" s="431">
        <v>54.7</v>
      </c>
      <c r="J48" s="431">
        <v>53.7</v>
      </c>
      <c r="K48" s="431">
        <v>52.7</v>
      </c>
      <c r="L48" s="431">
        <v>51.7</v>
      </c>
      <c r="M48" s="431">
        <v>50.7</v>
      </c>
      <c r="N48" s="431">
        <v>49.7</v>
      </c>
      <c r="O48" s="431">
        <v>48.7</v>
      </c>
      <c r="P48" s="431">
        <v>47.7</v>
      </c>
      <c r="Q48" s="431">
        <v>46.7</v>
      </c>
      <c r="R48" s="431">
        <v>45.7</v>
      </c>
      <c r="S48" s="431">
        <v>42.7</v>
      </c>
      <c r="T48" s="431">
        <v>41.7</v>
      </c>
      <c r="U48" s="431">
        <v>38.700000000000003</v>
      </c>
      <c r="V48" s="431">
        <v>37.700000000000003</v>
      </c>
      <c r="W48" s="431">
        <v>36.700000000000003</v>
      </c>
      <c r="X48" s="431">
        <v>34.700000000000003</v>
      </c>
      <c r="Y48" s="431">
        <v>32.700000000000003</v>
      </c>
      <c r="Z48" s="431">
        <v>29.7</v>
      </c>
      <c r="AA48" s="432">
        <v>27.7</v>
      </c>
    </row>
    <row r="49" spans="2:27" ht="17.100000000000001" customHeight="1">
      <c r="B49"/>
      <c r="C49" s="425">
        <v>45</v>
      </c>
      <c r="D49" s="431">
        <v>59</v>
      </c>
      <c r="E49" s="431">
        <v>58</v>
      </c>
      <c r="F49" s="431">
        <v>57</v>
      </c>
      <c r="G49" s="431">
        <v>56</v>
      </c>
      <c r="H49" s="431">
        <v>55</v>
      </c>
      <c r="I49" s="431">
        <v>54</v>
      </c>
      <c r="J49" s="431">
        <v>53</v>
      </c>
      <c r="K49" s="431">
        <v>52</v>
      </c>
      <c r="L49" s="431">
        <v>51</v>
      </c>
      <c r="M49" s="431">
        <v>50</v>
      </c>
      <c r="N49" s="431">
        <v>49</v>
      </c>
      <c r="O49" s="431">
        <v>48</v>
      </c>
      <c r="P49" s="431">
        <v>47</v>
      </c>
      <c r="Q49" s="431">
        <v>46</v>
      </c>
      <c r="R49" s="431">
        <v>45</v>
      </c>
      <c r="S49" s="431">
        <v>42</v>
      </c>
      <c r="T49" s="431">
        <v>41</v>
      </c>
      <c r="U49" s="431">
        <v>38</v>
      </c>
      <c r="V49" s="431">
        <v>37</v>
      </c>
      <c r="W49" s="431">
        <v>36</v>
      </c>
      <c r="X49" s="431">
        <v>34</v>
      </c>
      <c r="Y49" s="431">
        <v>32</v>
      </c>
      <c r="Z49" s="431">
        <v>29</v>
      </c>
      <c r="AA49" s="432">
        <v>27</v>
      </c>
    </row>
    <row r="50" spans="2:27" ht="17.100000000000001" customHeight="1">
      <c r="B50"/>
      <c r="C50" s="425">
        <v>46</v>
      </c>
      <c r="D50" s="431">
        <v>58.4</v>
      </c>
      <c r="E50" s="431">
        <v>57.4</v>
      </c>
      <c r="F50" s="431">
        <v>56.4</v>
      </c>
      <c r="G50" s="431">
        <v>55.4</v>
      </c>
      <c r="H50" s="431">
        <v>54.4</v>
      </c>
      <c r="I50" s="431">
        <v>53.4</v>
      </c>
      <c r="J50" s="431">
        <v>52.4</v>
      </c>
      <c r="K50" s="431">
        <v>51.4</v>
      </c>
      <c r="L50" s="431">
        <v>50.4</v>
      </c>
      <c r="M50" s="431">
        <v>49.4</v>
      </c>
      <c r="N50" s="431">
        <v>48.4</v>
      </c>
      <c r="O50" s="431">
        <v>47.4</v>
      </c>
      <c r="P50" s="431">
        <v>46.4</v>
      </c>
      <c r="Q50" s="431">
        <v>45.4</v>
      </c>
      <c r="R50" s="431">
        <v>44.4</v>
      </c>
      <c r="S50" s="431">
        <v>41.4</v>
      </c>
      <c r="T50" s="431">
        <v>40.4</v>
      </c>
      <c r="U50" s="431">
        <v>37.4</v>
      </c>
      <c r="V50" s="431">
        <v>36.4</v>
      </c>
      <c r="W50" s="431">
        <v>35.4</v>
      </c>
      <c r="X50" s="431">
        <v>33.4</v>
      </c>
      <c r="Y50" s="431">
        <v>31.4</v>
      </c>
      <c r="Z50" s="431">
        <v>28.4</v>
      </c>
      <c r="AA50" s="432">
        <v>26.4</v>
      </c>
    </row>
    <row r="51" spans="2:27" ht="17.100000000000001" customHeight="1">
      <c r="B51"/>
      <c r="C51" s="425">
        <v>47</v>
      </c>
      <c r="D51" s="431">
        <v>57.7</v>
      </c>
      <c r="E51" s="431">
        <v>56.7</v>
      </c>
      <c r="F51" s="431">
        <v>55.7</v>
      </c>
      <c r="G51" s="431">
        <v>54.7</v>
      </c>
      <c r="H51" s="431">
        <v>53.7</v>
      </c>
      <c r="I51" s="431">
        <v>52.7</v>
      </c>
      <c r="J51" s="431">
        <v>51.7</v>
      </c>
      <c r="K51" s="431">
        <v>50.7</v>
      </c>
      <c r="L51" s="431">
        <v>49.7</v>
      </c>
      <c r="M51" s="431">
        <v>48.7</v>
      </c>
      <c r="N51" s="431">
        <v>47.7</v>
      </c>
      <c r="O51" s="431">
        <v>46.7</v>
      </c>
      <c r="P51" s="431">
        <v>45.7</v>
      </c>
      <c r="Q51" s="431">
        <v>44.7</v>
      </c>
      <c r="R51" s="431">
        <v>43.7</v>
      </c>
      <c r="S51" s="431">
        <v>40.700000000000003</v>
      </c>
      <c r="T51" s="431">
        <v>39.700000000000003</v>
      </c>
      <c r="U51" s="431">
        <v>36.700000000000003</v>
      </c>
      <c r="V51" s="431">
        <v>35.700000000000003</v>
      </c>
      <c r="W51" s="431">
        <v>34.700000000000003</v>
      </c>
      <c r="X51" s="431">
        <v>32.700000000000003</v>
      </c>
      <c r="Y51" s="431">
        <v>30.7</v>
      </c>
      <c r="Z51" s="431">
        <v>27.7</v>
      </c>
      <c r="AA51" s="432">
        <v>25.7</v>
      </c>
    </row>
    <row r="52" spans="2:27" ht="17.100000000000001" customHeight="1">
      <c r="B52"/>
      <c r="C52" s="437">
        <v>48</v>
      </c>
      <c r="D52" s="438">
        <v>57</v>
      </c>
      <c r="E52" s="438">
        <v>56</v>
      </c>
      <c r="F52" s="438">
        <v>55</v>
      </c>
      <c r="G52" s="438">
        <v>54</v>
      </c>
      <c r="H52" s="438">
        <v>53</v>
      </c>
      <c r="I52" s="438">
        <v>52</v>
      </c>
      <c r="J52" s="438">
        <v>51</v>
      </c>
      <c r="K52" s="438">
        <v>50</v>
      </c>
      <c r="L52" s="438">
        <v>49</v>
      </c>
      <c r="M52" s="438">
        <v>48</v>
      </c>
      <c r="N52" s="438">
        <v>47</v>
      </c>
      <c r="O52" s="438">
        <v>46</v>
      </c>
      <c r="P52" s="438">
        <v>45</v>
      </c>
      <c r="Q52" s="438">
        <v>44</v>
      </c>
      <c r="R52" s="438">
        <v>43</v>
      </c>
      <c r="S52" s="438">
        <v>40</v>
      </c>
      <c r="T52" s="438">
        <v>39</v>
      </c>
      <c r="U52" s="438">
        <v>36</v>
      </c>
      <c r="V52" s="438">
        <v>35</v>
      </c>
      <c r="W52" s="438">
        <v>34</v>
      </c>
      <c r="X52" s="438">
        <v>32</v>
      </c>
      <c r="Y52" s="438">
        <v>30</v>
      </c>
      <c r="Z52" s="438">
        <v>27</v>
      </c>
      <c r="AA52" s="439">
        <v>25</v>
      </c>
    </row>
    <row r="53" spans="2:27" ht="17.100000000000001" customHeight="1">
      <c r="B53"/>
      <c r="C53" s="422">
        <v>49</v>
      </c>
      <c r="D53" s="431">
        <v>56.4</v>
      </c>
      <c r="E53" s="431">
        <v>55.4</v>
      </c>
      <c r="F53" s="431">
        <v>54.4</v>
      </c>
      <c r="G53" s="431">
        <v>53.4</v>
      </c>
      <c r="H53" s="431">
        <v>52.4</v>
      </c>
      <c r="I53" s="431">
        <v>51.4</v>
      </c>
      <c r="J53" s="431">
        <v>50.4</v>
      </c>
      <c r="K53" s="431">
        <v>49.4</v>
      </c>
      <c r="L53" s="431">
        <v>48.4</v>
      </c>
      <c r="M53" s="431">
        <v>47.4</v>
      </c>
      <c r="N53" s="431">
        <v>46.4</v>
      </c>
      <c r="O53" s="431">
        <v>45.4</v>
      </c>
      <c r="P53" s="431">
        <v>44.4</v>
      </c>
      <c r="Q53" s="431">
        <v>43.4</v>
      </c>
      <c r="R53" s="431">
        <v>42.4</v>
      </c>
      <c r="S53" s="431">
        <v>39.4</v>
      </c>
      <c r="T53" s="431">
        <v>38.4</v>
      </c>
      <c r="U53" s="431">
        <v>35.4</v>
      </c>
      <c r="V53" s="431">
        <v>34.4</v>
      </c>
      <c r="W53" s="431">
        <v>33.4</v>
      </c>
      <c r="X53" s="431">
        <v>31.4</v>
      </c>
      <c r="Y53" s="431">
        <v>29.4</v>
      </c>
      <c r="Z53" s="431">
        <v>26.4</v>
      </c>
      <c r="AA53" s="432">
        <v>24.4</v>
      </c>
    </row>
    <row r="54" spans="2:27" ht="17.100000000000001" customHeight="1">
      <c r="B54"/>
      <c r="C54" s="425">
        <v>50</v>
      </c>
      <c r="D54" s="431">
        <v>55.7</v>
      </c>
      <c r="E54" s="431">
        <v>54.7</v>
      </c>
      <c r="F54" s="431">
        <v>53.7</v>
      </c>
      <c r="G54" s="431">
        <v>52.7</v>
      </c>
      <c r="H54" s="431">
        <v>51.7</v>
      </c>
      <c r="I54" s="431">
        <v>50.7</v>
      </c>
      <c r="J54" s="431">
        <v>49.7</v>
      </c>
      <c r="K54" s="431">
        <v>48.7</v>
      </c>
      <c r="L54" s="431">
        <v>47.7</v>
      </c>
      <c r="M54" s="431">
        <v>46.7</v>
      </c>
      <c r="N54" s="431">
        <v>45.7</v>
      </c>
      <c r="O54" s="431">
        <v>44.7</v>
      </c>
      <c r="P54" s="431">
        <v>43.7</v>
      </c>
      <c r="Q54" s="431">
        <v>42.7</v>
      </c>
      <c r="R54" s="431">
        <v>41.7</v>
      </c>
      <c r="S54" s="431">
        <v>38.700000000000003</v>
      </c>
      <c r="T54" s="431">
        <v>37.700000000000003</v>
      </c>
      <c r="U54" s="431">
        <v>34.700000000000003</v>
      </c>
      <c r="V54" s="431">
        <v>33.700000000000003</v>
      </c>
      <c r="W54" s="431">
        <v>32.700000000000003</v>
      </c>
      <c r="X54" s="431">
        <v>30.7</v>
      </c>
      <c r="Y54" s="431">
        <v>28.7</v>
      </c>
      <c r="Z54" s="431">
        <v>25.7</v>
      </c>
      <c r="AA54" s="432">
        <v>23.7</v>
      </c>
    </row>
    <row r="55" spans="2:27" ht="17.100000000000001" customHeight="1">
      <c r="B55"/>
      <c r="C55" s="425">
        <v>51</v>
      </c>
      <c r="D55" s="431">
        <v>55</v>
      </c>
      <c r="E55" s="431">
        <v>54</v>
      </c>
      <c r="F55" s="431">
        <v>53</v>
      </c>
      <c r="G55" s="431">
        <v>52</v>
      </c>
      <c r="H55" s="431">
        <v>51</v>
      </c>
      <c r="I55" s="431">
        <v>50</v>
      </c>
      <c r="J55" s="431">
        <v>49</v>
      </c>
      <c r="K55" s="431">
        <v>48</v>
      </c>
      <c r="L55" s="431">
        <v>47</v>
      </c>
      <c r="M55" s="431">
        <v>46</v>
      </c>
      <c r="N55" s="431">
        <v>45</v>
      </c>
      <c r="O55" s="431">
        <v>44</v>
      </c>
      <c r="P55" s="431">
        <v>43</v>
      </c>
      <c r="Q55" s="431">
        <v>42</v>
      </c>
      <c r="R55" s="431">
        <v>41</v>
      </c>
      <c r="S55" s="431">
        <v>38</v>
      </c>
      <c r="T55" s="431">
        <v>37</v>
      </c>
      <c r="U55" s="431">
        <v>34</v>
      </c>
      <c r="V55" s="431">
        <v>33</v>
      </c>
      <c r="W55" s="431">
        <v>32</v>
      </c>
      <c r="X55" s="431">
        <v>30</v>
      </c>
      <c r="Y55" s="431">
        <v>28</v>
      </c>
      <c r="Z55" s="431">
        <v>25</v>
      </c>
      <c r="AA55" s="432">
        <v>23</v>
      </c>
    </row>
    <row r="56" spans="2:27" ht="17.100000000000001" customHeight="1">
      <c r="B56"/>
      <c r="C56" s="425">
        <v>52</v>
      </c>
      <c r="D56" s="431">
        <v>54.4</v>
      </c>
      <c r="E56" s="431">
        <v>53.4</v>
      </c>
      <c r="F56" s="431">
        <v>52.4</v>
      </c>
      <c r="G56" s="431">
        <v>51.4</v>
      </c>
      <c r="H56" s="431">
        <v>50.4</v>
      </c>
      <c r="I56" s="431">
        <v>49.4</v>
      </c>
      <c r="J56" s="431">
        <v>48.4</v>
      </c>
      <c r="K56" s="431">
        <v>47.4</v>
      </c>
      <c r="L56" s="431">
        <v>46.4</v>
      </c>
      <c r="M56" s="431">
        <v>45.4</v>
      </c>
      <c r="N56" s="431">
        <v>44.4</v>
      </c>
      <c r="O56" s="431">
        <v>43.4</v>
      </c>
      <c r="P56" s="431">
        <v>42.4</v>
      </c>
      <c r="Q56" s="431">
        <v>41.4</v>
      </c>
      <c r="R56" s="431">
        <v>40.4</v>
      </c>
      <c r="S56" s="431">
        <v>37.4</v>
      </c>
      <c r="T56" s="431">
        <v>36.4</v>
      </c>
      <c r="U56" s="431">
        <v>33.4</v>
      </c>
      <c r="V56" s="431">
        <v>32.4</v>
      </c>
      <c r="W56" s="431">
        <v>31.4</v>
      </c>
      <c r="X56" s="431">
        <v>29.4</v>
      </c>
      <c r="Y56" s="431">
        <v>27.4</v>
      </c>
      <c r="Z56" s="431">
        <v>24.4</v>
      </c>
      <c r="AA56" s="432">
        <v>22.4</v>
      </c>
    </row>
    <row r="57" spans="2:27" ht="17.100000000000001" customHeight="1">
      <c r="B57"/>
      <c r="C57" s="425">
        <v>53</v>
      </c>
      <c r="D57" s="431">
        <v>53.7</v>
      </c>
      <c r="E57" s="431">
        <v>52.7</v>
      </c>
      <c r="F57" s="431">
        <v>51.7</v>
      </c>
      <c r="G57" s="431">
        <v>50.7</v>
      </c>
      <c r="H57" s="431">
        <v>49.7</v>
      </c>
      <c r="I57" s="431">
        <v>48.7</v>
      </c>
      <c r="J57" s="431">
        <v>47.7</v>
      </c>
      <c r="K57" s="431">
        <v>46.7</v>
      </c>
      <c r="L57" s="431">
        <v>45.7</v>
      </c>
      <c r="M57" s="431">
        <v>44.7</v>
      </c>
      <c r="N57" s="431">
        <v>43.7</v>
      </c>
      <c r="O57" s="431">
        <v>42.7</v>
      </c>
      <c r="P57" s="431">
        <v>41.7</v>
      </c>
      <c r="Q57" s="431">
        <v>40.700000000000003</v>
      </c>
      <c r="R57" s="431">
        <v>39.700000000000003</v>
      </c>
      <c r="S57" s="431">
        <v>36.700000000000003</v>
      </c>
      <c r="T57" s="431">
        <v>35.700000000000003</v>
      </c>
      <c r="U57" s="431">
        <v>32.700000000000003</v>
      </c>
      <c r="V57" s="431">
        <v>31.7</v>
      </c>
      <c r="W57" s="431">
        <v>30.7</v>
      </c>
      <c r="X57" s="431">
        <v>28.7</v>
      </c>
      <c r="Y57" s="431">
        <v>26.7</v>
      </c>
      <c r="Z57" s="431">
        <v>23.7</v>
      </c>
      <c r="AA57" s="432">
        <v>21.7</v>
      </c>
    </row>
    <row r="58" spans="2:27" ht="17.100000000000001" customHeight="1">
      <c r="B58"/>
      <c r="C58" s="425">
        <v>54</v>
      </c>
      <c r="D58" s="431">
        <v>53</v>
      </c>
      <c r="E58" s="431">
        <v>52</v>
      </c>
      <c r="F58" s="431">
        <v>51</v>
      </c>
      <c r="G58" s="431">
        <v>50</v>
      </c>
      <c r="H58" s="431">
        <v>49</v>
      </c>
      <c r="I58" s="431">
        <v>48</v>
      </c>
      <c r="J58" s="431">
        <v>47</v>
      </c>
      <c r="K58" s="431">
        <v>46</v>
      </c>
      <c r="L58" s="431">
        <v>45</v>
      </c>
      <c r="M58" s="431">
        <v>44</v>
      </c>
      <c r="N58" s="431">
        <v>43</v>
      </c>
      <c r="O58" s="431">
        <v>42</v>
      </c>
      <c r="P58" s="431">
        <v>41</v>
      </c>
      <c r="Q58" s="431">
        <v>40</v>
      </c>
      <c r="R58" s="431">
        <v>39</v>
      </c>
      <c r="S58" s="431">
        <v>36</v>
      </c>
      <c r="T58" s="431">
        <v>35</v>
      </c>
      <c r="U58" s="431">
        <v>32</v>
      </c>
      <c r="V58" s="431">
        <v>31</v>
      </c>
      <c r="W58" s="431">
        <v>30</v>
      </c>
      <c r="X58" s="431">
        <v>28</v>
      </c>
      <c r="Y58" s="431">
        <v>26</v>
      </c>
      <c r="Z58" s="431">
        <v>23</v>
      </c>
      <c r="AA58" s="432">
        <v>21</v>
      </c>
    </row>
    <row r="59" spans="2:27" s="76" customFormat="1" ht="17.100000000000001" customHeight="1">
      <c r="B59"/>
      <c r="C59" s="440">
        <v>55</v>
      </c>
      <c r="D59" s="441">
        <v>52.3</v>
      </c>
      <c r="E59" s="441">
        <v>51.3</v>
      </c>
      <c r="F59" s="441">
        <v>50.3</v>
      </c>
      <c r="G59" s="441">
        <v>49.3</v>
      </c>
      <c r="H59" s="441">
        <v>48.3</v>
      </c>
      <c r="I59" s="441">
        <v>47.3</v>
      </c>
      <c r="J59" s="441">
        <v>46.3</v>
      </c>
      <c r="K59" s="441">
        <v>45.3</v>
      </c>
      <c r="L59" s="441">
        <v>44.3</v>
      </c>
      <c r="M59" s="441">
        <v>43.4</v>
      </c>
      <c r="N59" s="441">
        <v>42.4</v>
      </c>
      <c r="O59" s="441">
        <v>41.4</v>
      </c>
      <c r="P59" s="441">
        <v>40.4</v>
      </c>
      <c r="Q59" s="441">
        <v>39.4</v>
      </c>
      <c r="R59" s="441">
        <v>38.4</v>
      </c>
      <c r="S59" s="441">
        <v>35.4</v>
      </c>
      <c r="T59" s="441">
        <v>34.4</v>
      </c>
      <c r="U59" s="441">
        <v>31.4</v>
      </c>
      <c r="V59" s="441">
        <v>30.4</v>
      </c>
      <c r="W59" s="441">
        <v>29.4</v>
      </c>
      <c r="X59" s="441">
        <v>27.4</v>
      </c>
      <c r="Y59" s="441">
        <v>25.4</v>
      </c>
      <c r="Z59" s="441">
        <v>22.4</v>
      </c>
      <c r="AA59" s="442">
        <v>20.399999999999999</v>
      </c>
    </row>
    <row r="60" spans="2:27" ht="17.100000000000001" customHeight="1">
      <c r="B60"/>
      <c r="C60" s="425">
        <v>56</v>
      </c>
      <c r="D60" s="426">
        <v>51.7</v>
      </c>
      <c r="E60" s="426">
        <v>50.7</v>
      </c>
      <c r="F60" s="426">
        <v>49.7</v>
      </c>
      <c r="G60" s="426">
        <v>48.7</v>
      </c>
      <c r="H60" s="426">
        <v>47.7</v>
      </c>
      <c r="I60" s="426">
        <v>46.7</v>
      </c>
      <c r="J60" s="426">
        <v>45.7</v>
      </c>
      <c r="K60" s="426">
        <v>44.7</v>
      </c>
      <c r="L60" s="426">
        <v>43.7</v>
      </c>
      <c r="M60" s="426">
        <v>42.7</v>
      </c>
      <c r="N60" s="426">
        <v>41.7</v>
      </c>
      <c r="O60" s="426">
        <v>40.700000000000003</v>
      </c>
      <c r="P60" s="426">
        <v>39.700000000000003</v>
      </c>
      <c r="Q60" s="426">
        <v>38.700000000000003</v>
      </c>
      <c r="R60" s="426">
        <v>37.700000000000003</v>
      </c>
      <c r="S60" s="426">
        <v>34.700000000000003</v>
      </c>
      <c r="T60" s="426">
        <v>33.700000000000003</v>
      </c>
      <c r="U60" s="426">
        <v>30.7</v>
      </c>
      <c r="V60" s="426">
        <v>29.7</v>
      </c>
      <c r="W60" s="426">
        <v>28.7</v>
      </c>
      <c r="X60" s="426">
        <v>26.7</v>
      </c>
      <c r="Y60" s="426">
        <v>24.7</v>
      </c>
      <c r="Z60" s="426">
        <v>21.7</v>
      </c>
      <c r="AA60" s="427">
        <v>19.7</v>
      </c>
    </row>
    <row r="61" spans="2:27" ht="17.100000000000001" customHeight="1">
      <c r="B61"/>
      <c r="C61" s="425">
        <v>57</v>
      </c>
      <c r="D61" s="426">
        <v>51</v>
      </c>
      <c r="E61" s="426">
        <v>50</v>
      </c>
      <c r="F61" s="426">
        <v>49</v>
      </c>
      <c r="G61" s="426">
        <v>48</v>
      </c>
      <c r="H61" s="426">
        <v>47</v>
      </c>
      <c r="I61" s="426">
        <v>46</v>
      </c>
      <c r="J61" s="426">
        <v>45</v>
      </c>
      <c r="K61" s="426">
        <v>44</v>
      </c>
      <c r="L61" s="426">
        <v>43</v>
      </c>
      <c r="M61" s="426">
        <v>42</v>
      </c>
      <c r="N61" s="426">
        <v>41</v>
      </c>
      <c r="O61" s="426">
        <v>40</v>
      </c>
      <c r="P61" s="426">
        <v>39</v>
      </c>
      <c r="Q61" s="426">
        <v>38</v>
      </c>
      <c r="R61" s="426">
        <v>37</v>
      </c>
      <c r="S61" s="426">
        <v>34</v>
      </c>
      <c r="T61" s="426">
        <v>33</v>
      </c>
      <c r="U61" s="426">
        <v>30</v>
      </c>
      <c r="V61" s="426">
        <v>29</v>
      </c>
      <c r="W61" s="426">
        <v>28</v>
      </c>
      <c r="X61" s="426">
        <v>26</v>
      </c>
      <c r="Y61" s="426">
        <v>24</v>
      </c>
      <c r="Z61" s="426">
        <v>21</v>
      </c>
      <c r="AA61" s="427">
        <v>19</v>
      </c>
    </row>
    <row r="62" spans="2:27" ht="17.100000000000001" customHeight="1">
      <c r="B62"/>
      <c r="C62" s="425">
        <v>58</v>
      </c>
      <c r="D62" s="426">
        <v>50.3</v>
      </c>
      <c r="E62" s="426">
        <v>49.3</v>
      </c>
      <c r="F62" s="426">
        <v>48.3</v>
      </c>
      <c r="G62" s="426">
        <v>47.3</v>
      </c>
      <c r="H62" s="426">
        <v>46.3</v>
      </c>
      <c r="I62" s="426">
        <v>45.3</v>
      </c>
      <c r="J62" s="426">
        <v>44.3</v>
      </c>
      <c r="K62" s="426">
        <v>43.3</v>
      </c>
      <c r="L62" s="426">
        <v>42.3</v>
      </c>
      <c r="M62" s="426">
        <v>41.3</v>
      </c>
      <c r="N62" s="426">
        <v>40.299999999999997</v>
      </c>
      <c r="O62" s="426">
        <v>39.299999999999997</v>
      </c>
      <c r="P62" s="426">
        <v>38.299999999999997</v>
      </c>
      <c r="Q62" s="426">
        <v>37.299999999999997</v>
      </c>
      <c r="R62" s="426">
        <v>36.299999999999997</v>
      </c>
      <c r="S62" s="426">
        <v>33.299999999999997</v>
      </c>
      <c r="T62" s="426">
        <v>32.299999999999997</v>
      </c>
      <c r="U62" s="426">
        <v>29.3</v>
      </c>
      <c r="V62" s="426">
        <v>28.3</v>
      </c>
      <c r="W62" s="426">
        <v>27.3</v>
      </c>
      <c r="X62" s="426">
        <v>25.3</v>
      </c>
      <c r="Y62" s="426">
        <v>23.3</v>
      </c>
      <c r="Z62" s="426">
        <v>20.3</v>
      </c>
      <c r="AA62" s="427">
        <v>18.3</v>
      </c>
    </row>
    <row r="63" spans="2:27" ht="17.100000000000001" customHeight="1">
      <c r="B63"/>
      <c r="C63" s="425">
        <v>59</v>
      </c>
      <c r="D63" s="426">
        <v>49.7</v>
      </c>
      <c r="E63" s="426">
        <v>48.7</v>
      </c>
      <c r="F63" s="426">
        <v>47.7</v>
      </c>
      <c r="G63" s="426">
        <v>46.7</v>
      </c>
      <c r="H63" s="426">
        <v>45.7</v>
      </c>
      <c r="I63" s="426">
        <v>44.7</v>
      </c>
      <c r="J63" s="426">
        <v>43.7</v>
      </c>
      <c r="K63" s="426">
        <v>42.7</v>
      </c>
      <c r="L63" s="426">
        <v>41.7</v>
      </c>
      <c r="M63" s="426">
        <v>40.700000000000003</v>
      </c>
      <c r="N63" s="426">
        <v>39.700000000000003</v>
      </c>
      <c r="O63" s="426">
        <v>38.700000000000003</v>
      </c>
      <c r="P63" s="426">
        <v>37.700000000000003</v>
      </c>
      <c r="Q63" s="426">
        <v>36.700000000000003</v>
      </c>
      <c r="R63" s="426">
        <v>35.700000000000003</v>
      </c>
      <c r="S63" s="426">
        <v>32.700000000000003</v>
      </c>
      <c r="T63" s="426">
        <v>31.7</v>
      </c>
      <c r="U63" s="426">
        <v>28.7</v>
      </c>
      <c r="V63" s="426">
        <v>27.7</v>
      </c>
      <c r="W63" s="426">
        <v>26.7</v>
      </c>
      <c r="X63" s="426">
        <v>24.7</v>
      </c>
      <c r="Y63" s="426">
        <v>22.7</v>
      </c>
      <c r="Z63" s="426">
        <v>19.7</v>
      </c>
      <c r="AA63" s="427">
        <v>17.7</v>
      </c>
    </row>
    <row r="64" spans="2:27" ht="17.100000000000001" customHeight="1">
      <c r="B64"/>
      <c r="C64" s="428">
        <v>60</v>
      </c>
      <c r="D64" s="429">
        <v>49</v>
      </c>
      <c r="E64" s="429">
        <v>48</v>
      </c>
      <c r="F64" s="429">
        <v>47</v>
      </c>
      <c r="G64" s="429">
        <v>46</v>
      </c>
      <c r="H64" s="429">
        <v>45</v>
      </c>
      <c r="I64" s="429">
        <v>44</v>
      </c>
      <c r="J64" s="429">
        <v>43</v>
      </c>
      <c r="K64" s="429">
        <v>42</v>
      </c>
      <c r="L64" s="429">
        <v>41</v>
      </c>
      <c r="M64" s="429">
        <v>40</v>
      </c>
      <c r="N64" s="429">
        <v>39</v>
      </c>
      <c r="O64" s="429">
        <v>38</v>
      </c>
      <c r="P64" s="429">
        <v>37</v>
      </c>
      <c r="Q64" s="429">
        <v>36</v>
      </c>
      <c r="R64" s="429">
        <v>35</v>
      </c>
      <c r="S64" s="429">
        <v>32</v>
      </c>
      <c r="T64" s="429">
        <v>31</v>
      </c>
      <c r="U64" s="429">
        <v>28</v>
      </c>
      <c r="V64" s="429">
        <v>27</v>
      </c>
      <c r="W64" s="429">
        <v>26</v>
      </c>
      <c r="X64" s="429">
        <v>24</v>
      </c>
      <c r="Y64" s="429">
        <v>22</v>
      </c>
      <c r="Z64" s="429">
        <v>19</v>
      </c>
      <c r="AA64" s="430">
        <v>17</v>
      </c>
    </row>
    <row r="65" spans="2:27" ht="17.100000000000001" customHeight="1">
      <c r="B65"/>
      <c r="C65" s="443">
        <v>61</v>
      </c>
      <c r="D65" s="444">
        <v>48.1</v>
      </c>
      <c r="E65" s="444">
        <v>47.1</v>
      </c>
      <c r="F65" s="444">
        <v>46.1</v>
      </c>
      <c r="G65" s="444">
        <v>45.1</v>
      </c>
      <c r="H65" s="444">
        <v>44.1</v>
      </c>
      <c r="I65" s="444">
        <v>43.1</v>
      </c>
      <c r="J65" s="444">
        <v>42.1</v>
      </c>
      <c r="K65" s="444">
        <v>41.1</v>
      </c>
      <c r="L65" s="444">
        <v>40.1</v>
      </c>
      <c r="M65" s="444">
        <v>39.1</v>
      </c>
      <c r="N65" s="444">
        <v>38.1</v>
      </c>
      <c r="O65" s="444">
        <v>37.1</v>
      </c>
      <c r="P65" s="444">
        <v>36.1</v>
      </c>
      <c r="Q65" s="444">
        <v>35.1</v>
      </c>
      <c r="R65" s="444">
        <v>34.1</v>
      </c>
      <c r="S65" s="444">
        <v>31.1</v>
      </c>
      <c r="T65" s="444">
        <v>30.1</v>
      </c>
      <c r="U65" s="444">
        <v>27.1</v>
      </c>
      <c r="V65" s="444">
        <v>26.1</v>
      </c>
      <c r="W65" s="444">
        <v>25.1</v>
      </c>
      <c r="X65" s="444">
        <v>23.1</v>
      </c>
      <c r="Y65" s="444">
        <v>21.1</v>
      </c>
      <c r="Z65" s="444">
        <v>18.100000000000001</v>
      </c>
      <c r="AA65" s="445">
        <v>16.100000000000001</v>
      </c>
    </row>
    <row r="66" spans="2:27" ht="17.100000000000001" customHeight="1">
      <c r="B66"/>
      <c r="C66" s="446">
        <v>62</v>
      </c>
      <c r="D66" s="447">
        <v>47.2</v>
      </c>
      <c r="E66" s="447">
        <v>46.2</v>
      </c>
      <c r="F66" s="447">
        <v>45.2</v>
      </c>
      <c r="G66" s="447">
        <v>44.2</v>
      </c>
      <c r="H66" s="447">
        <v>43.2</v>
      </c>
      <c r="I66" s="447">
        <v>42.2</v>
      </c>
      <c r="J66" s="447">
        <v>41.2</v>
      </c>
      <c r="K66" s="447">
        <v>40.200000000000003</v>
      </c>
      <c r="L66" s="447">
        <v>39.200000000000003</v>
      </c>
      <c r="M66" s="447">
        <v>38.200000000000003</v>
      </c>
      <c r="N66" s="447">
        <v>37.200000000000003</v>
      </c>
      <c r="O66" s="447">
        <v>36.200000000000003</v>
      </c>
      <c r="P66" s="447">
        <v>35.200000000000003</v>
      </c>
      <c r="Q66" s="447">
        <v>34.200000000000003</v>
      </c>
      <c r="R66" s="447">
        <v>33.200000000000003</v>
      </c>
      <c r="S66" s="447">
        <v>30.2</v>
      </c>
      <c r="T66" s="447">
        <v>29.2</v>
      </c>
      <c r="U66" s="447">
        <v>26.2</v>
      </c>
      <c r="V66" s="447">
        <v>25.2</v>
      </c>
      <c r="W66" s="447">
        <v>24.2</v>
      </c>
      <c r="X66" s="447">
        <v>22.2</v>
      </c>
      <c r="Y66" s="447">
        <v>20.2</v>
      </c>
      <c r="Z66" s="447">
        <v>17.2</v>
      </c>
      <c r="AA66" s="448">
        <v>15.2</v>
      </c>
    </row>
    <row r="67" spans="2:27" ht="17.100000000000001" customHeight="1">
      <c r="B67"/>
      <c r="C67" s="446">
        <v>63</v>
      </c>
      <c r="D67" s="447">
        <v>46.2</v>
      </c>
      <c r="E67" s="447">
        <v>45.2</v>
      </c>
      <c r="F67" s="447">
        <v>44.2</v>
      </c>
      <c r="G67" s="447">
        <v>43.2</v>
      </c>
      <c r="H67" s="447">
        <v>42.2</v>
      </c>
      <c r="I67" s="447">
        <v>41.2</v>
      </c>
      <c r="J67" s="447">
        <v>40.200000000000003</v>
      </c>
      <c r="K67" s="447">
        <v>39.200000000000003</v>
      </c>
      <c r="L67" s="447">
        <v>38.200000000000003</v>
      </c>
      <c r="M67" s="447">
        <v>37.200000000000003</v>
      </c>
      <c r="N67" s="447">
        <v>36.200000000000003</v>
      </c>
      <c r="O67" s="447">
        <v>35.200000000000003</v>
      </c>
      <c r="P67" s="447">
        <v>34.200000000000003</v>
      </c>
      <c r="Q67" s="447">
        <v>33.200000000000003</v>
      </c>
      <c r="R67" s="447">
        <v>32.200000000000003</v>
      </c>
      <c r="S67" s="447">
        <v>29.2</v>
      </c>
      <c r="T67" s="447">
        <v>28.2</v>
      </c>
      <c r="U67" s="447">
        <v>25.2</v>
      </c>
      <c r="V67" s="447">
        <v>24.2</v>
      </c>
      <c r="W67" s="447">
        <v>23.2</v>
      </c>
      <c r="X67" s="447">
        <v>21.2</v>
      </c>
      <c r="Y67" s="447">
        <v>19.2</v>
      </c>
      <c r="Z67" s="447">
        <v>16.2</v>
      </c>
      <c r="AA67" s="448">
        <v>14.2</v>
      </c>
    </row>
    <row r="68" spans="2:27" ht="17.100000000000001" customHeight="1">
      <c r="B68"/>
      <c r="C68" s="446">
        <v>64</v>
      </c>
      <c r="D68" s="447">
        <v>45.3</v>
      </c>
      <c r="E68" s="447">
        <v>44.3</v>
      </c>
      <c r="F68" s="447">
        <v>43.3</v>
      </c>
      <c r="G68" s="447">
        <v>42.3</v>
      </c>
      <c r="H68" s="447">
        <v>41.3</v>
      </c>
      <c r="I68" s="447">
        <v>40.299999999999997</v>
      </c>
      <c r="J68" s="447">
        <v>39.299999999999997</v>
      </c>
      <c r="K68" s="447">
        <v>38.299999999999997</v>
      </c>
      <c r="L68" s="447">
        <v>37.299999999999997</v>
      </c>
      <c r="M68" s="447">
        <v>36.299999999999997</v>
      </c>
      <c r="N68" s="447">
        <v>35.299999999999997</v>
      </c>
      <c r="O68" s="447">
        <v>34.299999999999997</v>
      </c>
      <c r="P68" s="447">
        <v>33.299999999999997</v>
      </c>
      <c r="Q68" s="447">
        <v>32.299999999999997</v>
      </c>
      <c r="R68" s="447">
        <v>31.3</v>
      </c>
      <c r="S68" s="447">
        <v>28.3</v>
      </c>
      <c r="T68" s="447">
        <v>27.3</v>
      </c>
      <c r="U68" s="447">
        <v>24.3</v>
      </c>
      <c r="V68" s="447">
        <v>23.3</v>
      </c>
      <c r="W68" s="447">
        <v>22.3</v>
      </c>
      <c r="X68" s="447">
        <v>20.3</v>
      </c>
      <c r="Y68" s="447">
        <v>18.3</v>
      </c>
      <c r="Z68" s="447">
        <v>15.3</v>
      </c>
      <c r="AA68" s="448">
        <v>13.3</v>
      </c>
    </row>
    <row r="69" spans="2:27" ht="17.100000000000001" customHeight="1">
      <c r="B69"/>
      <c r="C69" s="446">
        <v>65</v>
      </c>
      <c r="D69" s="447">
        <v>44.4</v>
      </c>
      <c r="E69" s="447">
        <v>43.4</v>
      </c>
      <c r="F69" s="447">
        <v>42.4</v>
      </c>
      <c r="G69" s="447">
        <v>41.4</v>
      </c>
      <c r="H69" s="447">
        <v>40.4</v>
      </c>
      <c r="I69" s="447">
        <v>39.4</v>
      </c>
      <c r="J69" s="447">
        <v>38.4</v>
      </c>
      <c r="K69" s="447">
        <v>37.4</v>
      </c>
      <c r="L69" s="447">
        <v>36.4</v>
      </c>
      <c r="M69" s="447">
        <v>35.4</v>
      </c>
      <c r="N69" s="447">
        <v>34.4</v>
      </c>
      <c r="O69" s="447">
        <v>33.4</v>
      </c>
      <c r="P69" s="447">
        <v>32.4</v>
      </c>
      <c r="Q69" s="447">
        <v>31.4</v>
      </c>
      <c r="R69" s="447">
        <v>30.4</v>
      </c>
      <c r="S69" s="447">
        <v>27.4</v>
      </c>
      <c r="T69" s="447">
        <v>26.4</v>
      </c>
      <c r="U69" s="447">
        <v>23.4</v>
      </c>
      <c r="V69" s="447">
        <v>22.4</v>
      </c>
      <c r="W69" s="447">
        <v>21.4</v>
      </c>
      <c r="X69" s="447">
        <v>19.399999999999999</v>
      </c>
      <c r="Y69" s="447">
        <v>17.399999999999999</v>
      </c>
      <c r="Z69" s="447">
        <v>14.4</v>
      </c>
      <c r="AA69" s="448">
        <v>12.4</v>
      </c>
    </row>
    <row r="70" spans="2:27" ht="17.100000000000001" customHeight="1">
      <c r="B70"/>
      <c r="C70" s="446">
        <v>66</v>
      </c>
      <c r="D70" s="447">
        <v>43.5</v>
      </c>
      <c r="E70" s="447">
        <v>42.5</v>
      </c>
      <c r="F70" s="447">
        <v>41.5</v>
      </c>
      <c r="G70" s="447">
        <v>40.5</v>
      </c>
      <c r="H70" s="447">
        <v>39.5</v>
      </c>
      <c r="I70" s="447">
        <v>38.5</v>
      </c>
      <c r="J70" s="447">
        <v>37.5</v>
      </c>
      <c r="K70" s="447">
        <v>36.5</v>
      </c>
      <c r="L70" s="447">
        <v>35.5</v>
      </c>
      <c r="M70" s="447">
        <v>34.5</v>
      </c>
      <c r="N70" s="447">
        <v>33.5</v>
      </c>
      <c r="O70" s="447">
        <v>32.5</v>
      </c>
      <c r="P70" s="447">
        <v>31.5</v>
      </c>
      <c r="Q70" s="447">
        <v>30.5</v>
      </c>
      <c r="R70" s="447">
        <v>29.5</v>
      </c>
      <c r="S70" s="447">
        <v>26.5</v>
      </c>
      <c r="T70" s="447">
        <v>25.5</v>
      </c>
      <c r="U70" s="447">
        <v>22.5</v>
      </c>
      <c r="V70" s="447">
        <v>21.5</v>
      </c>
      <c r="W70" s="447">
        <v>20.5</v>
      </c>
      <c r="X70" s="447">
        <v>18.5</v>
      </c>
      <c r="Y70" s="447">
        <v>16.5</v>
      </c>
      <c r="Z70" s="447">
        <v>13.5</v>
      </c>
      <c r="AA70" s="448">
        <v>11.5</v>
      </c>
    </row>
    <row r="71" spans="2:27" ht="17.100000000000001" customHeight="1">
      <c r="B71"/>
      <c r="C71" s="446">
        <v>67</v>
      </c>
      <c r="D71" s="447">
        <v>42.6</v>
      </c>
      <c r="E71" s="447">
        <v>41.6</v>
      </c>
      <c r="F71" s="447">
        <v>40.6</v>
      </c>
      <c r="G71" s="447">
        <v>39.6</v>
      </c>
      <c r="H71" s="447">
        <v>38.6</v>
      </c>
      <c r="I71" s="447">
        <v>37.6</v>
      </c>
      <c r="J71" s="447">
        <v>36.6</v>
      </c>
      <c r="K71" s="447">
        <v>35.6</v>
      </c>
      <c r="L71" s="447">
        <v>34.6</v>
      </c>
      <c r="M71" s="447">
        <v>33.6</v>
      </c>
      <c r="N71" s="447">
        <v>32.6</v>
      </c>
      <c r="O71" s="447">
        <v>31.6</v>
      </c>
      <c r="P71" s="447">
        <v>30.6</v>
      </c>
      <c r="Q71" s="447">
        <v>29.6</v>
      </c>
      <c r="R71" s="447">
        <v>28.6</v>
      </c>
      <c r="S71" s="447">
        <v>25.6</v>
      </c>
      <c r="T71" s="447">
        <v>24.6</v>
      </c>
      <c r="U71" s="447">
        <v>21.6</v>
      </c>
      <c r="V71" s="447">
        <v>20.6</v>
      </c>
      <c r="W71" s="447">
        <v>19.600000000000001</v>
      </c>
      <c r="X71" s="447">
        <v>17.600000000000001</v>
      </c>
      <c r="Y71" s="447">
        <v>15.6</v>
      </c>
      <c r="Z71" s="447">
        <v>12.6</v>
      </c>
      <c r="AA71" s="448">
        <v>10.6</v>
      </c>
    </row>
    <row r="72" spans="2:27" ht="17.100000000000001" customHeight="1">
      <c r="B72"/>
      <c r="C72" s="446">
        <v>68</v>
      </c>
      <c r="D72" s="447">
        <v>41.6</v>
      </c>
      <c r="E72" s="447">
        <v>40.6</v>
      </c>
      <c r="F72" s="447">
        <v>39.6</v>
      </c>
      <c r="G72" s="447">
        <v>38.6</v>
      </c>
      <c r="H72" s="447">
        <v>37.6</v>
      </c>
      <c r="I72" s="447">
        <v>36.6</v>
      </c>
      <c r="J72" s="447">
        <v>35.6</v>
      </c>
      <c r="K72" s="447">
        <v>34.6</v>
      </c>
      <c r="L72" s="447">
        <v>33.6</v>
      </c>
      <c r="M72" s="447">
        <v>32.6</v>
      </c>
      <c r="N72" s="447">
        <v>31.6</v>
      </c>
      <c r="O72" s="447">
        <v>30.6</v>
      </c>
      <c r="P72" s="447">
        <v>29.6</v>
      </c>
      <c r="Q72" s="447">
        <v>28.6</v>
      </c>
      <c r="R72" s="447">
        <v>27.6</v>
      </c>
      <c r="S72" s="447">
        <v>24.6</v>
      </c>
      <c r="T72" s="447">
        <v>23.6</v>
      </c>
      <c r="U72" s="447">
        <v>20.6</v>
      </c>
      <c r="V72" s="447">
        <v>19.600000000000001</v>
      </c>
      <c r="W72" s="447">
        <v>18.600000000000001</v>
      </c>
      <c r="X72" s="447">
        <v>16.600000000000001</v>
      </c>
      <c r="Y72" s="447">
        <v>14.6</v>
      </c>
      <c r="Z72" s="447">
        <v>11.6</v>
      </c>
      <c r="AA72" s="448">
        <v>9.6</v>
      </c>
    </row>
    <row r="73" spans="2:27" ht="17.100000000000001" customHeight="1">
      <c r="B73"/>
      <c r="C73" s="446">
        <v>69</v>
      </c>
      <c r="D73" s="447">
        <v>40.700000000000003</v>
      </c>
      <c r="E73" s="447">
        <v>39.700000000000003</v>
      </c>
      <c r="F73" s="447">
        <v>38.700000000000003</v>
      </c>
      <c r="G73" s="447">
        <v>37.700000000000003</v>
      </c>
      <c r="H73" s="447">
        <v>36.700000000000003</v>
      </c>
      <c r="I73" s="447">
        <v>35.700000000000003</v>
      </c>
      <c r="J73" s="447">
        <v>34.700000000000003</v>
      </c>
      <c r="K73" s="447">
        <v>33.700000000000003</v>
      </c>
      <c r="L73" s="447">
        <v>32.700000000000003</v>
      </c>
      <c r="M73" s="447">
        <v>31.7</v>
      </c>
      <c r="N73" s="447">
        <v>30.7</v>
      </c>
      <c r="O73" s="447">
        <v>29.7</v>
      </c>
      <c r="P73" s="447">
        <v>28.7</v>
      </c>
      <c r="Q73" s="447">
        <v>27.7</v>
      </c>
      <c r="R73" s="447">
        <v>26.7</v>
      </c>
      <c r="S73" s="447">
        <v>23.7</v>
      </c>
      <c r="T73" s="447">
        <v>22.7</v>
      </c>
      <c r="U73" s="447">
        <v>19.7</v>
      </c>
      <c r="V73" s="447">
        <v>18.7</v>
      </c>
      <c r="W73" s="447">
        <v>17.7</v>
      </c>
      <c r="X73" s="447">
        <v>15.7</v>
      </c>
      <c r="Y73" s="447">
        <v>13.7</v>
      </c>
      <c r="Z73" s="447">
        <v>10.7</v>
      </c>
      <c r="AA73" s="448">
        <v>8.6999999999999993</v>
      </c>
    </row>
    <row r="74" spans="2:27" ht="17.100000000000001" customHeight="1">
      <c r="B74"/>
      <c r="C74" s="446">
        <v>70</v>
      </c>
      <c r="D74" s="447">
        <v>39.799999999999997</v>
      </c>
      <c r="E74" s="447">
        <v>38.799999999999997</v>
      </c>
      <c r="F74" s="447">
        <v>37.799999999999997</v>
      </c>
      <c r="G74" s="447">
        <v>36.799999999999997</v>
      </c>
      <c r="H74" s="447">
        <v>35.799999999999997</v>
      </c>
      <c r="I74" s="447">
        <v>34.799999999999997</v>
      </c>
      <c r="J74" s="447">
        <v>33.799999999999997</v>
      </c>
      <c r="K74" s="447">
        <v>32.799999999999997</v>
      </c>
      <c r="L74" s="447">
        <v>31.8</v>
      </c>
      <c r="M74" s="447">
        <v>30.8</v>
      </c>
      <c r="N74" s="447">
        <v>29.8</v>
      </c>
      <c r="O74" s="447">
        <v>28.8</v>
      </c>
      <c r="P74" s="447">
        <v>27.8</v>
      </c>
      <c r="Q74" s="447">
        <v>26.8</v>
      </c>
      <c r="R74" s="447">
        <v>25.8</v>
      </c>
      <c r="S74" s="447">
        <v>22.8</v>
      </c>
      <c r="T74" s="447">
        <v>21.8</v>
      </c>
      <c r="U74" s="447">
        <v>18.8</v>
      </c>
      <c r="V74" s="447">
        <v>17.8</v>
      </c>
      <c r="W74" s="447">
        <v>16.8</v>
      </c>
      <c r="X74" s="447">
        <v>14.8</v>
      </c>
      <c r="Y74" s="447">
        <v>12.8</v>
      </c>
      <c r="Z74" s="447">
        <v>9.8000000000000007</v>
      </c>
      <c r="AA74" s="448">
        <v>7.8</v>
      </c>
    </row>
    <row r="75" spans="2:27" ht="17.100000000000001" customHeight="1">
      <c r="B75"/>
      <c r="C75" s="446">
        <v>71</v>
      </c>
      <c r="D75" s="447">
        <v>38.9</v>
      </c>
      <c r="E75" s="447">
        <v>37.9</v>
      </c>
      <c r="F75" s="447">
        <v>36.9</v>
      </c>
      <c r="G75" s="447">
        <v>35.9</v>
      </c>
      <c r="H75" s="447">
        <v>34.9</v>
      </c>
      <c r="I75" s="447">
        <v>33.9</v>
      </c>
      <c r="J75" s="447">
        <v>32.9</v>
      </c>
      <c r="K75" s="447">
        <v>31.9</v>
      </c>
      <c r="L75" s="447">
        <v>30.9</v>
      </c>
      <c r="M75" s="447">
        <v>29.9</v>
      </c>
      <c r="N75" s="447">
        <v>28.9</v>
      </c>
      <c r="O75" s="447">
        <v>27.9</v>
      </c>
      <c r="P75" s="447">
        <v>26.9</v>
      </c>
      <c r="Q75" s="447">
        <v>25.9</v>
      </c>
      <c r="R75" s="447">
        <v>24.9</v>
      </c>
      <c r="S75" s="447">
        <v>21.9</v>
      </c>
      <c r="T75" s="447">
        <v>20.9</v>
      </c>
      <c r="U75" s="447">
        <v>17.899999999999999</v>
      </c>
      <c r="V75" s="447">
        <v>16.899999999999999</v>
      </c>
      <c r="W75" s="447">
        <v>15.9</v>
      </c>
      <c r="X75" s="447">
        <v>13.9</v>
      </c>
      <c r="Y75" s="447">
        <v>11.9</v>
      </c>
      <c r="Z75" s="447">
        <v>8.9</v>
      </c>
      <c r="AA75" s="448">
        <v>6.9</v>
      </c>
    </row>
    <row r="76" spans="2:27" ht="17.100000000000001" customHeight="1">
      <c r="B76"/>
      <c r="C76" s="449">
        <v>72</v>
      </c>
      <c r="D76" s="450">
        <v>38</v>
      </c>
      <c r="E76" s="450">
        <v>37</v>
      </c>
      <c r="F76" s="450">
        <v>36</v>
      </c>
      <c r="G76" s="450">
        <v>35</v>
      </c>
      <c r="H76" s="450">
        <v>34</v>
      </c>
      <c r="I76" s="450">
        <v>33</v>
      </c>
      <c r="J76" s="450">
        <v>32</v>
      </c>
      <c r="K76" s="450">
        <v>31</v>
      </c>
      <c r="L76" s="450">
        <v>30</v>
      </c>
      <c r="M76" s="450">
        <v>29</v>
      </c>
      <c r="N76" s="450">
        <v>28</v>
      </c>
      <c r="O76" s="450">
        <v>27</v>
      </c>
      <c r="P76" s="450">
        <v>26</v>
      </c>
      <c r="Q76" s="450">
        <v>25</v>
      </c>
      <c r="R76" s="450">
        <v>24</v>
      </c>
      <c r="S76" s="450">
        <v>21</v>
      </c>
      <c r="T76" s="450">
        <v>20</v>
      </c>
      <c r="U76" s="450">
        <v>17</v>
      </c>
      <c r="V76" s="450">
        <v>16</v>
      </c>
      <c r="W76" s="450">
        <v>15</v>
      </c>
      <c r="X76" s="450">
        <v>13</v>
      </c>
      <c r="Y76" s="450">
        <v>11</v>
      </c>
      <c r="Z76" s="450">
        <v>8</v>
      </c>
      <c r="AA76" s="451">
        <v>6</v>
      </c>
    </row>
    <row r="77" spans="2:27">
      <c r="B77" s="452"/>
      <c r="C77" s="453">
        <v>73</v>
      </c>
      <c r="D77" s="423">
        <v>37.1</v>
      </c>
      <c r="E77" s="423">
        <v>36.1</v>
      </c>
      <c r="F77" s="423">
        <v>35.1</v>
      </c>
      <c r="G77" s="423">
        <v>34.1</v>
      </c>
      <c r="H77" s="423">
        <v>33.1</v>
      </c>
      <c r="I77" s="423">
        <v>32.1</v>
      </c>
      <c r="J77" s="423">
        <v>31.1</v>
      </c>
      <c r="K77" s="423">
        <v>30.1</v>
      </c>
      <c r="L77" s="423">
        <v>29.1</v>
      </c>
      <c r="M77" s="423">
        <v>28.1</v>
      </c>
      <c r="N77" s="423">
        <v>27.1</v>
      </c>
      <c r="O77" s="423">
        <v>26.1</v>
      </c>
      <c r="P77" s="423">
        <v>25.1</v>
      </c>
      <c r="Q77" s="423">
        <v>24.1</v>
      </c>
      <c r="R77" s="423">
        <v>23.1</v>
      </c>
      <c r="S77" s="423">
        <v>20.100000000000001</v>
      </c>
      <c r="T77" s="423">
        <v>19.100000000000001</v>
      </c>
      <c r="U77" s="423">
        <v>16.100000000000001</v>
      </c>
      <c r="V77" s="423">
        <v>15.1</v>
      </c>
      <c r="W77" s="423">
        <v>14.1</v>
      </c>
      <c r="X77" s="423">
        <v>12.3</v>
      </c>
      <c r="Y77" s="423">
        <v>10.4</v>
      </c>
      <c r="Z77" s="423">
        <v>7.7</v>
      </c>
      <c r="AA77" s="424">
        <v>5.8</v>
      </c>
    </row>
    <row r="78" spans="2:27">
      <c r="B78" s="41"/>
      <c r="C78" s="446">
        <v>74</v>
      </c>
      <c r="D78" s="447">
        <v>36.200000000000003</v>
      </c>
      <c r="E78" s="447">
        <v>35.200000000000003</v>
      </c>
      <c r="F78" s="447">
        <v>34.200000000000003</v>
      </c>
      <c r="G78" s="447">
        <v>33.200000000000003</v>
      </c>
      <c r="H78" s="447">
        <v>32.200000000000003</v>
      </c>
      <c r="I78" s="447">
        <v>31.2</v>
      </c>
      <c r="J78" s="447">
        <v>30.2</v>
      </c>
      <c r="K78" s="447">
        <v>29.2</v>
      </c>
      <c r="L78" s="447">
        <v>28.2</v>
      </c>
      <c r="M78" s="447">
        <v>27.2</v>
      </c>
      <c r="N78" s="447">
        <v>26.2</v>
      </c>
      <c r="O78" s="447">
        <v>25.2</v>
      </c>
      <c r="P78" s="447">
        <v>24.2</v>
      </c>
      <c r="Q78" s="447">
        <v>23.2</v>
      </c>
      <c r="R78" s="447">
        <v>22.2</v>
      </c>
      <c r="S78" s="447">
        <v>19.2</v>
      </c>
      <c r="T78" s="447">
        <v>18.2</v>
      </c>
      <c r="U78" s="447">
        <v>15.2</v>
      </c>
      <c r="V78" s="447">
        <v>14.2</v>
      </c>
      <c r="W78" s="447">
        <v>13.2</v>
      </c>
      <c r="X78" s="447">
        <v>11.5</v>
      </c>
      <c r="Y78" s="447">
        <v>9.8000000000000007</v>
      </c>
      <c r="Z78" s="447">
        <v>7.3</v>
      </c>
      <c r="AA78" s="448">
        <v>5.7</v>
      </c>
    </row>
    <row r="79" spans="2:27">
      <c r="C79" s="446">
        <v>75</v>
      </c>
      <c r="D79" s="447">
        <v>35.200000000000003</v>
      </c>
      <c r="E79" s="447">
        <v>34.200000000000003</v>
      </c>
      <c r="F79" s="447">
        <v>33.200000000000003</v>
      </c>
      <c r="G79" s="447">
        <v>32.200000000000003</v>
      </c>
      <c r="H79" s="447">
        <v>31.2</v>
      </c>
      <c r="I79" s="447">
        <v>30.2</v>
      </c>
      <c r="J79" s="447">
        <v>29.2</v>
      </c>
      <c r="K79" s="447">
        <v>28.2</v>
      </c>
      <c r="L79" s="447">
        <v>27.2</v>
      </c>
      <c r="M79" s="447">
        <v>26.2</v>
      </c>
      <c r="N79" s="447">
        <v>25.2</v>
      </c>
      <c r="O79" s="447">
        <v>24.2</v>
      </c>
      <c r="P79" s="447">
        <v>23.2</v>
      </c>
      <c r="Q79" s="447">
        <v>22.2</v>
      </c>
      <c r="R79" s="447">
        <v>21.2</v>
      </c>
      <c r="S79" s="447">
        <v>18.2</v>
      </c>
      <c r="T79" s="447">
        <v>17.2</v>
      </c>
      <c r="U79" s="447">
        <v>14.2</v>
      </c>
      <c r="V79" s="447">
        <v>13.2</v>
      </c>
      <c r="W79" s="447">
        <v>12.2</v>
      </c>
      <c r="X79" s="447">
        <v>10.8</v>
      </c>
      <c r="Y79" s="447">
        <v>9.3000000000000007</v>
      </c>
      <c r="Z79" s="447">
        <v>7</v>
      </c>
      <c r="AA79" s="448">
        <v>5.5</v>
      </c>
    </row>
    <row r="80" spans="2:27">
      <c r="C80" s="446">
        <v>76</v>
      </c>
      <c r="D80" s="447">
        <v>34.299999999999997</v>
      </c>
      <c r="E80" s="447">
        <v>33.299999999999997</v>
      </c>
      <c r="F80" s="447">
        <v>32.299999999999997</v>
      </c>
      <c r="G80" s="447">
        <v>31.3</v>
      </c>
      <c r="H80" s="447">
        <v>30.3</v>
      </c>
      <c r="I80" s="447">
        <v>29.3</v>
      </c>
      <c r="J80" s="447">
        <v>28.3</v>
      </c>
      <c r="K80" s="447">
        <v>27.3</v>
      </c>
      <c r="L80" s="447">
        <v>26.3</v>
      </c>
      <c r="M80" s="447">
        <v>25.3</v>
      </c>
      <c r="N80" s="447">
        <v>24.3</v>
      </c>
      <c r="O80" s="447">
        <v>23.3</v>
      </c>
      <c r="P80" s="447">
        <v>22.3</v>
      </c>
      <c r="Q80" s="447">
        <v>21.3</v>
      </c>
      <c r="R80" s="447">
        <v>20.3</v>
      </c>
      <c r="S80" s="447">
        <v>17.3</v>
      </c>
      <c r="T80" s="447">
        <v>16.3</v>
      </c>
      <c r="U80" s="447">
        <v>13.3</v>
      </c>
      <c r="V80" s="447">
        <v>12.3</v>
      </c>
      <c r="W80" s="447">
        <v>11.3</v>
      </c>
      <c r="X80" s="447">
        <v>10</v>
      </c>
      <c r="Y80" s="447">
        <v>8.6999999999999993</v>
      </c>
      <c r="Z80" s="447">
        <v>6.7</v>
      </c>
      <c r="AA80" s="448">
        <v>5.3</v>
      </c>
    </row>
    <row r="81" spans="3:27">
      <c r="C81" s="446">
        <v>77</v>
      </c>
      <c r="D81" s="447">
        <v>33.4</v>
      </c>
      <c r="E81" s="447">
        <v>32.4</v>
      </c>
      <c r="F81" s="447">
        <v>31.4</v>
      </c>
      <c r="G81" s="447">
        <v>30.4</v>
      </c>
      <c r="H81" s="447">
        <v>29.4</v>
      </c>
      <c r="I81" s="447">
        <v>28.4</v>
      </c>
      <c r="J81" s="447">
        <v>27.4</v>
      </c>
      <c r="K81" s="447">
        <v>26.4</v>
      </c>
      <c r="L81" s="447">
        <v>25.4</v>
      </c>
      <c r="M81" s="447">
        <v>24.4</v>
      </c>
      <c r="N81" s="447">
        <v>23.4</v>
      </c>
      <c r="O81" s="447">
        <v>22.4</v>
      </c>
      <c r="P81" s="447">
        <v>21.4</v>
      </c>
      <c r="Q81" s="447">
        <v>20.399999999999999</v>
      </c>
      <c r="R81" s="447">
        <v>19.399999999999999</v>
      </c>
      <c r="S81" s="447">
        <v>16.399999999999999</v>
      </c>
      <c r="T81" s="447">
        <v>15.4</v>
      </c>
      <c r="U81" s="447">
        <v>12.4</v>
      </c>
      <c r="V81" s="447">
        <v>11.4</v>
      </c>
      <c r="W81" s="447">
        <v>10.4</v>
      </c>
      <c r="X81" s="447">
        <v>9.3000000000000007</v>
      </c>
      <c r="Y81" s="447">
        <v>8.1</v>
      </c>
      <c r="Z81" s="447">
        <v>6.4</v>
      </c>
      <c r="AA81" s="448">
        <v>5.2</v>
      </c>
    </row>
    <row r="82" spans="3:27">
      <c r="C82" s="446">
        <v>78</v>
      </c>
      <c r="D82" s="447">
        <v>32.5</v>
      </c>
      <c r="E82" s="447">
        <v>31.5</v>
      </c>
      <c r="F82" s="447">
        <v>30.5</v>
      </c>
      <c r="G82" s="447">
        <v>29.5</v>
      </c>
      <c r="H82" s="447">
        <v>28.5</v>
      </c>
      <c r="I82" s="447">
        <v>27.5</v>
      </c>
      <c r="J82" s="447">
        <v>26.5</v>
      </c>
      <c r="K82" s="447">
        <v>25.5</v>
      </c>
      <c r="L82" s="447">
        <v>24.5</v>
      </c>
      <c r="M82" s="447">
        <v>23.5</v>
      </c>
      <c r="N82" s="447">
        <v>22.5</v>
      </c>
      <c r="O82" s="447">
        <v>21.5</v>
      </c>
      <c r="P82" s="447">
        <v>20.5</v>
      </c>
      <c r="Q82" s="447">
        <v>19.5</v>
      </c>
      <c r="R82" s="447">
        <v>18.5</v>
      </c>
      <c r="S82" s="447">
        <v>15.5</v>
      </c>
      <c r="T82" s="447">
        <v>14.5</v>
      </c>
      <c r="U82" s="447">
        <v>11.5</v>
      </c>
      <c r="V82" s="447">
        <v>10.5</v>
      </c>
      <c r="W82" s="447">
        <v>9.5</v>
      </c>
      <c r="X82" s="447">
        <v>8.5</v>
      </c>
      <c r="Y82" s="447">
        <v>7.5</v>
      </c>
      <c r="Z82" s="447">
        <v>6</v>
      </c>
      <c r="AA82" s="448">
        <v>5</v>
      </c>
    </row>
    <row r="83" spans="3:27">
      <c r="C83" s="446">
        <v>79</v>
      </c>
      <c r="D83" s="447">
        <v>31.6</v>
      </c>
      <c r="E83" s="447">
        <v>30.6</v>
      </c>
      <c r="F83" s="447">
        <v>29.6</v>
      </c>
      <c r="G83" s="447">
        <v>28.6</v>
      </c>
      <c r="H83" s="447">
        <v>27.6</v>
      </c>
      <c r="I83" s="447">
        <v>26.6</v>
      </c>
      <c r="J83" s="447">
        <v>25.6</v>
      </c>
      <c r="K83" s="447">
        <v>24.6</v>
      </c>
      <c r="L83" s="447">
        <v>23.6</v>
      </c>
      <c r="M83" s="447">
        <v>22.6</v>
      </c>
      <c r="N83" s="447">
        <v>21.6</v>
      </c>
      <c r="O83" s="447">
        <v>20.6</v>
      </c>
      <c r="P83" s="447">
        <v>19.600000000000001</v>
      </c>
      <c r="Q83" s="447">
        <v>18.600000000000001</v>
      </c>
      <c r="R83" s="447">
        <v>17.600000000000001</v>
      </c>
      <c r="S83" s="447">
        <v>14.6</v>
      </c>
      <c r="T83" s="447">
        <v>13.6</v>
      </c>
      <c r="U83" s="447">
        <v>10.6</v>
      </c>
      <c r="V83" s="447">
        <v>9.6</v>
      </c>
      <c r="W83" s="447">
        <v>8.6</v>
      </c>
      <c r="X83" s="447">
        <v>7.8</v>
      </c>
      <c r="Y83" s="447">
        <v>6.9</v>
      </c>
      <c r="Z83" s="447">
        <v>5.7</v>
      </c>
      <c r="AA83" s="448">
        <v>4.8</v>
      </c>
    </row>
    <row r="84" spans="3:27">
      <c r="C84" s="446">
        <v>80</v>
      </c>
      <c r="D84" s="447">
        <v>30.6</v>
      </c>
      <c r="E84" s="447">
        <v>29.6</v>
      </c>
      <c r="F84" s="447">
        <v>28.6</v>
      </c>
      <c r="G84" s="447">
        <v>27.6</v>
      </c>
      <c r="H84" s="447">
        <v>26.6</v>
      </c>
      <c r="I84" s="447">
        <v>25.6</v>
      </c>
      <c r="J84" s="447">
        <v>24.6</v>
      </c>
      <c r="K84" s="447">
        <v>23.6</v>
      </c>
      <c r="L84" s="447">
        <v>22.6</v>
      </c>
      <c r="M84" s="447">
        <v>21.6</v>
      </c>
      <c r="N84" s="447">
        <v>20.6</v>
      </c>
      <c r="O84" s="447">
        <v>19.600000000000001</v>
      </c>
      <c r="P84" s="447">
        <v>18.600000000000001</v>
      </c>
      <c r="Q84" s="447">
        <v>17.600000000000001</v>
      </c>
      <c r="R84" s="447">
        <v>16.600000000000001</v>
      </c>
      <c r="S84" s="447">
        <v>13.6</v>
      </c>
      <c r="T84" s="447">
        <v>12.6</v>
      </c>
      <c r="U84" s="447">
        <v>9.6</v>
      </c>
      <c r="V84" s="447">
        <v>8.6</v>
      </c>
      <c r="W84" s="447">
        <v>7.6</v>
      </c>
      <c r="X84" s="447">
        <v>7</v>
      </c>
      <c r="Y84" s="447">
        <v>6.4</v>
      </c>
      <c r="Z84" s="447">
        <v>5.4</v>
      </c>
      <c r="AA84" s="448">
        <v>4.5999999999999996</v>
      </c>
    </row>
    <row r="85" spans="3:27">
      <c r="C85" s="446">
        <v>81</v>
      </c>
      <c r="D85" s="447">
        <v>29.7</v>
      </c>
      <c r="E85" s="447">
        <v>28.7</v>
      </c>
      <c r="F85" s="447">
        <v>27.7</v>
      </c>
      <c r="G85" s="447">
        <v>26.7</v>
      </c>
      <c r="H85" s="447">
        <v>25.7</v>
      </c>
      <c r="I85" s="447">
        <v>24.7</v>
      </c>
      <c r="J85" s="447">
        <v>23.7</v>
      </c>
      <c r="K85" s="447">
        <v>22.7</v>
      </c>
      <c r="L85" s="447">
        <v>21.7</v>
      </c>
      <c r="M85" s="447">
        <v>20.7</v>
      </c>
      <c r="N85" s="447">
        <v>19.7</v>
      </c>
      <c r="O85" s="447">
        <v>18.7</v>
      </c>
      <c r="P85" s="447">
        <v>17.7</v>
      </c>
      <c r="Q85" s="447">
        <v>16.7</v>
      </c>
      <c r="R85" s="447">
        <v>15.7</v>
      </c>
      <c r="S85" s="447">
        <v>12.7</v>
      </c>
      <c r="T85" s="447">
        <v>11.7</v>
      </c>
      <c r="U85" s="447">
        <v>8.6999999999999993</v>
      </c>
      <c r="V85" s="447">
        <v>7.7</v>
      </c>
      <c r="W85" s="447">
        <v>6.7</v>
      </c>
      <c r="X85" s="447">
        <v>6.3</v>
      </c>
      <c r="Y85" s="447">
        <v>5.8</v>
      </c>
      <c r="Z85" s="447">
        <v>5</v>
      </c>
      <c r="AA85" s="448">
        <v>4.5</v>
      </c>
    </row>
    <row r="86" spans="3:27">
      <c r="C86" s="446">
        <v>82</v>
      </c>
      <c r="D86" s="447">
        <v>28.8</v>
      </c>
      <c r="E86" s="447">
        <v>27.8</v>
      </c>
      <c r="F86" s="447">
        <v>26.8</v>
      </c>
      <c r="G86" s="447">
        <v>25.8</v>
      </c>
      <c r="H86" s="447">
        <v>24.8</v>
      </c>
      <c r="I86" s="447">
        <v>23.8</v>
      </c>
      <c r="J86" s="447">
        <v>22.8</v>
      </c>
      <c r="K86" s="447">
        <v>21.8</v>
      </c>
      <c r="L86" s="447">
        <v>20.8</v>
      </c>
      <c r="M86" s="447">
        <v>19.8</v>
      </c>
      <c r="N86" s="447">
        <v>18.8</v>
      </c>
      <c r="O86" s="447">
        <v>17.8</v>
      </c>
      <c r="P86" s="447">
        <v>16.8</v>
      </c>
      <c r="Q86" s="447">
        <v>15.8</v>
      </c>
      <c r="R86" s="447">
        <v>14.8</v>
      </c>
      <c r="S86" s="447">
        <v>11.8</v>
      </c>
      <c r="T86" s="447">
        <v>10.8</v>
      </c>
      <c r="U86" s="447">
        <v>7.8</v>
      </c>
      <c r="V86" s="447">
        <v>6.8</v>
      </c>
      <c r="W86" s="447">
        <v>5.8</v>
      </c>
      <c r="X86" s="447">
        <v>5.5</v>
      </c>
      <c r="Y86" s="447">
        <v>5.2</v>
      </c>
      <c r="Z86" s="447">
        <v>4.7</v>
      </c>
      <c r="AA86" s="448">
        <v>4.3</v>
      </c>
    </row>
    <row r="87" spans="3:27">
      <c r="C87" s="446">
        <v>83</v>
      </c>
      <c r="D87" s="447">
        <v>27.9</v>
      </c>
      <c r="E87" s="447">
        <v>26.9</v>
      </c>
      <c r="F87" s="447">
        <v>25.9</v>
      </c>
      <c r="G87" s="447">
        <v>24.9</v>
      </c>
      <c r="H87" s="447">
        <v>23.9</v>
      </c>
      <c r="I87" s="447">
        <v>22.9</v>
      </c>
      <c r="J87" s="447">
        <v>21.9</v>
      </c>
      <c r="K87" s="447">
        <v>20.9</v>
      </c>
      <c r="L87" s="447">
        <v>19.899999999999999</v>
      </c>
      <c r="M87" s="447">
        <v>18.899999999999999</v>
      </c>
      <c r="N87" s="447">
        <v>17.899999999999999</v>
      </c>
      <c r="O87" s="447">
        <v>16.899999999999999</v>
      </c>
      <c r="P87" s="447">
        <v>15.9</v>
      </c>
      <c r="Q87" s="447">
        <v>14.9</v>
      </c>
      <c r="R87" s="447">
        <v>13.9</v>
      </c>
      <c r="S87" s="447">
        <v>10.9</v>
      </c>
      <c r="T87" s="447">
        <v>9.9</v>
      </c>
      <c r="U87" s="447">
        <v>6.9</v>
      </c>
      <c r="V87" s="447">
        <v>5.9</v>
      </c>
      <c r="W87" s="447">
        <v>4.9000000000000004</v>
      </c>
      <c r="X87" s="447">
        <v>4.8</v>
      </c>
      <c r="Y87" s="447">
        <v>4.5999999999999996</v>
      </c>
      <c r="Z87" s="447">
        <v>4.4000000000000004</v>
      </c>
      <c r="AA87" s="448">
        <v>4.0999999999999996</v>
      </c>
    </row>
    <row r="88" spans="3:27" ht="17.25" thickBot="1">
      <c r="C88" s="454">
        <v>84</v>
      </c>
      <c r="D88" s="455">
        <v>27</v>
      </c>
      <c r="E88" s="455">
        <v>26</v>
      </c>
      <c r="F88" s="455">
        <v>25</v>
      </c>
      <c r="G88" s="455">
        <v>24</v>
      </c>
      <c r="H88" s="455">
        <v>23</v>
      </c>
      <c r="I88" s="455">
        <v>22</v>
      </c>
      <c r="J88" s="455">
        <v>21</v>
      </c>
      <c r="K88" s="455">
        <v>20</v>
      </c>
      <c r="L88" s="455">
        <v>19</v>
      </c>
      <c r="M88" s="455">
        <v>18</v>
      </c>
      <c r="N88" s="455">
        <v>17</v>
      </c>
      <c r="O88" s="455">
        <v>16</v>
      </c>
      <c r="P88" s="455">
        <v>15</v>
      </c>
      <c r="Q88" s="455">
        <v>14</v>
      </c>
      <c r="R88" s="455">
        <v>13</v>
      </c>
      <c r="S88" s="455">
        <v>10</v>
      </c>
      <c r="T88" s="455">
        <v>9</v>
      </c>
      <c r="U88" s="455">
        <v>6</v>
      </c>
      <c r="V88" s="455">
        <v>5</v>
      </c>
      <c r="W88" s="455">
        <v>4</v>
      </c>
      <c r="X88" s="455">
        <v>4</v>
      </c>
      <c r="Y88" s="455">
        <v>4</v>
      </c>
      <c r="Z88" s="455">
        <v>4</v>
      </c>
      <c r="AA88" s="456">
        <v>4</v>
      </c>
    </row>
    <row r="89" spans="3:27">
      <c r="C89" s="457" t="s">
        <v>2821</v>
      </c>
    </row>
  </sheetData>
  <mergeCells count="1">
    <mergeCell ref="Z3:AA3"/>
  </mergeCells>
  <phoneticPr fontId="1" type="noConversion"/>
  <printOptions horizontalCentered="1" verticalCentered="1"/>
  <pageMargins left="0.31496062992125984" right="0.31496062992125984" top="0.39370078740157483" bottom="0.19685039370078741" header="0.19685039370078741" footer="0.19685039370078741"/>
  <pageSetup paperSize="9" scale="52" fitToWidth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4"/>
  <dimension ref="A1:AK501"/>
  <sheetViews>
    <sheetView tabSelected="1" zoomScale="98" zoomScaleNormal="98" workbookViewId="0">
      <pane xSplit="2" ySplit="2" topLeftCell="C3" activePane="bottomRight" state="frozen"/>
      <selection activeCell="L11" sqref="L11"/>
      <selection pane="topRight" activeCell="L11" sqref="L11"/>
      <selection pane="bottomLeft" activeCell="L11" sqref="L11"/>
      <selection pane="bottomRight" activeCell="C24" sqref="C24"/>
    </sheetView>
  </sheetViews>
  <sheetFormatPr defaultColWidth="9" defaultRowHeight="16.5"/>
  <cols>
    <col min="1" max="1" width="61.625" style="182" bestFit="1" customWidth="1"/>
    <col min="2" max="2" width="6.5" style="33" customWidth="1"/>
    <col min="3" max="3" width="7.875" style="196" customWidth="1"/>
    <col min="4" max="4" width="11.375" style="33" customWidth="1"/>
    <col min="5" max="5" width="21.75" style="33" customWidth="1"/>
    <col min="6" max="9" width="6.5" style="33" customWidth="1"/>
    <col min="10" max="10" width="39.25" style="33" customWidth="1"/>
    <col min="11" max="15" width="6.5" style="33" customWidth="1"/>
    <col min="16" max="16" width="6.5" style="196" customWidth="1"/>
    <col min="17" max="17" width="6.5" style="33" customWidth="1"/>
    <col min="18" max="18" width="19.75" style="33" customWidth="1"/>
    <col min="19" max="22" width="6.5" style="33" customWidth="1"/>
    <col min="23" max="23" width="6.5" style="752" customWidth="1"/>
    <col min="24" max="24" width="6.5" style="182" customWidth="1"/>
    <col min="25" max="25" width="6.5" style="713" customWidth="1"/>
    <col min="26" max="30" width="6.5" style="33" customWidth="1"/>
    <col min="31" max="31" width="13.75" style="33" customWidth="1"/>
    <col min="32" max="32" width="19.875" style="33" customWidth="1"/>
    <col min="34" max="35" width="19.875" style="33" customWidth="1"/>
    <col min="36" max="36" width="9" style="33" customWidth="1"/>
    <col min="37" max="16384" width="9" style="33"/>
  </cols>
  <sheetData>
    <row r="1" spans="1:37" ht="12" customHeight="1">
      <c r="A1" s="182">
        <v>1</v>
      </c>
      <c r="B1" s="33">
        <v>2</v>
      </c>
      <c r="C1" s="196">
        <v>3</v>
      </c>
      <c r="D1" s="33">
        <v>4</v>
      </c>
      <c r="E1" s="33">
        <v>5</v>
      </c>
      <c r="F1" s="33">
        <v>6</v>
      </c>
      <c r="G1" s="33">
        <v>7</v>
      </c>
      <c r="H1" s="33">
        <v>8</v>
      </c>
      <c r="I1" s="33">
        <v>9</v>
      </c>
      <c r="J1" s="33">
        <v>10</v>
      </c>
      <c r="K1" s="33">
        <v>11</v>
      </c>
      <c r="L1" s="33">
        <v>12</v>
      </c>
      <c r="M1" s="33">
        <v>13</v>
      </c>
      <c r="N1" s="33">
        <v>14</v>
      </c>
      <c r="O1" s="33">
        <v>15</v>
      </c>
      <c r="P1" s="33">
        <v>16</v>
      </c>
      <c r="Q1" s="33">
        <v>17</v>
      </c>
      <c r="R1" s="33">
        <v>18</v>
      </c>
      <c r="S1" s="33">
        <v>19</v>
      </c>
      <c r="T1" s="33">
        <v>20</v>
      </c>
      <c r="U1" s="33">
        <v>21</v>
      </c>
      <c r="V1" s="33">
        <v>22</v>
      </c>
      <c r="W1" s="752">
        <v>23</v>
      </c>
      <c r="X1" s="182">
        <v>24</v>
      </c>
      <c r="Y1" s="713">
        <v>25</v>
      </c>
      <c r="Z1" s="33">
        <v>26</v>
      </c>
      <c r="AA1" s="33">
        <v>27</v>
      </c>
      <c r="AB1" s="33">
        <v>28</v>
      </c>
      <c r="AC1" s="33">
        <v>29</v>
      </c>
      <c r="AD1" s="33">
        <v>30</v>
      </c>
      <c r="AE1" s="33">
        <v>31</v>
      </c>
      <c r="AF1" s="33">
        <v>32</v>
      </c>
      <c r="AG1" s="33">
        <v>33</v>
      </c>
      <c r="AH1" s="33">
        <v>34</v>
      </c>
      <c r="AI1" s="33">
        <v>35</v>
      </c>
      <c r="AJ1" s="33">
        <v>36</v>
      </c>
      <c r="AK1" s="33">
        <v>37</v>
      </c>
    </row>
    <row r="2" spans="1:37" s="764" customFormat="1" ht="12.75" customHeight="1">
      <c r="A2" s="755" t="s">
        <v>2228</v>
      </c>
      <c r="B2" s="756" t="s">
        <v>42</v>
      </c>
      <c r="C2" s="757" t="s">
        <v>43</v>
      </c>
      <c r="D2" s="756" t="s">
        <v>3530</v>
      </c>
      <c r="E2" s="758" t="s">
        <v>3477</v>
      </c>
      <c r="F2" s="756" t="s">
        <v>44</v>
      </c>
      <c r="G2" s="756" t="s">
        <v>45</v>
      </c>
      <c r="H2" s="756" t="s">
        <v>46</v>
      </c>
      <c r="I2" s="756" t="s">
        <v>47</v>
      </c>
      <c r="J2" s="756" t="s">
        <v>48</v>
      </c>
      <c r="K2" s="759" t="s">
        <v>0</v>
      </c>
      <c r="L2" s="759" t="s">
        <v>3428</v>
      </c>
      <c r="M2" s="756" t="s">
        <v>1702</v>
      </c>
      <c r="N2" s="756" t="s">
        <v>1703</v>
      </c>
      <c r="O2" s="756" t="s">
        <v>1704</v>
      </c>
      <c r="P2" s="757" t="s">
        <v>49</v>
      </c>
      <c r="Q2" s="756" t="s">
        <v>50</v>
      </c>
      <c r="R2" s="756" t="s">
        <v>51</v>
      </c>
      <c r="S2" s="756" t="s">
        <v>52</v>
      </c>
      <c r="T2" s="756" t="s">
        <v>53</v>
      </c>
      <c r="U2" s="756" t="s">
        <v>2904</v>
      </c>
      <c r="V2" s="760" t="s">
        <v>2944</v>
      </c>
      <c r="W2" s="753" t="s">
        <v>3054</v>
      </c>
      <c r="X2" s="760" t="s">
        <v>2931</v>
      </c>
      <c r="Y2" s="761" t="s">
        <v>2932</v>
      </c>
      <c r="Z2" s="760" t="s">
        <v>3156</v>
      </c>
      <c r="AA2" s="760" t="s">
        <v>3281</v>
      </c>
      <c r="AB2" s="760" t="s">
        <v>3431</v>
      </c>
      <c r="AC2" s="760" t="s">
        <v>3638</v>
      </c>
      <c r="AD2" s="756" t="s">
        <v>1372</v>
      </c>
      <c r="AE2" s="756" t="s">
        <v>1662</v>
      </c>
      <c r="AF2" s="756" t="s">
        <v>1661</v>
      </c>
      <c r="AG2" s="277" t="s">
        <v>3546</v>
      </c>
      <c r="AH2" s="756"/>
      <c r="AI2" s="756"/>
      <c r="AJ2" s="762"/>
      <c r="AK2" s="763"/>
    </row>
    <row r="3" spans="1:37" s="345" customFormat="1" ht="13.5" customHeight="1">
      <c r="A3" s="344" t="s">
        <v>3049</v>
      </c>
      <c r="C3" s="346" t="s">
        <v>2089</v>
      </c>
      <c r="D3" s="345" t="s">
        <v>2092</v>
      </c>
      <c r="E3" s="345" t="s">
        <v>2097</v>
      </c>
      <c r="F3" s="345">
        <v>3470</v>
      </c>
      <c r="G3" s="345">
        <v>3500</v>
      </c>
      <c r="H3" s="345" t="s">
        <v>142</v>
      </c>
      <c r="I3" s="33">
        <v>5</v>
      </c>
      <c r="J3" s="33"/>
      <c r="K3" s="33"/>
      <c r="L3" s="33"/>
      <c r="M3" s="33"/>
      <c r="N3" s="33"/>
      <c r="O3" s="33"/>
      <c r="P3" s="196">
        <v>1</v>
      </c>
      <c r="Q3" s="33" t="s">
        <v>2098</v>
      </c>
      <c r="R3" s="31" t="s">
        <v>508</v>
      </c>
      <c r="S3" s="33" t="s">
        <v>3270</v>
      </c>
      <c r="T3" s="33">
        <v>1</v>
      </c>
      <c r="U3" s="33" t="s">
        <v>2100</v>
      </c>
      <c r="V3" s="33">
        <v>24</v>
      </c>
      <c r="W3" s="752"/>
      <c r="X3" s="33" t="s">
        <v>2925</v>
      </c>
      <c r="Y3" s="345">
        <v>23</v>
      </c>
      <c r="Z3" s="33">
        <v>15</v>
      </c>
      <c r="AA3" s="33"/>
      <c r="AB3" s="33"/>
      <c r="AC3" s="33"/>
      <c r="AD3" s="716">
        <v>0.02</v>
      </c>
      <c r="AE3" s="345">
        <v>63000</v>
      </c>
      <c r="AF3" s="345">
        <v>118000</v>
      </c>
    </row>
    <row r="4" spans="1:37" ht="13.5" customHeight="1">
      <c r="A4" s="182" t="s">
        <v>3050</v>
      </c>
      <c r="C4" s="196" t="s">
        <v>2089</v>
      </c>
      <c r="D4" s="33" t="s">
        <v>2092</v>
      </c>
      <c r="E4" s="33" t="s">
        <v>2096</v>
      </c>
      <c r="F4" s="33">
        <v>3470</v>
      </c>
      <c r="G4" s="33">
        <v>3500</v>
      </c>
      <c r="H4" s="33" t="s">
        <v>142</v>
      </c>
      <c r="I4" s="33">
        <v>5</v>
      </c>
      <c r="P4" s="196">
        <v>1</v>
      </c>
      <c r="Q4" s="33" t="s">
        <v>2098</v>
      </c>
      <c r="R4" s="31" t="s">
        <v>508</v>
      </c>
      <c r="S4" s="33" t="s">
        <v>3270</v>
      </c>
      <c r="T4" s="33">
        <v>1</v>
      </c>
      <c r="U4" s="33" t="s">
        <v>2099</v>
      </c>
      <c r="V4" s="33">
        <v>18</v>
      </c>
      <c r="X4" s="708" t="s">
        <v>3451</v>
      </c>
      <c r="Y4" s="713">
        <v>16</v>
      </c>
      <c r="Z4" s="33">
        <v>14</v>
      </c>
      <c r="AD4" s="504">
        <v>0.02</v>
      </c>
      <c r="AE4" s="33">
        <v>41000</v>
      </c>
      <c r="AF4" s="33">
        <v>74000</v>
      </c>
      <c r="AJ4" s="303"/>
      <c r="AK4" s="33" t="s">
        <v>2917</v>
      </c>
    </row>
    <row r="5" spans="1:37" ht="13.5" customHeight="1">
      <c r="A5" s="182" t="s">
        <v>3051</v>
      </c>
      <c r="C5" s="196" t="s">
        <v>73</v>
      </c>
      <c r="D5" s="33" t="s">
        <v>2092</v>
      </c>
      <c r="E5" s="33" t="s">
        <v>2096</v>
      </c>
      <c r="F5" s="33">
        <v>3470</v>
      </c>
      <c r="G5" s="33">
        <v>3500</v>
      </c>
      <c r="H5" s="33" t="s">
        <v>142</v>
      </c>
      <c r="I5" s="33">
        <v>5</v>
      </c>
      <c r="P5" s="196">
        <v>1</v>
      </c>
      <c r="Q5" s="33" t="s">
        <v>117</v>
      </c>
      <c r="R5" s="31" t="s">
        <v>508</v>
      </c>
      <c r="S5" s="33" t="s">
        <v>3270</v>
      </c>
      <c r="T5" s="33">
        <v>1</v>
      </c>
      <c r="U5" s="33" t="s">
        <v>1670</v>
      </c>
      <c r="V5" s="33">
        <v>18</v>
      </c>
      <c r="X5" s="708" t="s">
        <v>3451</v>
      </c>
      <c r="Y5" s="713">
        <v>16</v>
      </c>
      <c r="Z5" s="33">
        <v>14</v>
      </c>
      <c r="AD5" s="504">
        <v>0.02</v>
      </c>
      <c r="AE5" s="33">
        <v>41000</v>
      </c>
      <c r="AF5" s="33">
        <v>74000</v>
      </c>
      <c r="AJ5" s="303"/>
      <c r="AK5" s="33" t="s">
        <v>2917</v>
      </c>
    </row>
    <row r="6" spans="1:37" ht="13.5" customHeight="1">
      <c r="A6" s="182" t="s">
        <v>3052</v>
      </c>
      <c r="C6" s="196" t="s">
        <v>40</v>
      </c>
      <c r="D6" s="33" t="s">
        <v>2942</v>
      </c>
      <c r="E6" s="33" t="s">
        <v>2943</v>
      </c>
      <c r="F6" s="33">
        <v>3470</v>
      </c>
      <c r="G6" s="33">
        <v>3500</v>
      </c>
      <c r="H6" s="33" t="s">
        <v>62</v>
      </c>
      <c r="I6" s="33">
        <v>4</v>
      </c>
      <c r="P6" s="196">
        <v>1</v>
      </c>
      <c r="Q6" s="33" t="s">
        <v>1743</v>
      </c>
      <c r="R6" s="31" t="s">
        <v>1764</v>
      </c>
      <c r="S6" s="33" t="s">
        <v>3270</v>
      </c>
      <c r="T6" s="33">
        <v>1</v>
      </c>
      <c r="U6" s="33" t="s">
        <v>1636</v>
      </c>
      <c r="V6" s="33">
        <v>18</v>
      </c>
      <c r="X6" s="708" t="s">
        <v>3451</v>
      </c>
      <c r="Y6" s="713">
        <v>16</v>
      </c>
      <c r="Z6" s="33">
        <v>14</v>
      </c>
      <c r="AD6" s="504">
        <v>0.02</v>
      </c>
      <c r="AE6" s="33">
        <v>41000</v>
      </c>
      <c r="AF6" s="33">
        <v>74000</v>
      </c>
      <c r="AJ6" s="303"/>
      <c r="AK6" s="33" t="s">
        <v>2917</v>
      </c>
    </row>
    <row r="7" spans="1:37" ht="13.5" customHeight="1">
      <c r="A7" s="182" t="s">
        <v>3053</v>
      </c>
      <c r="C7" s="196" t="s">
        <v>40</v>
      </c>
      <c r="D7" s="33" t="s">
        <v>2942</v>
      </c>
      <c r="E7" s="33" t="s">
        <v>2943</v>
      </c>
      <c r="F7" s="33">
        <v>3470</v>
      </c>
      <c r="G7" s="33">
        <v>3500</v>
      </c>
      <c r="H7" s="33" t="s">
        <v>62</v>
      </c>
      <c r="I7" s="33">
        <v>4</v>
      </c>
      <c r="P7" s="196">
        <v>1</v>
      </c>
      <c r="Q7" s="33" t="s">
        <v>1743</v>
      </c>
      <c r="R7" s="31" t="s">
        <v>1764</v>
      </c>
      <c r="S7" s="33" t="s">
        <v>3270</v>
      </c>
      <c r="T7" s="33">
        <v>1</v>
      </c>
      <c r="U7" s="33" t="s">
        <v>1636</v>
      </c>
      <c r="V7" s="33">
        <v>18</v>
      </c>
      <c r="X7" s="708" t="s">
        <v>3451</v>
      </c>
      <c r="Y7" s="713">
        <v>16</v>
      </c>
      <c r="Z7" s="33">
        <v>14</v>
      </c>
      <c r="AD7" s="504">
        <v>0.02</v>
      </c>
      <c r="AE7" s="33">
        <v>41000</v>
      </c>
      <c r="AF7" s="33">
        <v>74000</v>
      </c>
      <c r="AJ7" s="303"/>
      <c r="AK7" s="33" t="s">
        <v>2917</v>
      </c>
    </row>
    <row r="8" spans="1:37" ht="13.5" customHeight="1">
      <c r="A8" s="182" t="s">
        <v>3034</v>
      </c>
      <c r="C8" s="196" t="s">
        <v>73</v>
      </c>
      <c r="D8" s="33" t="s">
        <v>2092</v>
      </c>
      <c r="E8" s="33" t="s">
        <v>2096</v>
      </c>
      <c r="F8" s="33">
        <v>3470</v>
      </c>
      <c r="G8" s="33">
        <v>3500</v>
      </c>
      <c r="H8" s="33" t="s">
        <v>142</v>
      </c>
      <c r="I8" s="33">
        <v>5</v>
      </c>
      <c r="J8" s="33" t="s">
        <v>3037</v>
      </c>
      <c r="P8" s="196">
        <v>1</v>
      </c>
      <c r="Q8" s="33" t="s">
        <v>117</v>
      </c>
      <c r="R8" s="31" t="s">
        <v>508</v>
      </c>
      <c r="S8" s="33" t="s">
        <v>3270</v>
      </c>
      <c r="T8" s="33">
        <v>1</v>
      </c>
      <c r="V8" s="33">
        <v>20</v>
      </c>
      <c r="X8" s="708" t="s">
        <v>2920</v>
      </c>
      <c r="Y8" s="33">
        <v>23</v>
      </c>
      <c r="Z8" s="33">
        <v>14</v>
      </c>
      <c r="AD8" s="504">
        <v>0.02</v>
      </c>
      <c r="AE8" s="33">
        <v>41000</v>
      </c>
      <c r="AF8" s="33">
        <v>74000</v>
      </c>
      <c r="AG8" s="33"/>
      <c r="AJ8" s="303"/>
    </row>
    <row r="9" spans="1:37" ht="13.5" customHeight="1">
      <c r="A9" s="182" t="s">
        <v>3810</v>
      </c>
      <c r="C9" s="196" t="s">
        <v>73</v>
      </c>
      <c r="D9" s="33" t="s">
        <v>2092</v>
      </c>
      <c r="E9" s="33" t="s">
        <v>3033</v>
      </c>
      <c r="F9" s="33">
        <v>3470</v>
      </c>
      <c r="G9" s="33">
        <v>3500</v>
      </c>
      <c r="H9" s="33" t="s">
        <v>142</v>
      </c>
      <c r="I9" s="33">
        <v>4</v>
      </c>
      <c r="J9" s="33" t="s">
        <v>3038</v>
      </c>
      <c r="P9" s="196">
        <v>1</v>
      </c>
      <c r="Q9" s="33" t="s">
        <v>117</v>
      </c>
      <c r="R9" s="31" t="s">
        <v>508</v>
      </c>
      <c r="S9" s="33" t="s">
        <v>3270</v>
      </c>
      <c r="T9" s="33">
        <v>1</v>
      </c>
      <c r="V9" s="33">
        <v>20</v>
      </c>
      <c r="X9" s="708" t="s">
        <v>2920</v>
      </c>
      <c r="Y9" s="33">
        <v>23</v>
      </c>
      <c r="Z9" s="33">
        <v>14</v>
      </c>
      <c r="AD9" s="504">
        <v>0.02</v>
      </c>
      <c r="AE9" s="33">
        <v>41000</v>
      </c>
      <c r="AF9" s="33">
        <v>74000</v>
      </c>
      <c r="AG9" s="33"/>
      <c r="AJ9" s="303"/>
    </row>
    <row r="10" spans="1:37" ht="13.5" customHeight="1">
      <c r="A10" s="182" t="s">
        <v>3035</v>
      </c>
      <c r="C10" s="196" t="s">
        <v>73</v>
      </c>
      <c r="D10" s="33" t="s">
        <v>2092</v>
      </c>
      <c r="E10" s="33" t="s">
        <v>3033</v>
      </c>
      <c r="F10" s="33">
        <v>3470</v>
      </c>
      <c r="G10" s="33">
        <v>3500</v>
      </c>
      <c r="H10" s="33" t="s">
        <v>142</v>
      </c>
      <c r="I10" s="33">
        <v>5</v>
      </c>
      <c r="J10" s="33" t="s">
        <v>3039</v>
      </c>
      <c r="P10" s="196">
        <v>1</v>
      </c>
      <c r="Q10" s="33" t="s">
        <v>117</v>
      </c>
      <c r="R10" s="31" t="s">
        <v>508</v>
      </c>
      <c r="S10" s="33" t="s">
        <v>3270</v>
      </c>
      <c r="T10" s="33">
        <v>1</v>
      </c>
      <c r="V10" s="33">
        <v>20</v>
      </c>
      <c r="X10" s="708" t="s">
        <v>2920</v>
      </c>
      <c r="Y10" s="33">
        <v>23</v>
      </c>
      <c r="Z10" s="33">
        <v>14</v>
      </c>
      <c r="AD10" s="504">
        <v>0.02</v>
      </c>
      <c r="AE10" s="33">
        <v>41000</v>
      </c>
      <c r="AF10" s="33">
        <v>74000</v>
      </c>
      <c r="AG10" s="33"/>
      <c r="AJ10" s="303"/>
    </row>
    <row r="11" spans="1:37" ht="13.5" customHeight="1">
      <c r="A11" s="182" t="s">
        <v>3036</v>
      </c>
      <c r="C11" s="196" t="s">
        <v>73</v>
      </c>
      <c r="D11" s="33" t="s">
        <v>2092</v>
      </c>
      <c r="E11" s="33" t="s">
        <v>3033</v>
      </c>
      <c r="F11" s="33">
        <v>3470</v>
      </c>
      <c r="G11" s="33">
        <v>3500</v>
      </c>
      <c r="H11" s="33" t="s">
        <v>142</v>
      </c>
      <c r="I11" s="33">
        <v>4</v>
      </c>
      <c r="J11" s="33" t="s">
        <v>3040</v>
      </c>
      <c r="P11" s="196">
        <v>1</v>
      </c>
      <c r="Q11" s="33" t="s">
        <v>117</v>
      </c>
      <c r="R11" s="31" t="s">
        <v>508</v>
      </c>
      <c r="S11" s="33" t="s">
        <v>3270</v>
      </c>
      <c r="T11" s="33">
        <v>1</v>
      </c>
      <c r="V11" s="33">
        <v>20</v>
      </c>
      <c r="X11" s="708" t="s">
        <v>2920</v>
      </c>
      <c r="Y11" s="33">
        <v>23</v>
      </c>
      <c r="Z11" s="33">
        <v>14</v>
      </c>
      <c r="AD11" s="504">
        <v>0.02</v>
      </c>
      <c r="AE11" s="33">
        <v>41000</v>
      </c>
      <c r="AF11" s="33">
        <v>74000</v>
      </c>
      <c r="AG11" s="33"/>
      <c r="AJ11" s="303"/>
    </row>
    <row r="12" spans="1:37" ht="13.5" customHeight="1">
      <c r="A12" s="182" t="s">
        <v>3244</v>
      </c>
      <c r="C12" s="196" t="s">
        <v>73</v>
      </c>
      <c r="D12" s="33" t="s">
        <v>2092</v>
      </c>
      <c r="E12" s="33" t="s">
        <v>3247</v>
      </c>
      <c r="F12" s="33">
        <v>3470</v>
      </c>
      <c r="G12" s="33">
        <v>3500</v>
      </c>
      <c r="H12" s="33" t="s">
        <v>142</v>
      </c>
      <c r="I12" s="33">
        <v>5</v>
      </c>
      <c r="P12" s="196">
        <v>1</v>
      </c>
      <c r="Q12" s="33" t="s">
        <v>117</v>
      </c>
      <c r="R12" s="31" t="s">
        <v>508</v>
      </c>
      <c r="S12" s="33" t="s">
        <v>3270</v>
      </c>
      <c r="T12" s="33">
        <v>1</v>
      </c>
      <c r="V12" s="33">
        <v>20</v>
      </c>
      <c r="X12" s="708" t="s">
        <v>2944</v>
      </c>
      <c r="Y12" s="33">
        <v>23</v>
      </c>
      <c r="AD12" s="504">
        <v>0.02</v>
      </c>
      <c r="AE12" s="33">
        <v>63000</v>
      </c>
      <c r="AF12" s="33">
        <v>118000</v>
      </c>
      <c r="AG12" s="33"/>
      <c r="AJ12" s="303"/>
      <c r="AK12" s="33" t="s">
        <v>3248</v>
      </c>
    </row>
    <row r="13" spans="1:37" ht="13.5" customHeight="1">
      <c r="A13" s="182" t="s">
        <v>3245</v>
      </c>
      <c r="C13" s="196" t="s">
        <v>73</v>
      </c>
      <c r="D13" s="33" t="s">
        <v>2092</v>
      </c>
      <c r="E13" s="33" t="s">
        <v>3246</v>
      </c>
      <c r="F13" s="33">
        <v>3470</v>
      </c>
      <c r="G13" s="33">
        <v>3500</v>
      </c>
      <c r="H13" s="33" t="s">
        <v>142</v>
      </c>
      <c r="I13" s="33">
        <v>4</v>
      </c>
      <c r="P13" s="196">
        <v>1</v>
      </c>
      <c r="Q13" s="33" t="s">
        <v>117</v>
      </c>
      <c r="R13" s="31" t="s">
        <v>508</v>
      </c>
      <c r="S13" s="33" t="s">
        <v>3270</v>
      </c>
      <c r="T13" s="33">
        <v>1</v>
      </c>
      <c r="V13" s="33">
        <v>20</v>
      </c>
      <c r="X13" s="708" t="s">
        <v>2944</v>
      </c>
      <c r="Y13" s="713">
        <v>23</v>
      </c>
      <c r="AD13" s="504">
        <v>0.02</v>
      </c>
      <c r="AE13" s="33">
        <v>63000</v>
      </c>
      <c r="AF13" s="33">
        <v>118000</v>
      </c>
      <c r="AG13" s="33"/>
      <c r="AJ13" s="303"/>
      <c r="AK13" s="33" t="s">
        <v>3248</v>
      </c>
    </row>
    <row r="14" spans="1:37" ht="13.5" customHeight="1">
      <c r="A14" s="182" t="s">
        <v>3300</v>
      </c>
      <c r="C14" s="196" t="s">
        <v>40</v>
      </c>
      <c r="D14" s="33" t="s">
        <v>1632</v>
      </c>
      <c r="E14" s="33" t="s">
        <v>1632</v>
      </c>
      <c r="F14" s="33">
        <v>2497</v>
      </c>
      <c r="G14" s="33">
        <v>2500</v>
      </c>
      <c r="H14" s="33" t="s">
        <v>62</v>
      </c>
      <c r="I14" s="33">
        <v>5</v>
      </c>
      <c r="J14" s="33" t="s">
        <v>1900</v>
      </c>
      <c r="P14" s="196">
        <v>1</v>
      </c>
      <c r="Q14" s="33" t="s">
        <v>1743</v>
      </c>
      <c r="R14" s="33" t="s">
        <v>1813</v>
      </c>
      <c r="S14" s="33" t="s">
        <v>3270</v>
      </c>
      <c r="T14" s="33">
        <v>1</v>
      </c>
      <c r="U14" s="33" t="s">
        <v>2269</v>
      </c>
      <c r="V14" s="33">
        <v>2</v>
      </c>
      <c r="W14" s="752" t="s">
        <v>3620</v>
      </c>
      <c r="X14" s="33" t="s">
        <v>2914</v>
      </c>
      <c r="Y14" s="713" t="s">
        <v>3480</v>
      </c>
      <c r="Z14" s="33">
        <v>8</v>
      </c>
      <c r="AD14" s="504">
        <v>0.02</v>
      </c>
      <c r="AE14" s="33">
        <v>28000</v>
      </c>
      <c r="AF14" s="33">
        <v>49000</v>
      </c>
      <c r="AG14" s="33"/>
      <c r="AJ14" s="214"/>
    </row>
    <row r="15" spans="1:37" ht="13.5" customHeight="1">
      <c r="A15" s="182" t="s">
        <v>3301</v>
      </c>
      <c r="C15" s="196" t="s">
        <v>40</v>
      </c>
      <c r="D15" s="33" t="s">
        <v>1632</v>
      </c>
      <c r="E15" s="33" t="s">
        <v>1632</v>
      </c>
      <c r="F15" s="33">
        <v>2497</v>
      </c>
      <c r="G15" s="33">
        <v>2500</v>
      </c>
      <c r="H15" s="33" t="s">
        <v>62</v>
      </c>
      <c r="I15" s="33">
        <v>5</v>
      </c>
      <c r="J15" s="33" t="s">
        <v>1909</v>
      </c>
      <c r="P15" s="196">
        <v>1</v>
      </c>
      <c r="Q15" s="33" t="s">
        <v>1743</v>
      </c>
      <c r="R15" s="33" t="s">
        <v>1813</v>
      </c>
      <c r="S15" s="33" t="s">
        <v>3270</v>
      </c>
      <c r="T15" s="33">
        <v>1</v>
      </c>
      <c r="U15" s="33" t="s">
        <v>2269</v>
      </c>
      <c r="V15" s="33">
        <v>2</v>
      </c>
      <c r="W15" s="752" t="s">
        <v>3620</v>
      </c>
      <c r="X15" s="33" t="s">
        <v>2914</v>
      </c>
      <c r="Y15" s="713" t="s">
        <v>3480</v>
      </c>
      <c r="Z15" s="33">
        <v>8</v>
      </c>
      <c r="AD15" s="504">
        <v>0.02</v>
      </c>
      <c r="AE15" s="33">
        <v>28000</v>
      </c>
      <c r="AF15" s="33">
        <v>49000</v>
      </c>
      <c r="AG15" s="33"/>
      <c r="AJ15" s="214"/>
    </row>
    <row r="16" spans="1:37" ht="13.5" customHeight="1">
      <c r="A16" s="182" t="s">
        <v>3302</v>
      </c>
      <c r="C16" s="196" t="s">
        <v>40</v>
      </c>
      <c r="D16" s="33" t="s">
        <v>1632</v>
      </c>
      <c r="E16" s="33" t="s">
        <v>1632</v>
      </c>
      <c r="F16" s="33">
        <v>2497</v>
      </c>
      <c r="G16" s="33">
        <v>2500</v>
      </c>
      <c r="H16" s="33" t="s">
        <v>62</v>
      </c>
      <c r="I16" s="33">
        <v>5</v>
      </c>
      <c r="J16" s="33" t="s">
        <v>1902</v>
      </c>
      <c r="P16" s="196">
        <v>1</v>
      </c>
      <c r="Q16" s="33" t="s">
        <v>1743</v>
      </c>
      <c r="R16" s="33" t="s">
        <v>1813</v>
      </c>
      <c r="S16" s="33" t="s">
        <v>3270</v>
      </c>
      <c r="T16" s="33">
        <v>1</v>
      </c>
      <c r="U16" s="33" t="s">
        <v>2269</v>
      </c>
      <c r="V16" s="33">
        <v>2</v>
      </c>
      <c r="W16" s="752" t="s">
        <v>3620</v>
      </c>
      <c r="X16" s="33" t="s">
        <v>2914</v>
      </c>
      <c r="Y16" s="713" t="s">
        <v>3480</v>
      </c>
      <c r="Z16" s="33">
        <v>8</v>
      </c>
      <c r="AD16" s="504">
        <v>0.02</v>
      </c>
      <c r="AE16" s="33">
        <v>28000</v>
      </c>
      <c r="AF16" s="33">
        <v>49000</v>
      </c>
      <c r="AG16" s="33"/>
      <c r="AJ16" s="214"/>
    </row>
    <row r="17" spans="1:36" ht="13.5" customHeight="1">
      <c r="A17" s="182" t="s">
        <v>3303</v>
      </c>
      <c r="C17" s="196" t="s">
        <v>40</v>
      </c>
      <c r="D17" s="33" t="s">
        <v>1632</v>
      </c>
      <c r="E17" s="33" t="s">
        <v>1632</v>
      </c>
      <c r="F17" s="33">
        <v>2497</v>
      </c>
      <c r="G17" s="33">
        <v>2500</v>
      </c>
      <c r="H17" s="33" t="s">
        <v>62</v>
      </c>
      <c r="I17" s="33">
        <v>5</v>
      </c>
      <c r="J17" s="33" t="s">
        <v>1912</v>
      </c>
      <c r="P17" s="196">
        <v>1</v>
      </c>
      <c r="Q17" s="33" t="s">
        <v>1743</v>
      </c>
      <c r="R17" s="33" t="s">
        <v>1813</v>
      </c>
      <c r="S17" s="33" t="s">
        <v>3270</v>
      </c>
      <c r="T17" s="33">
        <v>1</v>
      </c>
      <c r="U17" s="33" t="s">
        <v>2269</v>
      </c>
      <c r="V17" s="33">
        <v>2</v>
      </c>
      <c r="W17" s="752" t="s">
        <v>3620</v>
      </c>
      <c r="X17" s="33" t="s">
        <v>2914</v>
      </c>
      <c r="Y17" s="713" t="s">
        <v>3480</v>
      </c>
      <c r="Z17" s="33">
        <v>8</v>
      </c>
      <c r="AD17" s="504">
        <v>0.02</v>
      </c>
      <c r="AE17" s="33">
        <v>28000</v>
      </c>
      <c r="AF17" s="33">
        <v>49000</v>
      </c>
      <c r="AG17" s="33"/>
      <c r="AJ17" s="214"/>
    </row>
    <row r="18" spans="1:36" ht="13.5" customHeight="1">
      <c r="A18" s="182" t="s">
        <v>3304</v>
      </c>
      <c r="C18" s="196" t="s">
        <v>40</v>
      </c>
      <c r="D18" s="33" t="s">
        <v>1632</v>
      </c>
      <c r="E18" s="33" t="s">
        <v>1632</v>
      </c>
      <c r="F18" s="33">
        <v>3470</v>
      </c>
      <c r="G18" s="33">
        <v>3500</v>
      </c>
      <c r="H18" s="33" t="s">
        <v>62</v>
      </c>
      <c r="I18" s="33">
        <v>5</v>
      </c>
      <c r="J18" s="33" t="s">
        <v>1904</v>
      </c>
      <c r="P18" s="196">
        <v>1</v>
      </c>
      <c r="Q18" s="33" t="s">
        <v>1743</v>
      </c>
      <c r="R18" s="33" t="s">
        <v>1813</v>
      </c>
      <c r="S18" s="33" t="s">
        <v>3270</v>
      </c>
      <c r="T18" s="33">
        <v>1</v>
      </c>
      <c r="U18" s="33" t="s">
        <v>1676</v>
      </c>
      <c r="V18" s="33">
        <v>14</v>
      </c>
      <c r="X18" s="33" t="s">
        <v>2914</v>
      </c>
      <c r="Y18" s="33">
        <v>12</v>
      </c>
      <c r="Z18" s="33">
        <v>9</v>
      </c>
      <c r="AD18" s="504">
        <v>0.02</v>
      </c>
      <c r="AE18" s="33">
        <v>31000</v>
      </c>
      <c r="AF18" s="33">
        <v>55000</v>
      </c>
      <c r="AG18" s="33"/>
      <c r="AJ18" s="214"/>
    </row>
    <row r="19" spans="1:36" ht="13.5" customHeight="1">
      <c r="A19" s="182" t="s">
        <v>3305</v>
      </c>
      <c r="C19" s="196" t="s">
        <v>40</v>
      </c>
      <c r="D19" s="33" t="s">
        <v>1632</v>
      </c>
      <c r="E19" s="33" t="s">
        <v>1632</v>
      </c>
      <c r="F19" s="33">
        <v>3470</v>
      </c>
      <c r="G19" s="33">
        <v>3500</v>
      </c>
      <c r="H19" s="33" t="s">
        <v>62</v>
      </c>
      <c r="I19" s="33">
        <v>5</v>
      </c>
      <c r="J19" s="33" t="s">
        <v>3306</v>
      </c>
      <c r="P19" s="196">
        <v>1</v>
      </c>
      <c r="Q19" s="33" t="s">
        <v>1743</v>
      </c>
      <c r="R19" s="33" t="s">
        <v>1813</v>
      </c>
      <c r="S19" s="33" t="s">
        <v>3270</v>
      </c>
      <c r="T19" s="33">
        <v>1</v>
      </c>
      <c r="U19" s="33" t="s">
        <v>1676</v>
      </c>
      <c r="V19" s="33">
        <v>14</v>
      </c>
      <c r="X19" s="33" t="s">
        <v>2914</v>
      </c>
      <c r="Y19" s="33">
        <v>12</v>
      </c>
      <c r="Z19" s="33">
        <v>9</v>
      </c>
      <c r="AD19" s="504">
        <v>0.02</v>
      </c>
      <c r="AE19" s="33">
        <v>31000</v>
      </c>
      <c r="AF19" s="33">
        <v>55000</v>
      </c>
      <c r="AG19" s="33"/>
      <c r="AJ19" s="214"/>
    </row>
    <row r="20" spans="1:36" ht="13.5" customHeight="1">
      <c r="A20" s="182" t="s">
        <v>3307</v>
      </c>
      <c r="C20" s="196" t="s">
        <v>40</v>
      </c>
      <c r="D20" s="33" t="s">
        <v>1632</v>
      </c>
      <c r="E20" s="33" t="s">
        <v>1632</v>
      </c>
      <c r="F20" s="33">
        <v>3470</v>
      </c>
      <c r="G20" s="33">
        <v>3500</v>
      </c>
      <c r="H20" s="33" t="s">
        <v>62</v>
      </c>
      <c r="I20" s="33">
        <v>5</v>
      </c>
      <c r="J20" s="33" t="s">
        <v>1906</v>
      </c>
      <c r="P20" s="196">
        <v>1</v>
      </c>
      <c r="Q20" s="33" t="s">
        <v>1743</v>
      </c>
      <c r="R20" s="33" t="s">
        <v>1813</v>
      </c>
      <c r="S20" s="33" t="s">
        <v>3270</v>
      </c>
      <c r="T20" s="33">
        <v>1</v>
      </c>
      <c r="U20" s="33" t="s">
        <v>3309</v>
      </c>
      <c r="V20" s="33">
        <v>14</v>
      </c>
      <c r="X20" s="33" t="s">
        <v>2914</v>
      </c>
      <c r="Y20" s="33">
        <v>12</v>
      </c>
      <c r="Z20" s="33">
        <v>9</v>
      </c>
      <c r="AD20" s="504">
        <v>0.02</v>
      </c>
      <c r="AE20" s="33">
        <v>31000</v>
      </c>
      <c r="AF20" s="33">
        <v>55000</v>
      </c>
      <c r="AG20" s="33"/>
      <c r="AJ20" s="214"/>
    </row>
    <row r="21" spans="1:36" ht="13.5" customHeight="1">
      <c r="A21" s="182" t="s">
        <v>3308</v>
      </c>
      <c r="C21" s="196" t="s">
        <v>40</v>
      </c>
      <c r="D21" s="33" t="s">
        <v>1632</v>
      </c>
      <c r="E21" s="33" t="s">
        <v>1632</v>
      </c>
      <c r="F21" s="33">
        <v>3470</v>
      </c>
      <c r="G21" s="33">
        <v>3500</v>
      </c>
      <c r="H21" s="33" t="s">
        <v>62</v>
      </c>
      <c r="I21" s="33">
        <v>5</v>
      </c>
      <c r="J21" s="33" t="s">
        <v>1915</v>
      </c>
      <c r="P21" s="196">
        <v>1</v>
      </c>
      <c r="Q21" s="33" t="s">
        <v>1743</v>
      </c>
      <c r="R21" s="33" t="s">
        <v>1813</v>
      </c>
      <c r="S21" s="33" t="s">
        <v>3270</v>
      </c>
      <c r="T21" s="33">
        <v>1</v>
      </c>
      <c r="U21" s="33" t="s">
        <v>3309</v>
      </c>
      <c r="V21" s="33">
        <v>14</v>
      </c>
      <c r="X21" s="33" t="s">
        <v>2914</v>
      </c>
      <c r="Y21" s="33">
        <v>12</v>
      </c>
      <c r="Z21" s="33">
        <v>9</v>
      </c>
      <c r="AD21" s="504">
        <v>0.02</v>
      </c>
      <c r="AE21" s="33">
        <v>31000</v>
      </c>
      <c r="AF21" s="33">
        <v>55000</v>
      </c>
      <c r="AG21" s="33"/>
      <c r="AJ21" s="214"/>
    </row>
    <row r="22" spans="1:36" ht="13.5" customHeight="1">
      <c r="A22" s="182" t="s">
        <v>2618</v>
      </c>
      <c r="C22" s="196" t="s">
        <v>40</v>
      </c>
      <c r="D22" s="33" t="s">
        <v>2621</v>
      </c>
      <c r="E22" s="33" t="s">
        <v>2617</v>
      </c>
      <c r="F22" s="33">
        <v>3470</v>
      </c>
      <c r="G22" s="33">
        <v>3500</v>
      </c>
      <c r="H22" s="33" t="s">
        <v>2622</v>
      </c>
      <c r="I22" s="33">
        <v>5</v>
      </c>
      <c r="J22" s="33" t="s">
        <v>2623</v>
      </c>
      <c r="P22" s="196">
        <v>1</v>
      </c>
      <c r="Q22" s="33" t="s">
        <v>1743</v>
      </c>
      <c r="R22" s="33" t="s">
        <v>1813</v>
      </c>
      <c r="S22" s="33" t="s">
        <v>3270</v>
      </c>
      <c r="T22" s="33">
        <v>1</v>
      </c>
      <c r="U22" s="33" t="s">
        <v>2626</v>
      </c>
      <c r="V22" s="33">
        <v>22</v>
      </c>
      <c r="X22" s="33" t="s">
        <v>2908</v>
      </c>
      <c r="Y22" s="33">
        <v>20</v>
      </c>
      <c r="Z22" s="33">
        <v>8</v>
      </c>
      <c r="AD22" s="504">
        <v>0.02</v>
      </c>
      <c r="AE22" s="33">
        <v>41000</v>
      </c>
      <c r="AF22" s="33">
        <v>74000</v>
      </c>
      <c r="AG22" s="33"/>
      <c r="AJ22" s="216"/>
    </row>
    <row r="23" spans="1:36" ht="13.5" customHeight="1">
      <c r="A23" s="182" t="s">
        <v>2619</v>
      </c>
      <c r="C23" s="196" t="s">
        <v>40</v>
      </c>
      <c r="D23" s="33" t="s">
        <v>2621</v>
      </c>
      <c r="E23" s="33" t="s">
        <v>2617</v>
      </c>
      <c r="F23" s="33">
        <v>3470</v>
      </c>
      <c r="G23" s="33">
        <v>3500</v>
      </c>
      <c r="H23" s="33" t="s">
        <v>2622</v>
      </c>
      <c r="I23" s="33">
        <v>5</v>
      </c>
      <c r="J23" s="33" t="s">
        <v>2624</v>
      </c>
      <c r="P23" s="196">
        <v>1</v>
      </c>
      <c r="Q23" s="33" t="s">
        <v>1743</v>
      </c>
      <c r="R23" s="33" t="s">
        <v>1813</v>
      </c>
      <c r="S23" s="33" t="s">
        <v>3270</v>
      </c>
      <c r="T23" s="33">
        <v>1</v>
      </c>
      <c r="U23" s="33" t="s">
        <v>2626</v>
      </c>
      <c r="V23" s="33">
        <v>20</v>
      </c>
      <c r="X23" s="33" t="s">
        <v>2908</v>
      </c>
      <c r="Y23" s="33">
        <v>10</v>
      </c>
      <c r="Z23" s="33">
        <v>8</v>
      </c>
      <c r="AD23" s="504">
        <v>0.02</v>
      </c>
      <c r="AE23" s="33">
        <v>41000</v>
      </c>
      <c r="AF23" s="33">
        <v>74000</v>
      </c>
      <c r="AG23" s="33"/>
      <c r="AJ23" s="216"/>
    </row>
    <row r="24" spans="1:36" ht="13.5" customHeight="1">
      <c r="A24" s="182" t="s">
        <v>3452</v>
      </c>
      <c r="C24" s="196" t="s">
        <v>40</v>
      </c>
      <c r="D24" s="33" t="s">
        <v>2621</v>
      </c>
      <c r="E24" s="33" t="s">
        <v>2617</v>
      </c>
      <c r="F24" s="33">
        <v>3470</v>
      </c>
      <c r="G24" s="33">
        <v>3500</v>
      </c>
      <c r="H24" s="33" t="s">
        <v>142</v>
      </c>
      <c r="I24" s="33">
        <v>5</v>
      </c>
      <c r="J24" s="33" t="s">
        <v>3460</v>
      </c>
      <c r="P24" s="196">
        <v>1</v>
      </c>
      <c r="Q24" s="33" t="s">
        <v>1743</v>
      </c>
      <c r="R24" s="33" t="s">
        <v>1813</v>
      </c>
      <c r="S24" s="33" t="s">
        <v>3381</v>
      </c>
      <c r="T24" s="33">
        <v>1</v>
      </c>
      <c r="U24" s="33" t="s">
        <v>3116</v>
      </c>
      <c r="V24" s="33">
        <v>20</v>
      </c>
      <c r="X24" s="33" t="s">
        <v>2908</v>
      </c>
      <c r="Y24" s="33">
        <v>10</v>
      </c>
      <c r="Z24" s="33">
        <v>8</v>
      </c>
      <c r="AD24" s="504">
        <v>0.02</v>
      </c>
      <c r="AE24" s="33">
        <v>41000</v>
      </c>
      <c r="AF24" s="33">
        <v>74000</v>
      </c>
      <c r="AG24" s="33"/>
      <c r="AJ24" s="216"/>
    </row>
    <row r="25" spans="1:36" ht="13.5" customHeight="1">
      <c r="A25" s="182" t="s">
        <v>3453</v>
      </c>
      <c r="C25" s="196" t="s">
        <v>40</v>
      </c>
      <c r="D25" s="33" t="s">
        <v>2621</v>
      </c>
      <c r="E25" s="33" t="s">
        <v>2617</v>
      </c>
      <c r="F25" s="33">
        <v>3470</v>
      </c>
      <c r="G25" s="33">
        <v>3500</v>
      </c>
      <c r="H25" s="33" t="s">
        <v>142</v>
      </c>
      <c r="I25" s="33">
        <v>5</v>
      </c>
      <c r="J25" s="33" t="s">
        <v>3461</v>
      </c>
      <c r="P25" s="196">
        <v>1</v>
      </c>
      <c r="Q25" s="33" t="s">
        <v>1743</v>
      </c>
      <c r="R25" s="33" t="s">
        <v>1813</v>
      </c>
      <c r="S25" s="33" t="s">
        <v>3381</v>
      </c>
      <c r="T25" s="33">
        <v>1</v>
      </c>
      <c r="U25" s="33" t="s">
        <v>3116</v>
      </c>
      <c r="V25" s="33">
        <v>22</v>
      </c>
      <c r="X25" s="33" t="s">
        <v>2908</v>
      </c>
      <c r="Y25" s="33">
        <v>20</v>
      </c>
      <c r="Z25" s="33">
        <v>8</v>
      </c>
      <c r="AD25" s="504">
        <v>0.02</v>
      </c>
      <c r="AE25" s="33">
        <v>41000</v>
      </c>
      <c r="AF25" s="33">
        <v>74000</v>
      </c>
      <c r="AG25" s="33"/>
      <c r="AJ25" s="216"/>
    </row>
    <row r="26" spans="1:36" ht="13.5" customHeight="1">
      <c r="A26" s="182" t="s">
        <v>2620</v>
      </c>
      <c r="C26" s="196" t="s">
        <v>40</v>
      </c>
      <c r="D26" s="33" t="s">
        <v>2621</v>
      </c>
      <c r="E26" s="33" t="s">
        <v>2617</v>
      </c>
      <c r="F26" s="33">
        <v>2497</v>
      </c>
      <c r="G26" s="33">
        <v>2500</v>
      </c>
      <c r="H26" s="33" t="s">
        <v>2622</v>
      </c>
      <c r="I26" s="33">
        <v>5</v>
      </c>
      <c r="J26" s="33" t="s">
        <v>2625</v>
      </c>
      <c r="P26" s="196">
        <v>1</v>
      </c>
      <c r="Q26" s="33" t="s">
        <v>1743</v>
      </c>
      <c r="R26" s="33" t="s">
        <v>1813</v>
      </c>
      <c r="S26" s="33" t="s">
        <v>3270</v>
      </c>
      <c r="T26" s="33">
        <v>1</v>
      </c>
      <c r="U26" s="33" t="s">
        <v>2626</v>
      </c>
      <c r="V26" s="33">
        <v>8</v>
      </c>
      <c r="X26" s="33" t="s">
        <v>2908</v>
      </c>
      <c r="Y26" s="717">
        <v>5</v>
      </c>
      <c r="Z26" s="33">
        <v>8</v>
      </c>
      <c r="AD26" s="504">
        <v>0.02</v>
      </c>
      <c r="AE26" s="33">
        <v>37000</v>
      </c>
      <c r="AF26" s="33">
        <v>66000</v>
      </c>
      <c r="AG26" s="33"/>
      <c r="AJ26" s="216"/>
    </row>
    <row r="27" spans="1:36" ht="13.5" customHeight="1">
      <c r="A27" s="182" t="s">
        <v>3491</v>
      </c>
      <c r="C27" s="196" t="s">
        <v>40</v>
      </c>
      <c r="D27" s="33" t="s">
        <v>2621</v>
      </c>
      <c r="E27" s="33" t="s">
        <v>2617</v>
      </c>
      <c r="F27" s="33">
        <v>2497</v>
      </c>
      <c r="G27" s="33">
        <v>2500</v>
      </c>
      <c r="H27" s="33" t="s">
        <v>142</v>
      </c>
      <c r="I27" s="33">
        <v>5</v>
      </c>
      <c r="J27" s="33" t="s">
        <v>3498</v>
      </c>
      <c r="P27" s="196">
        <v>1</v>
      </c>
      <c r="Q27" s="33" t="s">
        <v>1743</v>
      </c>
      <c r="R27" s="33" t="s">
        <v>1813</v>
      </c>
      <c r="S27" s="33" t="s">
        <v>3270</v>
      </c>
      <c r="T27" s="33">
        <v>1</v>
      </c>
      <c r="U27" s="33" t="s">
        <v>2269</v>
      </c>
      <c r="V27" s="33">
        <v>8</v>
      </c>
      <c r="X27" s="33" t="s">
        <v>2908</v>
      </c>
      <c r="Y27" s="717">
        <v>5</v>
      </c>
      <c r="Z27" s="33">
        <v>8</v>
      </c>
      <c r="AD27" s="504">
        <v>0.02</v>
      </c>
      <c r="AE27" s="33">
        <v>37000</v>
      </c>
      <c r="AF27" s="33">
        <v>66000</v>
      </c>
      <c r="AG27" s="33"/>
      <c r="AJ27" s="216"/>
    </row>
    <row r="28" spans="1:36" ht="13.5" customHeight="1">
      <c r="A28" s="182" t="s">
        <v>2605</v>
      </c>
      <c r="C28" s="196" t="s">
        <v>40</v>
      </c>
      <c r="D28" s="33" t="s">
        <v>1633</v>
      </c>
      <c r="E28" s="33" t="s">
        <v>1633</v>
      </c>
      <c r="F28" s="33">
        <v>2498</v>
      </c>
      <c r="G28" s="33">
        <v>2500</v>
      </c>
      <c r="H28" s="33" t="s">
        <v>62</v>
      </c>
      <c r="I28" s="33">
        <v>5</v>
      </c>
      <c r="J28" s="33" t="s">
        <v>1921</v>
      </c>
      <c r="P28" s="196">
        <v>1</v>
      </c>
      <c r="Q28" s="33" t="s">
        <v>1743</v>
      </c>
      <c r="R28" s="33" t="s">
        <v>1813</v>
      </c>
      <c r="S28" s="33" t="s">
        <v>3270</v>
      </c>
      <c r="T28" s="33">
        <v>1</v>
      </c>
      <c r="U28" s="33" t="s">
        <v>2569</v>
      </c>
      <c r="V28" s="33">
        <v>2</v>
      </c>
      <c r="W28" s="752" t="s">
        <v>3620</v>
      </c>
      <c r="X28" s="33" t="s">
        <v>2908</v>
      </c>
      <c r="Y28" s="713" t="s">
        <v>3480</v>
      </c>
      <c r="Z28" s="33">
        <v>8</v>
      </c>
      <c r="AD28" s="504">
        <v>0.02</v>
      </c>
      <c r="AE28" s="33">
        <v>36000</v>
      </c>
      <c r="AF28" s="33">
        <v>63000</v>
      </c>
      <c r="AG28" s="33"/>
      <c r="AJ28" s="216"/>
    </row>
    <row r="29" spans="1:36" ht="13.5" customHeight="1">
      <c r="A29" s="182" t="s">
        <v>2606</v>
      </c>
      <c r="C29" s="196" t="s">
        <v>40</v>
      </c>
      <c r="D29" s="33" t="s">
        <v>1633</v>
      </c>
      <c r="E29" s="33" t="s">
        <v>1633</v>
      </c>
      <c r="F29" s="33">
        <v>2498</v>
      </c>
      <c r="G29" s="33">
        <v>2500</v>
      </c>
      <c r="H29" s="33" t="s">
        <v>62</v>
      </c>
      <c r="I29" s="33">
        <v>6</v>
      </c>
      <c r="J29" s="33" t="s">
        <v>2049</v>
      </c>
      <c r="P29" s="196">
        <v>1</v>
      </c>
      <c r="Q29" s="33" t="s">
        <v>1814</v>
      </c>
      <c r="R29" s="33" t="s">
        <v>1813</v>
      </c>
      <c r="S29" s="33" t="s">
        <v>3270</v>
      </c>
      <c r="T29" s="33">
        <v>1</v>
      </c>
      <c r="U29" s="33" t="s">
        <v>2569</v>
      </c>
      <c r="V29" s="33">
        <v>2</v>
      </c>
      <c r="W29" s="752" t="s">
        <v>3620</v>
      </c>
      <c r="X29" s="33" t="s">
        <v>2908</v>
      </c>
      <c r="Y29" s="713" t="s">
        <v>3480</v>
      </c>
      <c r="Z29" s="33">
        <v>8</v>
      </c>
      <c r="AD29" s="504">
        <v>0.02</v>
      </c>
      <c r="AE29" s="33">
        <v>36000</v>
      </c>
      <c r="AF29" s="33">
        <v>63000</v>
      </c>
      <c r="AG29" s="33"/>
      <c r="AJ29" s="216"/>
    </row>
    <row r="30" spans="1:36" ht="13.5" customHeight="1">
      <c r="A30" s="182" t="s">
        <v>2607</v>
      </c>
      <c r="C30" s="196" t="s">
        <v>40</v>
      </c>
      <c r="D30" s="33" t="s">
        <v>1633</v>
      </c>
      <c r="E30" s="33" t="s">
        <v>1633</v>
      </c>
      <c r="F30" s="33">
        <v>2498</v>
      </c>
      <c r="G30" s="33">
        <v>2500</v>
      </c>
      <c r="H30" s="33" t="s">
        <v>62</v>
      </c>
      <c r="I30" s="33">
        <v>7</v>
      </c>
      <c r="J30" s="33" t="s">
        <v>1923</v>
      </c>
      <c r="P30" s="196">
        <v>1</v>
      </c>
      <c r="Q30" s="33" t="s">
        <v>1814</v>
      </c>
      <c r="R30" s="33" t="s">
        <v>1813</v>
      </c>
      <c r="S30" s="33" t="s">
        <v>3270</v>
      </c>
      <c r="T30" s="33">
        <v>1</v>
      </c>
      <c r="U30" s="33" t="s">
        <v>2569</v>
      </c>
      <c r="V30" s="33">
        <v>2</v>
      </c>
      <c r="W30" s="752" t="s">
        <v>3620</v>
      </c>
      <c r="X30" s="33" t="s">
        <v>2908</v>
      </c>
      <c r="Y30" s="713" t="s">
        <v>3480</v>
      </c>
      <c r="Z30" s="33">
        <v>8</v>
      </c>
      <c r="AD30" s="504">
        <v>0.02</v>
      </c>
      <c r="AE30" s="33">
        <v>36000</v>
      </c>
      <c r="AF30" s="33">
        <v>63000</v>
      </c>
      <c r="AG30" s="33"/>
      <c r="AJ30" s="216"/>
    </row>
    <row r="31" spans="1:36" ht="13.5" customHeight="1">
      <c r="A31" s="182" t="s">
        <v>2608</v>
      </c>
      <c r="C31" s="196" t="s">
        <v>40</v>
      </c>
      <c r="D31" s="33" t="s">
        <v>1633</v>
      </c>
      <c r="E31" s="33" t="s">
        <v>1633</v>
      </c>
      <c r="F31" s="33">
        <v>2498</v>
      </c>
      <c r="G31" s="33">
        <v>2500</v>
      </c>
      <c r="H31" s="33" t="s">
        <v>62</v>
      </c>
      <c r="I31" s="33">
        <v>5</v>
      </c>
      <c r="J31" s="33" t="s">
        <v>1925</v>
      </c>
      <c r="P31" s="196">
        <v>1</v>
      </c>
      <c r="Q31" s="33" t="s">
        <v>1743</v>
      </c>
      <c r="R31" s="33" t="s">
        <v>1813</v>
      </c>
      <c r="S31" s="33" t="s">
        <v>3270</v>
      </c>
      <c r="T31" s="33">
        <v>1</v>
      </c>
      <c r="U31" s="33" t="s">
        <v>2569</v>
      </c>
      <c r="V31" s="33">
        <v>2</v>
      </c>
      <c r="W31" s="752" t="s">
        <v>3620</v>
      </c>
      <c r="X31" s="33" t="s">
        <v>2908</v>
      </c>
      <c r="Y31" s="713" t="s">
        <v>3480</v>
      </c>
      <c r="Z31" s="33">
        <v>8</v>
      </c>
      <c r="AD31" s="504">
        <v>0.02</v>
      </c>
      <c r="AE31" s="33">
        <v>36000</v>
      </c>
      <c r="AF31" s="33">
        <v>63000</v>
      </c>
      <c r="AG31" s="33"/>
      <c r="AJ31" s="216"/>
    </row>
    <row r="32" spans="1:36" ht="13.5" customHeight="1">
      <c r="A32" s="182" t="s">
        <v>2609</v>
      </c>
      <c r="C32" s="196" t="s">
        <v>40</v>
      </c>
      <c r="D32" s="33" t="s">
        <v>1633</v>
      </c>
      <c r="E32" s="33" t="s">
        <v>1633</v>
      </c>
      <c r="F32" s="33">
        <v>2498</v>
      </c>
      <c r="G32" s="33">
        <v>2500</v>
      </c>
      <c r="H32" s="33" t="s">
        <v>62</v>
      </c>
      <c r="I32" s="33">
        <v>6</v>
      </c>
      <c r="J32" s="33" t="s">
        <v>2050</v>
      </c>
      <c r="P32" s="196">
        <v>1</v>
      </c>
      <c r="Q32" s="33" t="s">
        <v>1814</v>
      </c>
      <c r="R32" s="33" t="s">
        <v>1813</v>
      </c>
      <c r="S32" s="33" t="s">
        <v>3270</v>
      </c>
      <c r="T32" s="33">
        <v>1</v>
      </c>
      <c r="U32" s="33" t="s">
        <v>2569</v>
      </c>
      <c r="V32" s="33">
        <v>2</v>
      </c>
      <c r="W32" s="752" t="s">
        <v>3620</v>
      </c>
      <c r="X32" s="33" t="s">
        <v>2908</v>
      </c>
      <c r="Y32" s="713" t="s">
        <v>3480</v>
      </c>
      <c r="Z32" s="33">
        <v>8</v>
      </c>
      <c r="AD32" s="504">
        <v>0.02</v>
      </c>
      <c r="AE32" s="33">
        <v>36000</v>
      </c>
      <c r="AF32" s="33">
        <v>63000</v>
      </c>
      <c r="AG32" s="33"/>
      <c r="AJ32" s="216"/>
    </row>
    <row r="33" spans="1:36" ht="13.5" customHeight="1">
      <c r="A33" s="182" t="s">
        <v>2610</v>
      </c>
      <c r="C33" s="196" t="s">
        <v>40</v>
      </c>
      <c r="D33" s="33" t="s">
        <v>1633</v>
      </c>
      <c r="E33" s="33" t="s">
        <v>1633</v>
      </c>
      <c r="F33" s="33">
        <v>2498</v>
      </c>
      <c r="G33" s="33">
        <v>2500</v>
      </c>
      <c r="H33" s="33" t="s">
        <v>62</v>
      </c>
      <c r="I33" s="33">
        <v>7</v>
      </c>
      <c r="J33" s="33" t="s">
        <v>1927</v>
      </c>
      <c r="P33" s="196">
        <v>1</v>
      </c>
      <c r="Q33" s="33" t="s">
        <v>1814</v>
      </c>
      <c r="R33" s="33" t="s">
        <v>1813</v>
      </c>
      <c r="S33" s="33" t="s">
        <v>3270</v>
      </c>
      <c r="T33" s="33">
        <v>1</v>
      </c>
      <c r="U33" s="33" t="s">
        <v>2569</v>
      </c>
      <c r="V33" s="33">
        <v>2</v>
      </c>
      <c r="W33" s="752" t="s">
        <v>3620</v>
      </c>
      <c r="X33" s="33" t="s">
        <v>2908</v>
      </c>
      <c r="Y33" s="713" t="s">
        <v>3480</v>
      </c>
      <c r="Z33" s="33">
        <v>8</v>
      </c>
      <c r="AD33" s="504">
        <v>0.02</v>
      </c>
      <c r="AE33" s="33">
        <v>36000</v>
      </c>
      <c r="AF33" s="33">
        <v>63000</v>
      </c>
      <c r="AG33" s="33"/>
      <c r="AJ33" s="216"/>
    </row>
    <row r="34" spans="1:36" ht="13.5" customHeight="1">
      <c r="A34" s="182" t="s">
        <v>3492</v>
      </c>
      <c r="C34" s="196" t="s">
        <v>40</v>
      </c>
      <c r="D34" s="33" t="s">
        <v>1633</v>
      </c>
      <c r="E34" s="33" t="s">
        <v>1633</v>
      </c>
      <c r="F34" s="33">
        <v>2498</v>
      </c>
      <c r="G34" s="33">
        <v>2500</v>
      </c>
      <c r="H34" s="33" t="s">
        <v>62</v>
      </c>
      <c r="I34" s="33">
        <v>5</v>
      </c>
      <c r="J34" s="33" t="s">
        <v>3495</v>
      </c>
      <c r="P34" s="196">
        <v>1</v>
      </c>
      <c r="Q34" s="33" t="s">
        <v>1743</v>
      </c>
      <c r="R34" s="33" t="s">
        <v>1813</v>
      </c>
      <c r="S34" s="33" t="s">
        <v>3270</v>
      </c>
      <c r="T34" s="33">
        <v>1</v>
      </c>
      <c r="U34" s="33" t="s">
        <v>2569</v>
      </c>
      <c r="V34" s="33">
        <v>2</v>
      </c>
      <c r="W34" s="752" t="s">
        <v>3620</v>
      </c>
      <c r="X34" s="33" t="s">
        <v>2908</v>
      </c>
      <c r="Y34" s="713" t="s">
        <v>3476</v>
      </c>
      <c r="Z34" s="33">
        <v>8</v>
      </c>
      <c r="AD34" s="504">
        <v>0.02</v>
      </c>
      <c r="AE34" s="33">
        <v>36000</v>
      </c>
      <c r="AF34" s="33">
        <v>63000</v>
      </c>
      <c r="AG34" s="33"/>
      <c r="AJ34" s="216"/>
    </row>
    <row r="35" spans="1:36" ht="13.5" customHeight="1">
      <c r="A35" s="182" t="s">
        <v>3493</v>
      </c>
      <c r="C35" s="196" t="s">
        <v>40</v>
      </c>
      <c r="D35" s="33" t="s">
        <v>1633</v>
      </c>
      <c r="E35" s="33" t="s">
        <v>1633</v>
      </c>
      <c r="F35" s="33">
        <v>2498</v>
      </c>
      <c r="G35" s="33">
        <v>2500</v>
      </c>
      <c r="H35" s="33" t="s">
        <v>62</v>
      </c>
      <c r="I35" s="33">
        <v>6</v>
      </c>
      <c r="J35" s="33" t="s">
        <v>3496</v>
      </c>
      <c r="P35" s="196">
        <v>1</v>
      </c>
      <c r="Q35" s="33" t="s">
        <v>1814</v>
      </c>
      <c r="R35" s="33" t="s">
        <v>1813</v>
      </c>
      <c r="S35" s="33" t="s">
        <v>3270</v>
      </c>
      <c r="T35" s="33">
        <v>1</v>
      </c>
      <c r="U35" s="33" t="s">
        <v>2569</v>
      </c>
      <c r="V35" s="33">
        <v>2</v>
      </c>
      <c r="W35" s="752" t="s">
        <v>3620</v>
      </c>
      <c r="X35" s="33" t="s">
        <v>2908</v>
      </c>
      <c r="Y35" s="713" t="s">
        <v>3476</v>
      </c>
      <c r="Z35" s="33">
        <v>8</v>
      </c>
      <c r="AD35" s="504">
        <v>0.02</v>
      </c>
      <c r="AE35" s="33">
        <v>36000</v>
      </c>
      <c r="AF35" s="33">
        <v>63000</v>
      </c>
      <c r="AG35" s="33"/>
      <c r="AJ35" s="216"/>
    </row>
    <row r="36" spans="1:36" ht="13.5" customHeight="1">
      <c r="A36" s="182" t="s">
        <v>3494</v>
      </c>
      <c r="C36" s="196" t="s">
        <v>40</v>
      </c>
      <c r="D36" s="33" t="s">
        <v>1633</v>
      </c>
      <c r="E36" s="33" t="s">
        <v>1633</v>
      </c>
      <c r="F36" s="33">
        <v>2498</v>
      </c>
      <c r="G36" s="33">
        <v>2500</v>
      </c>
      <c r="H36" s="33" t="s">
        <v>62</v>
      </c>
      <c r="I36" s="33">
        <v>7</v>
      </c>
      <c r="J36" s="33" t="s">
        <v>3497</v>
      </c>
      <c r="P36" s="196">
        <v>1</v>
      </c>
      <c r="Q36" s="33" t="s">
        <v>1814</v>
      </c>
      <c r="R36" s="33" t="s">
        <v>1813</v>
      </c>
      <c r="S36" s="33" t="s">
        <v>3270</v>
      </c>
      <c r="T36" s="33">
        <v>1</v>
      </c>
      <c r="U36" s="33" t="s">
        <v>2569</v>
      </c>
      <c r="V36" s="33">
        <v>2</v>
      </c>
      <c r="W36" s="752" t="s">
        <v>3620</v>
      </c>
      <c r="X36" s="33" t="s">
        <v>2908</v>
      </c>
      <c r="Y36" s="713" t="s">
        <v>3476</v>
      </c>
      <c r="Z36" s="33">
        <v>8</v>
      </c>
      <c r="AD36" s="504">
        <v>0.02</v>
      </c>
      <c r="AE36" s="33">
        <v>36000</v>
      </c>
      <c r="AF36" s="33">
        <v>63000</v>
      </c>
      <c r="AG36" s="33"/>
      <c r="AJ36" s="216"/>
    </row>
    <row r="37" spans="1:36" ht="13.5" customHeight="1">
      <c r="A37" s="182" t="s">
        <v>2611</v>
      </c>
      <c r="C37" s="196" t="s">
        <v>40</v>
      </c>
      <c r="D37" s="33" t="s">
        <v>1633</v>
      </c>
      <c r="E37" s="33" t="s">
        <v>1633</v>
      </c>
      <c r="F37" s="33">
        <v>3470</v>
      </c>
      <c r="G37" s="33">
        <v>3500</v>
      </c>
      <c r="H37" s="33" t="s">
        <v>62</v>
      </c>
      <c r="I37" s="33">
        <v>5</v>
      </c>
      <c r="J37" s="33" t="s">
        <v>1929</v>
      </c>
      <c r="P37" s="196">
        <v>1</v>
      </c>
      <c r="Q37" s="33" t="s">
        <v>1743</v>
      </c>
      <c r="R37" s="33" t="s">
        <v>1813</v>
      </c>
      <c r="S37" s="33" t="s">
        <v>3270</v>
      </c>
      <c r="T37" s="33">
        <v>1</v>
      </c>
      <c r="U37" s="33" t="s">
        <v>2591</v>
      </c>
      <c r="V37" s="33">
        <v>14</v>
      </c>
      <c r="X37" s="33" t="s">
        <v>2908</v>
      </c>
      <c r="Y37" s="33">
        <v>10</v>
      </c>
      <c r="Z37" s="33">
        <v>8</v>
      </c>
      <c r="AD37" s="504">
        <v>0.02</v>
      </c>
      <c r="AE37" s="33">
        <v>37000</v>
      </c>
      <c r="AF37" s="33">
        <v>66000</v>
      </c>
      <c r="AG37" s="33"/>
      <c r="AJ37" s="216"/>
    </row>
    <row r="38" spans="1:36" ht="13.5" customHeight="1">
      <c r="A38" s="182" t="s">
        <v>2612</v>
      </c>
      <c r="C38" s="196" t="s">
        <v>40</v>
      </c>
      <c r="D38" s="33" t="s">
        <v>1633</v>
      </c>
      <c r="E38" s="33" t="s">
        <v>1633</v>
      </c>
      <c r="F38" s="33">
        <v>3470</v>
      </c>
      <c r="G38" s="33">
        <v>3500</v>
      </c>
      <c r="H38" s="33" t="s">
        <v>62</v>
      </c>
      <c r="I38" s="33">
        <v>6</v>
      </c>
      <c r="J38" s="33" t="s">
        <v>2051</v>
      </c>
      <c r="P38" s="196">
        <v>1</v>
      </c>
      <c r="Q38" s="33" t="s">
        <v>1814</v>
      </c>
      <c r="R38" s="33" t="s">
        <v>1813</v>
      </c>
      <c r="S38" s="33" t="s">
        <v>3270</v>
      </c>
      <c r="T38" s="33">
        <v>1</v>
      </c>
      <c r="U38" s="33" t="s">
        <v>2591</v>
      </c>
      <c r="V38" s="33">
        <v>14</v>
      </c>
      <c r="X38" s="33" t="s">
        <v>2908</v>
      </c>
      <c r="Y38" s="33">
        <v>10</v>
      </c>
      <c r="Z38" s="33">
        <v>8</v>
      </c>
      <c r="AD38" s="504">
        <v>0.02</v>
      </c>
      <c r="AE38" s="33">
        <v>37000</v>
      </c>
      <c r="AF38" s="33">
        <v>66000</v>
      </c>
      <c r="AG38" s="33"/>
      <c r="AJ38" s="216"/>
    </row>
    <row r="39" spans="1:36" ht="13.5" customHeight="1">
      <c r="A39" s="182" t="s">
        <v>2613</v>
      </c>
      <c r="C39" s="196" t="s">
        <v>40</v>
      </c>
      <c r="D39" s="33" t="s">
        <v>1633</v>
      </c>
      <c r="E39" s="33" t="s">
        <v>1633</v>
      </c>
      <c r="F39" s="33">
        <v>3470</v>
      </c>
      <c r="G39" s="33">
        <v>3500</v>
      </c>
      <c r="H39" s="33" t="s">
        <v>62</v>
      </c>
      <c r="I39" s="33">
        <v>7</v>
      </c>
      <c r="J39" s="33" t="s">
        <v>1931</v>
      </c>
      <c r="P39" s="196">
        <v>1</v>
      </c>
      <c r="Q39" s="33" t="s">
        <v>1814</v>
      </c>
      <c r="R39" s="33" t="s">
        <v>1813</v>
      </c>
      <c r="S39" s="33" t="s">
        <v>3270</v>
      </c>
      <c r="T39" s="33">
        <v>1</v>
      </c>
      <c r="U39" s="33" t="s">
        <v>2591</v>
      </c>
      <c r="V39" s="33">
        <v>14</v>
      </c>
      <c r="X39" s="33" t="s">
        <v>2908</v>
      </c>
      <c r="Y39" s="33">
        <v>10</v>
      </c>
      <c r="Z39" s="33">
        <v>8</v>
      </c>
      <c r="AD39" s="504">
        <v>0.02</v>
      </c>
      <c r="AE39" s="33">
        <v>37000</v>
      </c>
      <c r="AF39" s="33">
        <v>66000</v>
      </c>
      <c r="AG39" s="33"/>
      <c r="AJ39" s="216"/>
    </row>
    <row r="40" spans="1:36" ht="13.5" customHeight="1">
      <c r="A40" s="182" t="s">
        <v>2614</v>
      </c>
      <c r="C40" s="196" t="s">
        <v>40</v>
      </c>
      <c r="D40" s="33" t="s">
        <v>1633</v>
      </c>
      <c r="E40" s="33" t="s">
        <v>1633</v>
      </c>
      <c r="F40" s="33">
        <v>3470</v>
      </c>
      <c r="G40" s="33">
        <v>3500</v>
      </c>
      <c r="H40" s="33" t="s">
        <v>62</v>
      </c>
      <c r="I40" s="33">
        <v>5</v>
      </c>
      <c r="J40" s="33" t="s">
        <v>1933</v>
      </c>
      <c r="P40" s="196">
        <v>1</v>
      </c>
      <c r="Q40" s="33" t="s">
        <v>1743</v>
      </c>
      <c r="R40" s="33" t="s">
        <v>1813</v>
      </c>
      <c r="S40" s="33" t="s">
        <v>3270</v>
      </c>
      <c r="T40" s="33">
        <v>1</v>
      </c>
      <c r="U40" s="33" t="s">
        <v>2591</v>
      </c>
      <c r="V40" s="33">
        <v>14</v>
      </c>
      <c r="X40" s="33" t="s">
        <v>2908</v>
      </c>
      <c r="Y40" s="33">
        <v>10</v>
      </c>
      <c r="Z40" s="33">
        <v>8</v>
      </c>
      <c r="AD40" s="504">
        <v>0.02</v>
      </c>
      <c r="AE40" s="33">
        <v>37000</v>
      </c>
      <c r="AF40" s="33">
        <v>66000</v>
      </c>
      <c r="AG40" s="33"/>
      <c r="AJ40" s="216"/>
    </row>
    <row r="41" spans="1:36" ht="13.5" customHeight="1">
      <c r="A41" s="182" t="s">
        <v>2615</v>
      </c>
      <c r="C41" s="196" t="s">
        <v>40</v>
      </c>
      <c r="D41" s="33" t="s">
        <v>1633</v>
      </c>
      <c r="E41" s="33" t="s">
        <v>1633</v>
      </c>
      <c r="F41" s="33">
        <v>3470</v>
      </c>
      <c r="G41" s="33">
        <v>3500</v>
      </c>
      <c r="H41" s="33" t="s">
        <v>62</v>
      </c>
      <c r="I41" s="33">
        <v>6</v>
      </c>
      <c r="J41" s="33" t="s">
        <v>2052</v>
      </c>
      <c r="P41" s="196">
        <v>1</v>
      </c>
      <c r="Q41" s="33" t="s">
        <v>1814</v>
      </c>
      <c r="R41" s="33" t="s">
        <v>1813</v>
      </c>
      <c r="S41" s="33" t="s">
        <v>3270</v>
      </c>
      <c r="T41" s="33">
        <v>1</v>
      </c>
      <c r="U41" s="33" t="s">
        <v>2591</v>
      </c>
      <c r="V41" s="33">
        <v>14</v>
      </c>
      <c r="X41" s="33" t="s">
        <v>2908</v>
      </c>
      <c r="Y41" s="33">
        <v>10</v>
      </c>
      <c r="Z41" s="33">
        <v>8</v>
      </c>
      <c r="AD41" s="504">
        <v>0.02</v>
      </c>
      <c r="AE41" s="33">
        <v>37000</v>
      </c>
      <c r="AF41" s="33">
        <v>66000</v>
      </c>
      <c r="AG41" s="33"/>
      <c r="AJ41" s="216"/>
    </row>
    <row r="42" spans="1:36" ht="13.5" customHeight="1">
      <c r="A42" s="182" t="s">
        <v>2616</v>
      </c>
      <c r="C42" s="196" t="s">
        <v>40</v>
      </c>
      <c r="D42" s="33" t="s">
        <v>1633</v>
      </c>
      <c r="E42" s="33" t="s">
        <v>1633</v>
      </c>
      <c r="F42" s="33">
        <v>3470</v>
      </c>
      <c r="G42" s="33">
        <v>3500</v>
      </c>
      <c r="H42" s="33" t="s">
        <v>62</v>
      </c>
      <c r="I42" s="33">
        <v>7</v>
      </c>
      <c r="J42" s="33" t="s">
        <v>1935</v>
      </c>
      <c r="P42" s="196">
        <v>1</v>
      </c>
      <c r="Q42" s="33" t="s">
        <v>1814</v>
      </c>
      <c r="R42" s="33" t="s">
        <v>1813</v>
      </c>
      <c r="S42" s="33" t="s">
        <v>3270</v>
      </c>
      <c r="T42" s="33">
        <v>1</v>
      </c>
      <c r="U42" s="33" t="s">
        <v>2591</v>
      </c>
      <c r="V42" s="33">
        <v>14</v>
      </c>
      <c r="X42" s="33" t="s">
        <v>2908</v>
      </c>
      <c r="Y42" s="33">
        <v>10</v>
      </c>
      <c r="Z42" s="33">
        <v>8</v>
      </c>
      <c r="AD42" s="504">
        <v>0.02</v>
      </c>
      <c r="AE42" s="33">
        <v>37000</v>
      </c>
      <c r="AF42" s="33">
        <v>66000</v>
      </c>
      <c r="AG42" s="33"/>
      <c r="AJ42" s="216"/>
    </row>
    <row r="43" spans="1:36" ht="13.5" customHeight="1">
      <c r="A43" s="182" t="s">
        <v>3454</v>
      </c>
      <c r="C43" s="196" t="s">
        <v>40</v>
      </c>
      <c r="D43" s="33" t="s">
        <v>1633</v>
      </c>
      <c r="E43" s="33" t="s">
        <v>1633</v>
      </c>
      <c r="F43" s="33">
        <v>3470</v>
      </c>
      <c r="G43" s="33">
        <v>3500</v>
      </c>
      <c r="H43" s="33" t="s">
        <v>62</v>
      </c>
      <c r="I43" s="33">
        <v>5</v>
      </c>
      <c r="J43" s="33" t="s">
        <v>3457</v>
      </c>
      <c r="P43" s="196">
        <v>1</v>
      </c>
      <c r="Q43" s="33" t="s">
        <v>1743</v>
      </c>
      <c r="R43" s="33" t="s">
        <v>1813</v>
      </c>
      <c r="S43" s="33" t="s">
        <v>3270</v>
      </c>
      <c r="T43" s="33">
        <v>1</v>
      </c>
      <c r="U43" s="33" t="s">
        <v>1676</v>
      </c>
      <c r="V43" s="33">
        <v>14</v>
      </c>
      <c r="X43" s="33" t="s">
        <v>2908</v>
      </c>
      <c r="Y43" s="33">
        <v>10</v>
      </c>
      <c r="Z43" s="33">
        <v>8</v>
      </c>
      <c r="AD43" s="504">
        <v>0.02</v>
      </c>
      <c r="AE43" s="33">
        <v>37000</v>
      </c>
      <c r="AF43" s="33">
        <v>66000</v>
      </c>
      <c r="AG43" s="33"/>
      <c r="AJ43" s="216"/>
    </row>
    <row r="44" spans="1:36" ht="13.5" customHeight="1">
      <c r="A44" s="182" t="s">
        <v>3455</v>
      </c>
      <c r="C44" s="196" t="s">
        <v>40</v>
      </c>
      <c r="D44" s="33" t="s">
        <v>1633</v>
      </c>
      <c r="E44" s="33" t="s">
        <v>1633</v>
      </c>
      <c r="F44" s="33">
        <v>3470</v>
      </c>
      <c r="G44" s="33">
        <v>3500</v>
      </c>
      <c r="H44" s="33" t="s">
        <v>62</v>
      </c>
      <c r="I44" s="33">
        <v>6</v>
      </c>
      <c r="J44" s="33" t="s">
        <v>3458</v>
      </c>
      <c r="P44" s="196">
        <v>1</v>
      </c>
      <c r="Q44" s="33" t="s">
        <v>1814</v>
      </c>
      <c r="R44" s="33" t="s">
        <v>1813</v>
      </c>
      <c r="S44" s="33" t="s">
        <v>3270</v>
      </c>
      <c r="T44" s="33">
        <v>1</v>
      </c>
      <c r="U44" s="33" t="s">
        <v>1676</v>
      </c>
      <c r="V44" s="33">
        <v>14</v>
      </c>
      <c r="X44" s="33" t="s">
        <v>2908</v>
      </c>
      <c r="Y44" s="33">
        <v>10</v>
      </c>
      <c r="Z44" s="33">
        <v>8</v>
      </c>
      <c r="AD44" s="504">
        <v>0.02</v>
      </c>
      <c r="AE44" s="33">
        <v>37000</v>
      </c>
      <c r="AF44" s="33">
        <v>66000</v>
      </c>
      <c r="AG44" s="33"/>
      <c r="AJ44" s="216"/>
    </row>
    <row r="45" spans="1:36" ht="13.5" customHeight="1">
      <c r="A45" s="182" t="s">
        <v>3456</v>
      </c>
      <c r="C45" s="196" t="s">
        <v>40</v>
      </c>
      <c r="D45" s="33" t="s">
        <v>1633</v>
      </c>
      <c r="E45" s="33" t="s">
        <v>1633</v>
      </c>
      <c r="F45" s="33">
        <v>3470</v>
      </c>
      <c r="G45" s="33">
        <v>3500</v>
      </c>
      <c r="H45" s="33" t="s">
        <v>62</v>
      </c>
      <c r="I45" s="33">
        <v>7</v>
      </c>
      <c r="J45" s="33" t="s">
        <v>3459</v>
      </c>
      <c r="P45" s="196">
        <v>1</v>
      </c>
      <c r="Q45" s="33" t="s">
        <v>1814</v>
      </c>
      <c r="R45" s="33" t="s">
        <v>1813</v>
      </c>
      <c r="S45" s="33" t="s">
        <v>3270</v>
      </c>
      <c r="T45" s="33">
        <v>1</v>
      </c>
      <c r="U45" s="33" t="s">
        <v>1676</v>
      </c>
      <c r="V45" s="33">
        <v>14</v>
      </c>
      <c r="X45" s="33" t="s">
        <v>2908</v>
      </c>
      <c r="Y45" s="33">
        <v>10</v>
      </c>
      <c r="Z45" s="33">
        <v>8</v>
      </c>
      <c r="AD45" s="504">
        <v>0.02</v>
      </c>
      <c r="AE45" s="33">
        <v>37000</v>
      </c>
      <c r="AF45" s="33">
        <v>66000</v>
      </c>
      <c r="AG45" s="33"/>
      <c r="AJ45" s="216"/>
    </row>
    <row r="46" spans="1:36" ht="13.5" customHeight="1">
      <c r="A46" s="182" t="s">
        <v>2342</v>
      </c>
      <c r="C46" s="196" t="s">
        <v>40</v>
      </c>
      <c r="D46" s="33" t="s">
        <v>1629</v>
      </c>
      <c r="E46" s="33" t="s">
        <v>1890</v>
      </c>
      <c r="F46" s="33">
        <v>2497</v>
      </c>
      <c r="G46" s="33">
        <v>2500</v>
      </c>
      <c r="H46" s="33" t="s">
        <v>62</v>
      </c>
      <c r="I46" s="33">
        <v>5</v>
      </c>
      <c r="J46" s="33" t="s">
        <v>2344</v>
      </c>
      <c r="P46" s="196">
        <v>1</v>
      </c>
      <c r="Q46" s="33" t="s">
        <v>1743</v>
      </c>
      <c r="R46" s="33" t="s">
        <v>2346</v>
      </c>
      <c r="S46" s="33" t="s">
        <v>3270</v>
      </c>
      <c r="T46" s="33">
        <v>1</v>
      </c>
      <c r="U46" s="33" t="s">
        <v>1670</v>
      </c>
      <c r="V46" s="33">
        <v>16</v>
      </c>
      <c r="W46" s="752" t="s">
        <v>3630</v>
      </c>
      <c r="X46" s="33" t="s">
        <v>2914</v>
      </c>
      <c r="Y46" s="33">
        <v>11</v>
      </c>
      <c r="Z46" s="33">
        <v>10</v>
      </c>
      <c r="AD46" s="504">
        <v>0.02</v>
      </c>
      <c r="AE46" s="33">
        <v>25000</v>
      </c>
      <c r="AF46" s="33">
        <v>40000</v>
      </c>
      <c r="AG46" s="33"/>
    </row>
    <row r="47" spans="1:36" ht="13.5" customHeight="1">
      <c r="A47" s="182" t="s">
        <v>2343</v>
      </c>
      <c r="C47" s="196" t="s">
        <v>40</v>
      </c>
      <c r="D47" s="33" t="s">
        <v>1629</v>
      </c>
      <c r="E47" s="33" t="s">
        <v>1890</v>
      </c>
      <c r="F47" s="33">
        <v>2497</v>
      </c>
      <c r="G47" s="33">
        <v>2500</v>
      </c>
      <c r="H47" s="33" t="s">
        <v>62</v>
      </c>
      <c r="I47" s="33">
        <v>5</v>
      </c>
      <c r="J47" s="33" t="s">
        <v>2345</v>
      </c>
      <c r="P47" s="196">
        <v>1</v>
      </c>
      <c r="Q47" s="33" t="s">
        <v>1743</v>
      </c>
      <c r="R47" s="33" t="s">
        <v>2346</v>
      </c>
      <c r="S47" s="33" t="s">
        <v>3270</v>
      </c>
      <c r="T47" s="33">
        <v>1</v>
      </c>
      <c r="U47" s="33" t="s">
        <v>1670</v>
      </c>
      <c r="V47" s="33">
        <v>16</v>
      </c>
      <c r="W47" s="752" t="s">
        <v>3630</v>
      </c>
      <c r="X47" s="33" t="s">
        <v>2914</v>
      </c>
      <c r="Y47" s="33">
        <v>11</v>
      </c>
      <c r="Z47" s="33">
        <v>10</v>
      </c>
      <c r="AD47" s="504">
        <v>0.02</v>
      </c>
      <c r="AE47" s="33">
        <v>25000</v>
      </c>
      <c r="AF47" s="33">
        <v>40000</v>
      </c>
      <c r="AG47" s="33"/>
    </row>
    <row r="48" spans="1:36" ht="13.5" customHeight="1">
      <c r="A48" s="182" t="s">
        <v>1891</v>
      </c>
      <c r="C48" s="196" t="s">
        <v>40</v>
      </c>
      <c r="D48" s="33" t="s">
        <v>1629</v>
      </c>
      <c r="E48" s="33" t="s">
        <v>1890</v>
      </c>
      <c r="F48" s="33">
        <v>3342</v>
      </c>
      <c r="G48" s="33">
        <v>3300</v>
      </c>
      <c r="H48" s="33" t="s">
        <v>62</v>
      </c>
      <c r="I48" s="33">
        <v>5</v>
      </c>
      <c r="J48" s="33" t="s">
        <v>1892</v>
      </c>
      <c r="P48" s="196">
        <v>1</v>
      </c>
      <c r="Q48" s="33" t="s">
        <v>1743</v>
      </c>
      <c r="R48" s="33" t="s">
        <v>1764</v>
      </c>
      <c r="S48" s="33" t="s">
        <v>3270</v>
      </c>
      <c r="T48" s="33">
        <v>1</v>
      </c>
      <c r="U48" s="33" t="s">
        <v>1640</v>
      </c>
      <c r="V48" s="33">
        <v>20</v>
      </c>
      <c r="X48" s="33" t="s">
        <v>2920</v>
      </c>
      <c r="Y48" s="33">
        <v>15</v>
      </c>
      <c r="Z48" s="33">
        <v>10</v>
      </c>
      <c r="AD48" s="504">
        <v>0.02</v>
      </c>
      <c r="AE48" s="33">
        <v>26000</v>
      </c>
      <c r="AF48" s="33">
        <v>46000</v>
      </c>
      <c r="AG48" s="33"/>
    </row>
    <row r="49" spans="1:37" ht="13.5" customHeight="1">
      <c r="A49" s="182" t="s">
        <v>1893</v>
      </c>
      <c r="C49" s="196" t="s">
        <v>40</v>
      </c>
      <c r="D49" s="33" t="s">
        <v>1629</v>
      </c>
      <c r="E49" s="33" t="s">
        <v>1890</v>
      </c>
      <c r="F49" s="33">
        <v>3342</v>
      </c>
      <c r="G49" s="33">
        <v>3300</v>
      </c>
      <c r="H49" s="33" t="s">
        <v>62</v>
      </c>
      <c r="I49" s="33">
        <v>5</v>
      </c>
      <c r="J49" s="33" t="s">
        <v>1894</v>
      </c>
      <c r="P49" s="196">
        <v>1</v>
      </c>
      <c r="Q49" s="33" t="s">
        <v>1743</v>
      </c>
      <c r="R49" s="33" t="s">
        <v>1764</v>
      </c>
      <c r="S49" s="33" t="s">
        <v>3270</v>
      </c>
      <c r="T49" s="33">
        <v>1</v>
      </c>
      <c r="U49" s="33" t="s">
        <v>1640</v>
      </c>
      <c r="V49" s="33">
        <v>20</v>
      </c>
      <c r="X49" s="33" t="s">
        <v>2920</v>
      </c>
      <c r="Y49" s="33">
        <v>15</v>
      </c>
      <c r="Z49" s="33">
        <v>10</v>
      </c>
      <c r="AD49" s="504">
        <v>0.02</v>
      </c>
      <c r="AE49" s="33">
        <v>26000</v>
      </c>
      <c r="AF49" s="33">
        <v>46000</v>
      </c>
      <c r="AG49" s="33"/>
    </row>
    <row r="50" spans="1:37" ht="13.5" customHeight="1">
      <c r="A50" s="182" t="s">
        <v>1895</v>
      </c>
      <c r="C50" s="196" t="s">
        <v>40</v>
      </c>
      <c r="D50" s="33" t="s">
        <v>1629</v>
      </c>
      <c r="E50" s="33" t="s">
        <v>1890</v>
      </c>
      <c r="F50" s="33">
        <v>3342</v>
      </c>
      <c r="G50" s="33">
        <v>3300</v>
      </c>
      <c r="H50" s="33" t="s">
        <v>62</v>
      </c>
      <c r="I50" s="33">
        <v>5</v>
      </c>
      <c r="J50" s="33" t="s">
        <v>1896</v>
      </c>
      <c r="P50" s="196">
        <v>1</v>
      </c>
      <c r="Q50" s="33" t="s">
        <v>1743</v>
      </c>
      <c r="R50" s="33" t="s">
        <v>1764</v>
      </c>
      <c r="S50" s="33" t="s">
        <v>3270</v>
      </c>
      <c r="T50" s="33">
        <v>1</v>
      </c>
      <c r="U50" s="33" t="s">
        <v>1640</v>
      </c>
      <c r="V50" s="33">
        <v>20</v>
      </c>
      <c r="X50" s="33" t="s">
        <v>2920</v>
      </c>
      <c r="Y50" s="33">
        <v>15</v>
      </c>
      <c r="Z50" s="33">
        <v>10</v>
      </c>
      <c r="AD50" s="504">
        <v>0.02</v>
      </c>
      <c r="AE50" s="33">
        <v>26000</v>
      </c>
      <c r="AF50" s="33">
        <v>46000</v>
      </c>
      <c r="AG50" s="33"/>
    </row>
    <row r="51" spans="1:37" ht="13.5" customHeight="1">
      <c r="A51" s="182" t="s">
        <v>1897</v>
      </c>
      <c r="C51" s="196" t="s">
        <v>40</v>
      </c>
      <c r="D51" s="33" t="s">
        <v>1629</v>
      </c>
      <c r="E51" s="33" t="s">
        <v>1890</v>
      </c>
      <c r="F51" s="33">
        <v>3342</v>
      </c>
      <c r="G51" s="33">
        <v>3300</v>
      </c>
      <c r="H51" s="33" t="s">
        <v>62</v>
      </c>
      <c r="I51" s="33">
        <v>5</v>
      </c>
      <c r="J51" s="33" t="s">
        <v>1898</v>
      </c>
      <c r="P51" s="196">
        <v>1</v>
      </c>
      <c r="Q51" s="33" t="s">
        <v>1743</v>
      </c>
      <c r="R51" s="33" t="s">
        <v>1764</v>
      </c>
      <c r="S51" s="33" t="s">
        <v>3270</v>
      </c>
      <c r="T51" s="33">
        <v>1</v>
      </c>
      <c r="U51" s="33" t="s">
        <v>1640</v>
      </c>
      <c r="V51" s="33">
        <v>20</v>
      </c>
      <c r="X51" s="33" t="s">
        <v>2920</v>
      </c>
      <c r="Y51" s="33">
        <v>15</v>
      </c>
      <c r="Z51" s="33">
        <v>10</v>
      </c>
      <c r="AD51" s="504">
        <v>0.02</v>
      </c>
      <c r="AE51" s="33">
        <v>26000</v>
      </c>
      <c r="AF51" s="33">
        <v>46000</v>
      </c>
      <c r="AG51" s="33"/>
    </row>
    <row r="52" spans="1:37" ht="13.5" customHeight="1">
      <c r="A52" s="182" t="s">
        <v>2200</v>
      </c>
      <c r="C52" s="196" t="s">
        <v>40</v>
      </c>
      <c r="D52" s="33" t="s">
        <v>1941</v>
      </c>
      <c r="E52" s="33" t="s">
        <v>2222</v>
      </c>
      <c r="F52" s="33">
        <v>1598</v>
      </c>
      <c r="G52" s="33">
        <v>1600</v>
      </c>
      <c r="H52" s="33" t="s">
        <v>1628</v>
      </c>
      <c r="I52" s="33">
        <v>5</v>
      </c>
      <c r="J52" s="33" t="s">
        <v>2201</v>
      </c>
      <c r="P52" s="196">
        <v>1</v>
      </c>
      <c r="Q52" s="33" t="s">
        <v>1743</v>
      </c>
      <c r="R52" s="33" t="s">
        <v>2219</v>
      </c>
      <c r="S52" s="33" t="s">
        <v>1942</v>
      </c>
      <c r="T52" s="33">
        <v>1</v>
      </c>
      <c r="U52" s="33" t="s">
        <v>2267</v>
      </c>
      <c r="V52" s="33">
        <v>1</v>
      </c>
      <c r="W52" s="754" t="s">
        <v>3620</v>
      </c>
      <c r="X52" s="33" t="s">
        <v>2910</v>
      </c>
      <c r="Y52" s="715">
        <v>5</v>
      </c>
      <c r="Z52" s="33">
        <v>9</v>
      </c>
      <c r="AA52" s="33">
        <v>4</v>
      </c>
      <c r="AD52" s="504">
        <v>2.5000000000000001E-2</v>
      </c>
      <c r="AE52" s="33">
        <v>28000</v>
      </c>
      <c r="AF52" s="33">
        <v>45000</v>
      </c>
      <c r="AG52" s="33"/>
      <c r="AJ52" s="303"/>
    </row>
    <row r="53" spans="1:37" ht="13.5" customHeight="1">
      <c r="A53" s="182" t="s">
        <v>2202</v>
      </c>
      <c r="C53" s="196" t="s">
        <v>40</v>
      </c>
      <c r="D53" s="33" t="s">
        <v>1941</v>
      </c>
      <c r="E53" s="33" t="s">
        <v>2222</v>
      </c>
      <c r="F53" s="33">
        <v>1598</v>
      </c>
      <c r="G53" s="33">
        <v>1600</v>
      </c>
      <c r="H53" s="33" t="s">
        <v>1628</v>
      </c>
      <c r="I53" s="33">
        <v>5</v>
      </c>
      <c r="J53" s="33" t="s">
        <v>2203</v>
      </c>
      <c r="P53" s="196">
        <v>1</v>
      </c>
      <c r="Q53" s="33" t="s">
        <v>1743</v>
      </c>
      <c r="R53" s="33" t="s">
        <v>2219</v>
      </c>
      <c r="S53" s="33" t="s">
        <v>1942</v>
      </c>
      <c r="T53" s="33">
        <v>1</v>
      </c>
      <c r="U53" s="33" t="s">
        <v>2267</v>
      </c>
      <c r="V53" s="33">
        <v>1</v>
      </c>
      <c r="W53" s="754" t="s">
        <v>3620</v>
      </c>
      <c r="X53" s="33" t="s">
        <v>2910</v>
      </c>
      <c r="Y53" s="715">
        <v>5</v>
      </c>
      <c r="Z53" s="33">
        <v>9</v>
      </c>
      <c r="AA53" s="33">
        <v>4</v>
      </c>
      <c r="AD53" s="504">
        <v>2.5000000000000001E-2</v>
      </c>
      <c r="AE53" s="33">
        <v>28000</v>
      </c>
      <c r="AF53" s="33">
        <v>45000</v>
      </c>
      <c r="AG53" s="33"/>
      <c r="AJ53" s="303"/>
    </row>
    <row r="54" spans="1:37" ht="13.5" customHeight="1">
      <c r="A54" s="182" t="s">
        <v>2204</v>
      </c>
      <c r="C54" s="196" t="s">
        <v>40</v>
      </c>
      <c r="D54" s="33" t="s">
        <v>1941</v>
      </c>
      <c r="E54" s="33" t="s">
        <v>2222</v>
      </c>
      <c r="F54" s="33">
        <v>1598</v>
      </c>
      <c r="G54" s="33">
        <v>1600</v>
      </c>
      <c r="H54" s="33" t="s">
        <v>1628</v>
      </c>
      <c r="I54" s="33">
        <v>5</v>
      </c>
      <c r="J54" s="33" t="s">
        <v>2205</v>
      </c>
      <c r="P54" s="196">
        <v>1</v>
      </c>
      <c r="Q54" s="33" t="s">
        <v>1743</v>
      </c>
      <c r="R54" s="33" t="s">
        <v>2219</v>
      </c>
      <c r="S54" s="33" t="s">
        <v>1942</v>
      </c>
      <c r="T54" s="33">
        <v>1</v>
      </c>
      <c r="U54" s="33" t="s">
        <v>2267</v>
      </c>
      <c r="V54" s="33">
        <v>1</v>
      </c>
      <c r="W54" s="754" t="s">
        <v>3620</v>
      </c>
      <c r="X54" s="33" t="s">
        <v>2910</v>
      </c>
      <c r="Y54" s="715">
        <v>5</v>
      </c>
      <c r="Z54" s="33">
        <v>9</v>
      </c>
      <c r="AA54" s="33">
        <v>4</v>
      </c>
      <c r="AD54" s="504">
        <v>2.5000000000000001E-2</v>
      </c>
      <c r="AE54" s="33">
        <v>28000</v>
      </c>
      <c r="AF54" s="33">
        <v>45000</v>
      </c>
      <c r="AG54" s="33"/>
      <c r="AJ54" s="303"/>
    </row>
    <row r="55" spans="1:37" ht="13.5" customHeight="1">
      <c r="A55" s="182" t="s">
        <v>3347</v>
      </c>
      <c r="C55" s="196" t="s">
        <v>40</v>
      </c>
      <c r="D55" s="33" t="s">
        <v>1941</v>
      </c>
      <c r="E55" s="33" t="s">
        <v>2222</v>
      </c>
      <c r="F55" s="33">
        <v>1598</v>
      </c>
      <c r="G55" s="33">
        <v>1600</v>
      </c>
      <c r="H55" s="33" t="s">
        <v>1628</v>
      </c>
      <c r="I55" s="33">
        <v>5</v>
      </c>
      <c r="J55" s="33" t="s">
        <v>3324</v>
      </c>
      <c r="P55" s="196">
        <v>1</v>
      </c>
      <c r="Q55" s="33" t="s">
        <v>3326</v>
      </c>
      <c r="R55" s="33" t="s">
        <v>1746</v>
      </c>
      <c r="S55" s="33" t="s">
        <v>1942</v>
      </c>
      <c r="T55" s="33">
        <v>1</v>
      </c>
      <c r="U55" s="33" t="s">
        <v>3327</v>
      </c>
      <c r="V55" s="33">
        <v>1</v>
      </c>
      <c r="W55" s="754" t="s">
        <v>3620</v>
      </c>
      <c r="X55" s="33" t="s">
        <v>2910</v>
      </c>
      <c r="Y55" s="715">
        <v>5</v>
      </c>
      <c r="Z55" s="33">
        <v>9</v>
      </c>
      <c r="AA55" s="33">
        <v>4</v>
      </c>
      <c r="AD55" s="504">
        <v>2.5000000000000001E-2</v>
      </c>
      <c r="AE55" s="33">
        <v>28000</v>
      </c>
      <c r="AF55" s="33">
        <v>45000</v>
      </c>
      <c r="AG55" s="33"/>
      <c r="AJ55" s="303"/>
    </row>
    <row r="56" spans="1:37" ht="13.5" customHeight="1">
      <c r="A56" s="182" t="s">
        <v>3348</v>
      </c>
      <c r="C56" s="196" t="s">
        <v>40</v>
      </c>
      <c r="D56" s="33" t="s">
        <v>1941</v>
      </c>
      <c r="E56" s="33" t="s">
        <v>2222</v>
      </c>
      <c r="F56" s="33">
        <v>1598</v>
      </c>
      <c r="G56" s="33">
        <v>1600</v>
      </c>
      <c r="H56" s="33" t="s">
        <v>1628</v>
      </c>
      <c r="I56" s="33">
        <v>5</v>
      </c>
      <c r="J56" s="33" t="s">
        <v>3325</v>
      </c>
      <c r="P56" s="196">
        <v>1</v>
      </c>
      <c r="Q56" s="33" t="s">
        <v>3326</v>
      </c>
      <c r="R56" s="33" t="s">
        <v>1746</v>
      </c>
      <c r="S56" s="33" t="s">
        <v>1942</v>
      </c>
      <c r="T56" s="33">
        <v>1</v>
      </c>
      <c r="U56" s="33" t="s">
        <v>3327</v>
      </c>
      <c r="V56" s="33">
        <v>1</v>
      </c>
      <c r="W56" s="754" t="s">
        <v>3620</v>
      </c>
      <c r="X56" s="33" t="s">
        <v>2910</v>
      </c>
      <c r="Y56" s="715">
        <v>5</v>
      </c>
      <c r="Z56" s="33">
        <v>9</v>
      </c>
      <c r="AA56" s="33">
        <v>4</v>
      </c>
      <c r="AD56" s="504">
        <v>2.5000000000000001E-2</v>
      </c>
      <c r="AE56" s="33">
        <v>28000</v>
      </c>
      <c r="AF56" s="33">
        <v>45000</v>
      </c>
      <c r="AG56" s="33"/>
      <c r="AJ56" s="303"/>
    </row>
    <row r="57" spans="1:37" ht="13.5" customHeight="1">
      <c r="A57" s="182" t="s">
        <v>2220</v>
      </c>
      <c r="C57" s="196" t="s">
        <v>40</v>
      </c>
      <c r="D57" s="33" t="s">
        <v>1941</v>
      </c>
      <c r="E57" s="33" t="s">
        <v>2222</v>
      </c>
      <c r="F57" s="33">
        <v>3470</v>
      </c>
      <c r="G57" s="33">
        <v>3500</v>
      </c>
      <c r="H57" s="33" t="s">
        <v>2225</v>
      </c>
      <c r="I57" s="33">
        <v>5</v>
      </c>
      <c r="J57" s="33" t="s">
        <v>2223</v>
      </c>
      <c r="P57" s="196">
        <v>1</v>
      </c>
      <c r="Q57" s="33" t="s">
        <v>2226</v>
      </c>
      <c r="R57" s="33" t="s">
        <v>2227</v>
      </c>
      <c r="S57" s="33" t="s">
        <v>1942</v>
      </c>
      <c r="T57" s="33">
        <v>1</v>
      </c>
      <c r="U57" s="33" t="s">
        <v>1669</v>
      </c>
      <c r="V57" s="33">
        <v>10</v>
      </c>
      <c r="W57" s="752" t="s">
        <v>3625</v>
      </c>
      <c r="X57" s="708" t="s">
        <v>3448</v>
      </c>
      <c r="Y57" s="713">
        <v>5</v>
      </c>
      <c r="Z57" s="33">
        <v>10</v>
      </c>
      <c r="AA57" s="33">
        <v>5</v>
      </c>
      <c r="AB57" s="33">
        <v>7</v>
      </c>
      <c r="AD57" s="504">
        <v>2.5000000000000001E-2</v>
      </c>
      <c r="AE57" s="33">
        <v>21000</v>
      </c>
      <c r="AF57" s="33">
        <v>36000</v>
      </c>
      <c r="AG57" s="33"/>
      <c r="AJ57" s="33" t="s">
        <v>3321</v>
      </c>
      <c r="AK57" s="33" t="s">
        <v>2910</v>
      </c>
    </row>
    <row r="58" spans="1:37" ht="13.5" customHeight="1">
      <c r="A58" s="182" t="s">
        <v>2221</v>
      </c>
      <c r="C58" s="196" t="s">
        <v>40</v>
      </c>
      <c r="D58" s="33" t="s">
        <v>1941</v>
      </c>
      <c r="E58" s="33" t="s">
        <v>2222</v>
      </c>
      <c r="F58" s="33">
        <v>3470</v>
      </c>
      <c r="G58" s="33">
        <v>3500</v>
      </c>
      <c r="H58" s="33" t="s">
        <v>2225</v>
      </c>
      <c r="I58" s="33">
        <v>5</v>
      </c>
      <c r="J58" s="33" t="s">
        <v>2224</v>
      </c>
      <c r="P58" s="196">
        <v>1</v>
      </c>
      <c r="Q58" s="33" t="s">
        <v>2226</v>
      </c>
      <c r="R58" s="33" t="s">
        <v>2227</v>
      </c>
      <c r="S58" s="33" t="s">
        <v>1942</v>
      </c>
      <c r="T58" s="33">
        <v>1</v>
      </c>
      <c r="U58" s="33" t="s">
        <v>1669</v>
      </c>
      <c r="V58" s="33">
        <v>10</v>
      </c>
      <c r="W58" s="752" t="s">
        <v>3625</v>
      </c>
      <c r="X58" s="708" t="s">
        <v>3448</v>
      </c>
      <c r="Y58" s="713">
        <v>5</v>
      </c>
      <c r="Z58" s="33">
        <v>10</v>
      </c>
      <c r="AA58" s="33">
        <v>5</v>
      </c>
      <c r="AB58" s="33">
        <v>7</v>
      </c>
      <c r="AD58" s="504">
        <v>2.5000000000000001E-2</v>
      </c>
      <c r="AE58" s="33">
        <v>21000</v>
      </c>
      <c r="AF58" s="33">
        <v>36000</v>
      </c>
      <c r="AG58" s="33"/>
      <c r="AJ58" s="33" t="s">
        <v>3321</v>
      </c>
      <c r="AK58" s="33" t="s">
        <v>2910</v>
      </c>
    </row>
    <row r="59" spans="1:37" ht="13.5" customHeight="1">
      <c r="A59" s="182" t="s">
        <v>2206</v>
      </c>
      <c r="C59" s="196" t="s">
        <v>40</v>
      </c>
      <c r="D59" s="33" t="s">
        <v>1941</v>
      </c>
      <c r="E59" s="33" t="s">
        <v>2222</v>
      </c>
      <c r="F59" s="33">
        <v>3470</v>
      </c>
      <c r="G59" s="33">
        <v>3500</v>
      </c>
      <c r="H59" s="33" t="s">
        <v>62</v>
      </c>
      <c r="I59" s="33">
        <v>5</v>
      </c>
      <c r="J59" s="33" t="s">
        <v>2212</v>
      </c>
      <c r="P59" s="196">
        <v>1</v>
      </c>
      <c r="Q59" s="33" t="s">
        <v>1743</v>
      </c>
      <c r="R59" s="33" t="s">
        <v>1764</v>
      </c>
      <c r="S59" s="33" t="s">
        <v>1942</v>
      </c>
      <c r="T59" s="33">
        <v>1</v>
      </c>
      <c r="U59" s="33" t="s">
        <v>1678</v>
      </c>
      <c r="V59" s="33">
        <v>12</v>
      </c>
      <c r="X59" s="33" t="s">
        <v>2910</v>
      </c>
      <c r="Y59" s="33">
        <v>11</v>
      </c>
      <c r="Z59" s="33">
        <v>12</v>
      </c>
      <c r="AA59" s="33">
        <v>9</v>
      </c>
      <c r="AD59" s="504">
        <v>2.5000000000000001E-2</v>
      </c>
      <c r="AE59" s="33">
        <v>24000</v>
      </c>
      <c r="AF59" s="33">
        <v>42000</v>
      </c>
      <c r="AG59" s="33"/>
      <c r="AJ59" s="303"/>
    </row>
    <row r="60" spans="1:37" ht="13.5" customHeight="1">
      <c r="A60" s="182" t="s">
        <v>2207</v>
      </c>
      <c r="C60" s="196" t="s">
        <v>40</v>
      </c>
      <c r="D60" s="33" t="s">
        <v>1941</v>
      </c>
      <c r="E60" s="33" t="s">
        <v>2222</v>
      </c>
      <c r="F60" s="33">
        <v>3470</v>
      </c>
      <c r="G60" s="33">
        <v>3500</v>
      </c>
      <c r="H60" s="33" t="s">
        <v>62</v>
      </c>
      <c r="I60" s="33">
        <v>5</v>
      </c>
      <c r="J60" s="33" t="s">
        <v>2213</v>
      </c>
      <c r="P60" s="196">
        <v>1</v>
      </c>
      <c r="Q60" s="33" t="s">
        <v>3326</v>
      </c>
      <c r="R60" s="33" t="s">
        <v>1764</v>
      </c>
      <c r="S60" s="33" t="s">
        <v>1942</v>
      </c>
      <c r="T60" s="33">
        <v>1</v>
      </c>
      <c r="U60" s="33" t="s">
        <v>1678</v>
      </c>
      <c r="V60" s="33">
        <v>12</v>
      </c>
      <c r="X60" s="33" t="s">
        <v>2910</v>
      </c>
      <c r="Y60" s="33">
        <v>11</v>
      </c>
      <c r="Z60" s="33">
        <v>12</v>
      </c>
      <c r="AA60" s="33">
        <v>9</v>
      </c>
      <c r="AD60" s="504">
        <v>2.5000000000000001E-2</v>
      </c>
      <c r="AE60" s="33">
        <v>24000</v>
      </c>
      <c r="AF60" s="33">
        <v>42000</v>
      </c>
      <c r="AG60" s="33"/>
      <c r="AJ60" s="303"/>
    </row>
    <row r="61" spans="1:37" ht="13.5" customHeight="1">
      <c r="A61" s="182" t="s">
        <v>2208</v>
      </c>
      <c r="C61" s="196" t="s">
        <v>40</v>
      </c>
      <c r="D61" s="33" t="s">
        <v>1941</v>
      </c>
      <c r="E61" s="33" t="s">
        <v>2222</v>
      </c>
      <c r="F61" s="33">
        <v>3470</v>
      </c>
      <c r="G61" s="33">
        <v>3500</v>
      </c>
      <c r="H61" s="33" t="s">
        <v>62</v>
      </c>
      <c r="I61" s="33">
        <v>5</v>
      </c>
      <c r="J61" s="33" t="s">
        <v>2214</v>
      </c>
      <c r="P61" s="196">
        <v>1</v>
      </c>
      <c r="Q61" s="33" t="s">
        <v>1743</v>
      </c>
      <c r="R61" s="33" t="s">
        <v>1764</v>
      </c>
      <c r="S61" s="33" t="s">
        <v>1942</v>
      </c>
      <c r="T61" s="33">
        <v>1</v>
      </c>
      <c r="U61" s="33" t="s">
        <v>1678</v>
      </c>
      <c r="V61" s="33">
        <v>12</v>
      </c>
      <c r="X61" s="33" t="s">
        <v>2910</v>
      </c>
      <c r="Y61" s="33">
        <v>11</v>
      </c>
      <c r="Z61" s="33">
        <v>12</v>
      </c>
      <c r="AA61" s="33">
        <v>9</v>
      </c>
      <c r="AD61" s="504">
        <v>2.5000000000000001E-2</v>
      </c>
      <c r="AE61" s="33">
        <v>24000</v>
      </c>
      <c r="AF61" s="33">
        <v>42000</v>
      </c>
      <c r="AG61" s="33"/>
      <c r="AJ61" s="303"/>
    </row>
    <row r="62" spans="1:37" ht="13.5" customHeight="1">
      <c r="A62" s="182" t="s">
        <v>3332</v>
      </c>
      <c r="C62" s="196" t="s">
        <v>40</v>
      </c>
      <c r="D62" s="33" t="s">
        <v>1941</v>
      </c>
      <c r="E62" s="33" t="s">
        <v>2222</v>
      </c>
      <c r="F62" s="33">
        <v>3470</v>
      </c>
      <c r="G62" s="33">
        <v>3500</v>
      </c>
      <c r="H62" s="33" t="s">
        <v>62</v>
      </c>
      <c r="I62" s="33">
        <v>5</v>
      </c>
      <c r="J62" s="33" t="s">
        <v>3328</v>
      </c>
      <c r="P62" s="196">
        <v>1</v>
      </c>
      <c r="Q62" s="33" t="s">
        <v>3326</v>
      </c>
      <c r="R62" s="33" t="s">
        <v>1764</v>
      </c>
      <c r="S62" s="33" t="s">
        <v>1942</v>
      </c>
      <c r="T62" s="33">
        <v>1</v>
      </c>
      <c r="U62" s="33" t="s">
        <v>2566</v>
      </c>
      <c r="V62" s="33">
        <v>12</v>
      </c>
      <c r="X62" s="33" t="s">
        <v>2910</v>
      </c>
      <c r="Y62" s="33">
        <v>11</v>
      </c>
      <c r="Z62" s="33">
        <v>12</v>
      </c>
      <c r="AA62" s="33">
        <v>9</v>
      </c>
      <c r="AD62" s="504">
        <v>2.5000000000000001E-2</v>
      </c>
      <c r="AE62" s="33">
        <v>24000</v>
      </c>
      <c r="AF62" s="33">
        <v>42000</v>
      </c>
      <c r="AG62" s="33"/>
      <c r="AJ62" s="303"/>
    </row>
    <row r="63" spans="1:37" ht="13.5" customHeight="1">
      <c r="A63" s="182" t="s">
        <v>3333</v>
      </c>
      <c r="C63" s="196" t="s">
        <v>40</v>
      </c>
      <c r="D63" s="33" t="s">
        <v>1941</v>
      </c>
      <c r="E63" s="33" t="s">
        <v>2222</v>
      </c>
      <c r="F63" s="33">
        <v>3470</v>
      </c>
      <c r="G63" s="33">
        <v>3500</v>
      </c>
      <c r="H63" s="33" t="s">
        <v>62</v>
      </c>
      <c r="I63" s="33">
        <v>5</v>
      </c>
      <c r="J63" s="33" t="s">
        <v>3329</v>
      </c>
      <c r="P63" s="196">
        <v>1</v>
      </c>
      <c r="Q63" s="33" t="s">
        <v>3326</v>
      </c>
      <c r="R63" s="33" t="s">
        <v>1764</v>
      </c>
      <c r="S63" s="33" t="s">
        <v>1942</v>
      </c>
      <c r="T63" s="33">
        <v>1</v>
      </c>
      <c r="U63" s="33" t="s">
        <v>3340</v>
      </c>
      <c r="V63" s="33">
        <v>12</v>
      </c>
      <c r="X63" s="33" t="s">
        <v>2910</v>
      </c>
      <c r="Y63" s="33">
        <v>11</v>
      </c>
      <c r="Z63" s="33">
        <v>12</v>
      </c>
      <c r="AA63" s="33">
        <v>9</v>
      </c>
      <c r="AD63" s="504">
        <v>2.5000000000000001E-2</v>
      </c>
      <c r="AE63" s="33">
        <v>24000</v>
      </c>
      <c r="AF63" s="33">
        <v>42000</v>
      </c>
      <c r="AG63" s="33"/>
      <c r="AJ63" s="303"/>
    </row>
    <row r="64" spans="1:37" ht="13.5" customHeight="1">
      <c r="A64" s="182" t="s">
        <v>3334</v>
      </c>
      <c r="C64" s="196" t="s">
        <v>40</v>
      </c>
      <c r="D64" s="33" t="s">
        <v>1941</v>
      </c>
      <c r="E64" s="33" t="s">
        <v>2222</v>
      </c>
      <c r="F64" s="33">
        <v>3470</v>
      </c>
      <c r="G64" s="33">
        <v>3500</v>
      </c>
      <c r="H64" s="33" t="s">
        <v>62</v>
      </c>
      <c r="I64" s="33">
        <v>5</v>
      </c>
      <c r="J64" s="33" t="s">
        <v>3330</v>
      </c>
      <c r="P64" s="196">
        <v>1</v>
      </c>
      <c r="Q64" s="33" t="s">
        <v>3326</v>
      </c>
      <c r="R64" s="33" t="s">
        <v>1764</v>
      </c>
      <c r="S64" s="33" t="s">
        <v>1942</v>
      </c>
      <c r="T64" s="33">
        <v>1</v>
      </c>
      <c r="U64" s="33" t="s">
        <v>3341</v>
      </c>
      <c r="V64" s="33">
        <v>12</v>
      </c>
      <c r="X64" s="33" t="s">
        <v>2910</v>
      </c>
      <c r="Y64" s="33">
        <v>11</v>
      </c>
      <c r="Z64" s="33">
        <v>12</v>
      </c>
      <c r="AA64" s="33">
        <v>9</v>
      </c>
      <c r="AD64" s="504">
        <v>2.5000000000000001E-2</v>
      </c>
      <c r="AE64" s="33">
        <v>24000</v>
      </c>
      <c r="AF64" s="33">
        <v>42000</v>
      </c>
      <c r="AG64" s="33"/>
      <c r="AJ64" s="303"/>
    </row>
    <row r="65" spans="1:37" ht="13.5" customHeight="1">
      <c r="A65" s="182" t="s">
        <v>3335</v>
      </c>
      <c r="C65" s="196" t="s">
        <v>40</v>
      </c>
      <c r="D65" s="33" t="s">
        <v>1941</v>
      </c>
      <c r="E65" s="33" t="s">
        <v>2222</v>
      </c>
      <c r="F65" s="33">
        <v>3470</v>
      </c>
      <c r="G65" s="33">
        <v>3500</v>
      </c>
      <c r="H65" s="33" t="s">
        <v>62</v>
      </c>
      <c r="I65" s="33">
        <v>5</v>
      </c>
      <c r="J65" s="33" t="s">
        <v>3331</v>
      </c>
      <c r="P65" s="196">
        <v>1</v>
      </c>
      <c r="Q65" s="33" t="s">
        <v>3326</v>
      </c>
      <c r="R65" s="33" t="s">
        <v>1764</v>
      </c>
      <c r="S65" s="33" t="s">
        <v>1942</v>
      </c>
      <c r="T65" s="33">
        <v>1</v>
      </c>
      <c r="U65" s="33" t="s">
        <v>3342</v>
      </c>
      <c r="V65" s="33">
        <v>12</v>
      </c>
      <c r="X65" s="33" t="s">
        <v>2910</v>
      </c>
      <c r="Y65" s="33">
        <v>11</v>
      </c>
      <c r="Z65" s="33">
        <v>12</v>
      </c>
      <c r="AA65" s="33">
        <v>9</v>
      </c>
      <c r="AD65" s="504">
        <v>2.5000000000000001E-2</v>
      </c>
      <c r="AE65" s="33">
        <v>24000</v>
      </c>
      <c r="AF65" s="33">
        <v>42000</v>
      </c>
      <c r="AG65" s="33"/>
      <c r="AJ65" s="303"/>
    </row>
    <row r="66" spans="1:37" ht="13.5" customHeight="1">
      <c r="A66" s="182" t="s">
        <v>2209</v>
      </c>
      <c r="C66" s="196" t="s">
        <v>40</v>
      </c>
      <c r="D66" s="33" t="s">
        <v>1941</v>
      </c>
      <c r="E66" s="33" t="s">
        <v>2222</v>
      </c>
      <c r="F66" s="33">
        <v>2457</v>
      </c>
      <c r="G66" s="33">
        <v>2500</v>
      </c>
      <c r="H66" s="33" t="s">
        <v>62</v>
      </c>
      <c r="I66" s="33">
        <v>5</v>
      </c>
      <c r="J66" s="33" t="s">
        <v>2215</v>
      </c>
      <c r="P66" s="196">
        <v>1</v>
      </c>
      <c r="Q66" s="33" t="s">
        <v>1743</v>
      </c>
      <c r="R66" s="33" t="s">
        <v>3058</v>
      </c>
      <c r="S66" s="33" t="s">
        <v>1942</v>
      </c>
      <c r="T66" s="33">
        <v>1</v>
      </c>
      <c r="U66" s="33" t="s">
        <v>2267</v>
      </c>
      <c r="V66" s="33">
        <v>1</v>
      </c>
      <c r="W66" s="752" t="s">
        <v>3625</v>
      </c>
      <c r="X66" s="33" t="s">
        <v>2910</v>
      </c>
      <c r="Y66" s="715">
        <v>6</v>
      </c>
      <c r="Z66" s="33">
        <v>11</v>
      </c>
      <c r="AA66" s="660">
        <v>5</v>
      </c>
      <c r="AD66" s="504">
        <v>2.5000000000000001E-2</v>
      </c>
      <c r="AE66" s="33">
        <v>20000</v>
      </c>
      <c r="AF66" s="33">
        <v>36000</v>
      </c>
      <c r="AG66" s="33"/>
      <c r="AJ66" s="303"/>
    </row>
    <row r="67" spans="1:37" ht="13.5" customHeight="1">
      <c r="A67" s="182" t="s">
        <v>2210</v>
      </c>
      <c r="C67" s="196" t="s">
        <v>40</v>
      </c>
      <c r="D67" s="33" t="s">
        <v>1941</v>
      </c>
      <c r="E67" s="33" t="s">
        <v>2222</v>
      </c>
      <c r="F67" s="33">
        <v>2457</v>
      </c>
      <c r="G67" s="33">
        <v>2500</v>
      </c>
      <c r="H67" s="33" t="s">
        <v>62</v>
      </c>
      <c r="I67" s="33">
        <v>5</v>
      </c>
      <c r="J67" s="33" t="s">
        <v>2216</v>
      </c>
      <c r="P67" s="196">
        <v>1</v>
      </c>
      <c r="Q67" s="33" t="s">
        <v>1743</v>
      </c>
      <c r="R67" s="33" t="s">
        <v>1757</v>
      </c>
      <c r="S67" s="33" t="s">
        <v>1942</v>
      </c>
      <c r="T67" s="33">
        <v>1</v>
      </c>
      <c r="U67" s="33" t="s">
        <v>2267</v>
      </c>
      <c r="V67" s="33">
        <v>1</v>
      </c>
      <c r="W67" s="752" t="s">
        <v>3625</v>
      </c>
      <c r="X67" s="33" t="s">
        <v>2910</v>
      </c>
      <c r="Y67" s="715">
        <v>6</v>
      </c>
      <c r="Z67" s="33">
        <v>11</v>
      </c>
      <c r="AA67" s="660">
        <v>5</v>
      </c>
      <c r="AD67" s="504">
        <v>2.5000000000000001E-2</v>
      </c>
      <c r="AE67" s="33">
        <v>20000</v>
      </c>
      <c r="AF67" s="33">
        <v>36000</v>
      </c>
      <c r="AG67" s="33"/>
      <c r="AJ67" s="303"/>
    </row>
    <row r="68" spans="1:37" ht="13.5" customHeight="1">
      <c r="A68" s="182" t="s">
        <v>2211</v>
      </c>
      <c r="C68" s="196" t="s">
        <v>40</v>
      </c>
      <c r="D68" s="33" t="s">
        <v>1941</v>
      </c>
      <c r="E68" s="33" t="s">
        <v>2222</v>
      </c>
      <c r="F68" s="33">
        <v>2457</v>
      </c>
      <c r="G68" s="33">
        <v>2500</v>
      </c>
      <c r="H68" s="33" t="s">
        <v>62</v>
      </c>
      <c r="I68" s="33">
        <v>5</v>
      </c>
      <c r="J68" s="33" t="s">
        <v>2217</v>
      </c>
      <c r="P68" s="196">
        <v>1</v>
      </c>
      <c r="Q68" s="33" t="s">
        <v>1743</v>
      </c>
      <c r="R68" s="33" t="s">
        <v>1757</v>
      </c>
      <c r="S68" s="33" t="s">
        <v>1942</v>
      </c>
      <c r="T68" s="33">
        <v>1</v>
      </c>
      <c r="U68" s="33" t="s">
        <v>2267</v>
      </c>
      <c r="V68" s="33">
        <v>1</v>
      </c>
      <c r="W68" s="752" t="s">
        <v>3625</v>
      </c>
      <c r="X68" s="33" t="s">
        <v>2910</v>
      </c>
      <c r="Y68" s="715">
        <v>6</v>
      </c>
      <c r="Z68" s="33">
        <v>11</v>
      </c>
      <c r="AA68" s="660">
        <v>5</v>
      </c>
      <c r="AD68" s="504">
        <v>2.5000000000000001E-2</v>
      </c>
      <c r="AE68" s="33">
        <v>20000</v>
      </c>
      <c r="AF68" s="33">
        <v>36000</v>
      </c>
      <c r="AG68" s="33"/>
      <c r="AJ68" s="303"/>
    </row>
    <row r="69" spans="1:37" ht="13.5" customHeight="1">
      <c r="A69" s="182" t="s">
        <v>3338</v>
      </c>
      <c r="C69" s="196" t="s">
        <v>40</v>
      </c>
      <c r="D69" s="33" t="s">
        <v>1941</v>
      </c>
      <c r="E69" s="33" t="s">
        <v>2222</v>
      </c>
      <c r="F69" s="33">
        <v>2457</v>
      </c>
      <c r="G69" s="33">
        <v>2500</v>
      </c>
      <c r="H69" s="33" t="s">
        <v>62</v>
      </c>
      <c r="I69" s="33">
        <v>5</v>
      </c>
      <c r="J69" s="33" t="s">
        <v>3336</v>
      </c>
      <c r="P69" s="196">
        <v>1</v>
      </c>
      <c r="Q69" s="33" t="s">
        <v>3326</v>
      </c>
      <c r="R69" s="33" t="s">
        <v>447</v>
      </c>
      <c r="S69" s="33" t="s">
        <v>1942</v>
      </c>
      <c r="T69" s="33">
        <v>1</v>
      </c>
      <c r="U69" s="33" t="s">
        <v>2267</v>
      </c>
      <c r="V69" s="33">
        <v>1</v>
      </c>
      <c r="W69" s="752" t="s">
        <v>3625</v>
      </c>
      <c r="X69" s="33" t="s">
        <v>2910</v>
      </c>
      <c r="Y69" s="715">
        <v>6</v>
      </c>
      <c r="Z69" s="33">
        <v>11</v>
      </c>
      <c r="AA69" s="660">
        <v>5</v>
      </c>
      <c r="AD69" s="504">
        <v>2.5000000000000001E-2</v>
      </c>
      <c r="AE69" s="33">
        <v>20000</v>
      </c>
      <c r="AF69" s="33">
        <v>36000</v>
      </c>
      <c r="AG69" s="33"/>
      <c r="AJ69" s="303"/>
    </row>
    <row r="70" spans="1:37" ht="13.5" customHeight="1">
      <c r="A70" s="182" t="s">
        <v>3339</v>
      </c>
      <c r="C70" s="196" t="s">
        <v>40</v>
      </c>
      <c r="D70" s="33" t="s">
        <v>1941</v>
      </c>
      <c r="E70" s="33" t="s">
        <v>2222</v>
      </c>
      <c r="F70" s="33">
        <v>2457</v>
      </c>
      <c r="G70" s="33">
        <v>2500</v>
      </c>
      <c r="H70" s="33" t="s">
        <v>62</v>
      </c>
      <c r="I70" s="33">
        <v>5</v>
      </c>
      <c r="J70" s="33" t="s">
        <v>3337</v>
      </c>
      <c r="P70" s="196">
        <v>1</v>
      </c>
      <c r="Q70" s="33" t="s">
        <v>3326</v>
      </c>
      <c r="R70" s="33" t="s">
        <v>447</v>
      </c>
      <c r="S70" s="33" t="s">
        <v>1942</v>
      </c>
      <c r="T70" s="33">
        <v>1</v>
      </c>
      <c r="U70" s="33" t="s">
        <v>2267</v>
      </c>
      <c r="V70" s="33">
        <v>1</v>
      </c>
      <c r="W70" s="752" t="s">
        <v>3625</v>
      </c>
      <c r="X70" s="33" t="s">
        <v>2910</v>
      </c>
      <c r="Y70" s="715">
        <v>6</v>
      </c>
      <c r="Z70" s="33">
        <v>11</v>
      </c>
      <c r="AA70" s="660">
        <v>5</v>
      </c>
      <c r="AD70" s="504">
        <v>2.5000000000000001E-2</v>
      </c>
      <c r="AE70" s="33">
        <v>20000</v>
      </c>
      <c r="AF70" s="33">
        <v>36000</v>
      </c>
      <c r="AG70" s="33"/>
      <c r="AJ70" s="303"/>
    </row>
    <row r="71" spans="1:37" ht="13.5" customHeight="1">
      <c r="A71" s="30" t="s">
        <v>2377</v>
      </c>
      <c r="C71" s="196" t="s">
        <v>2089</v>
      </c>
      <c r="D71" s="33" t="s">
        <v>2091</v>
      </c>
      <c r="E71" s="33" t="s">
        <v>2376</v>
      </c>
      <c r="F71" s="33">
        <v>1598</v>
      </c>
      <c r="G71" s="33">
        <v>1600</v>
      </c>
      <c r="H71" s="33" t="s">
        <v>142</v>
      </c>
      <c r="I71" s="33">
        <v>7</v>
      </c>
      <c r="J71" s="33" t="s">
        <v>2048</v>
      </c>
      <c r="P71" s="196">
        <v>1</v>
      </c>
      <c r="Q71" s="33" t="s">
        <v>1814</v>
      </c>
      <c r="R71" s="33" t="s">
        <v>1805</v>
      </c>
      <c r="S71" s="33" t="s">
        <v>3270</v>
      </c>
      <c r="T71" s="33">
        <v>1</v>
      </c>
      <c r="U71" s="33" t="s">
        <v>2590</v>
      </c>
      <c r="V71" s="33">
        <v>2</v>
      </c>
      <c r="W71" s="752" t="s">
        <v>3559</v>
      </c>
      <c r="X71" s="708" t="s">
        <v>3446</v>
      </c>
      <c r="Y71" s="33" t="s">
        <v>3479</v>
      </c>
      <c r="Z71" s="33">
        <v>1</v>
      </c>
      <c r="AB71" s="33" t="s">
        <v>3541</v>
      </c>
      <c r="AD71" s="504">
        <v>2.5000000000000001E-2</v>
      </c>
      <c r="AE71" s="33">
        <v>26000</v>
      </c>
      <c r="AF71" s="33">
        <v>41000</v>
      </c>
      <c r="AG71" s="33"/>
      <c r="AJ71" s="33" t="s">
        <v>3322</v>
      </c>
      <c r="AK71" s="33" t="s">
        <v>3447</v>
      </c>
    </row>
    <row r="72" spans="1:37" ht="13.5" customHeight="1">
      <c r="A72" s="30" t="s">
        <v>2378</v>
      </c>
      <c r="C72" s="196" t="s">
        <v>2089</v>
      </c>
      <c r="D72" s="33" t="s">
        <v>2091</v>
      </c>
      <c r="E72" s="33" t="s">
        <v>2376</v>
      </c>
      <c r="F72" s="33">
        <v>1598</v>
      </c>
      <c r="G72" s="33">
        <v>1600</v>
      </c>
      <c r="H72" s="33" t="s">
        <v>142</v>
      </c>
      <c r="I72" s="33">
        <v>6</v>
      </c>
      <c r="J72" s="33" t="s">
        <v>2351</v>
      </c>
      <c r="P72" s="196">
        <v>1</v>
      </c>
      <c r="Q72" s="33" t="s">
        <v>1814</v>
      </c>
      <c r="R72" s="33" t="s">
        <v>1805</v>
      </c>
      <c r="S72" s="33" t="s">
        <v>3270</v>
      </c>
      <c r="T72" s="33">
        <v>1</v>
      </c>
      <c r="U72" s="33" t="s">
        <v>2590</v>
      </c>
      <c r="V72" s="33">
        <v>2</v>
      </c>
      <c r="W72" s="752" t="s">
        <v>3559</v>
      </c>
      <c r="X72" s="708" t="s">
        <v>3446</v>
      </c>
      <c r="Y72" s="33" t="s">
        <v>3479</v>
      </c>
      <c r="Z72" s="33">
        <v>1</v>
      </c>
      <c r="AB72" s="33" t="s">
        <v>3541</v>
      </c>
      <c r="AD72" s="504">
        <v>2.5000000000000001E-2</v>
      </c>
      <c r="AE72" s="33">
        <v>28000</v>
      </c>
      <c r="AF72" s="33">
        <v>46000</v>
      </c>
      <c r="AG72" s="33"/>
      <c r="AJ72" s="33" t="s">
        <v>3322</v>
      </c>
      <c r="AK72" s="33" t="s">
        <v>3447</v>
      </c>
    </row>
    <row r="73" spans="1:37" ht="13.5" customHeight="1">
      <c r="A73" s="30" t="s">
        <v>2379</v>
      </c>
      <c r="C73" s="196" t="s">
        <v>2089</v>
      </c>
      <c r="D73" s="33" t="s">
        <v>2091</v>
      </c>
      <c r="E73" s="33" t="s">
        <v>2376</v>
      </c>
      <c r="F73" s="33">
        <v>1598</v>
      </c>
      <c r="G73" s="33">
        <v>1600</v>
      </c>
      <c r="H73" s="33" t="s">
        <v>142</v>
      </c>
      <c r="I73" s="33">
        <v>5</v>
      </c>
      <c r="J73" s="33" t="s">
        <v>2047</v>
      </c>
      <c r="P73" s="196">
        <v>1</v>
      </c>
      <c r="Q73" s="33" t="s">
        <v>1743</v>
      </c>
      <c r="R73" s="33" t="s">
        <v>1805</v>
      </c>
      <c r="S73" s="33" t="s">
        <v>3270</v>
      </c>
      <c r="T73" s="33">
        <v>1</v>
      </c>
      <c r="U73" s="33" t="s">
        <v>2590</v>
      </c>
      <c r="V73" s="33">
        <v>2</v>
      </c>
      <c r="W73" s="752" t="s">
        <v>3559</v>
      </c>
      <c r="X73" s="708" t="s">
        <v>3446</v>
      </c>
      <c r="Y73" s="33" t="s">
        <v>3479</v>
      </c>
      <c r="Z73" s="33">
        <v>1</v>
      </c>
      <c r="AB73" s="33" t="s">
        <v>3541</v>
      </c>
      <c r="AD73" s="504">
        <v>2.5000000000000001E-2</v>
      </c>
      <c r="AE73" s="33">
        <v>28000</v>
      </c>
      <c r="AF73" s="33">
        <v>46000</v>
      </c>
      <c r="AG73" s="33"/>
      <c r="AJ73" s="33" t="s">
        <v>3322</v>
      </c>
      <c r="AK73" s="33" t="s">
        <v>3447</v>
      </c>
    </row>
    <row r="74" spans="1:37" ht="13.5" customHeight="1">
      <c r="A74" s="30" t="s">
        <v>2380</v>
      </c>
      <c r="C74" s="196" t="s">
        <v>2089</v>
      </c>
      <c r="D74" s="33" t="s">
        <v>2091</v>
      </c>
      <c r="E74" s="33" t="s">
        <v>2376</v>
      </c>
      <c r="F74" s="33">
        <v>1598</v>
      </c>
      <c r="G74" s="33">
        <v>1600</v>
      </c>
      <c r="H74" s="33" t="s">
        <v>142</v>
      </c>
      <c r="I74" s="33">
        <v>7</v>
      </c>
      <c r="J74" s="33" t="s">
        <v>2046</v>
      </c>
      <c r="P74" s="196">
        <v>1</v>
      </c>
      <c r="Q74" s="33" t="s">
        <v>1814</v>
      </c>
      <c r="R74" s="33" t="s">
        <v>1805</v>
      </c>
      <c r="S74" s="33" t="s">
        <v>3270</v>
      </c>
      <c r="T74" s="33">
        <v>1</v>
      </c>
      <c r="U74" s="33" t="s">
        <v>2590</v>
      </c>
      <c r="V74" s="33">
        <v>2</v>
      </c>
      <c r="W74" s="752" t="s">
        <v>3559</v>
      </c>
      <c r="X74" s="708" t="s">
        <v>3446</v>
      </c>
      <c r="Y74" s="33" t="s">
        <v>3479</v>
      </c>
      <c r="Z74" s="33">
        <v>1</v>
      </c>
      <c r="AB74" s="33" t="s">
        <v>3541</v>
      </c>
      <c r="AD74" s="504">
        <v>2.5000000000000001E-2</v>
      </c>
      <c r="AE74" s="33">
        <v>26000</v>
      </c>
      <c r="AF74" s="33">
        <v>41000</v>
      </c>
      <c r="AG74" s="33"/>
      <c r="AJ74" s="33" t="s">
        <v>3322</v>
      </c>
      <c r="AK74" s="33" t="s">
        <v>3447</v>
      </c>
    </row>
    <row r="75" spans="1:37" ht="13.5" customHeight="1">
      <c r="A75" s="30" t="s">
        <v>2381</v>
      </c>
      <c r="C75" s="196" t="s">
        <v>2089</v>
      </c>
      <c r="D75" s="33" t="s">
        <v>2091</v>
      </c>
      <c r="E75" s="33" t="s">
        <v>2376</v>
      </c>
      <c r="F75" s="33">
        <v>1598</v>
      </c>
      <c r="G75" s="33">
        <v>1600</v>
      </c>
      <c r="H75" s="33" t="s">
        <v>142</v>
      </c>
      <c r="I75" s="33">
        <v>6</v>
      </c>
      <c r="J75" s="33" t="s">
        <v>2352</v>
      </c>
      <c r="P75" s="196">
        <v>1</v>
      </c>
      <c r="Q75" s="33" t="s">
        <v>1814</v>
      </c>
      <c r="R75" s="33" t="s">
        <v>1805</v>
      </c>
      <c r="S75" s="33" t="s">
        <v>3270</v>
      </c>
      <c r="T75" s="33">
        <v>1</v>
      </c>
      <c r="U75" s="33" t="s">
        <v>2590</v>
      </c>
      <c r="V75" s="33">
        <v>2</v>
      </c>
      <c r="W75" s="752" t="s">
        <v>3559</v>
      </c>
      <c r="X75" s="708" t="s">
        <v>3446</v>
      </c>
      <c r="Y75" s="33" t="s">
        <v>3479</v>
      </c>
      <c r="Z75" s="33">
        <v>1</v>
      </c>
      <c r="AB75" s="33" t="s">
        <v>3541</v>
      </c>
      <c r="AD75" s="504">
        <v>2.5000000000000001E-2</v>
      </c>
      <c r="AE75" s="33">
        <v>28000</v>
      </c>
      <c r="AF75" s="33">
        <v>46000</v>
      </c>
      <c r="AG75" s="33"/>
      <c r="AJ75" s="33" t="s">
        <v>3322</v>
      </c>
      <c r="AK75" s="33" t="s">
        <v>3447</v>
      </c>
    </row>
    <row r="76" spans="1:37" ht="13.5" customHeight="1">
      <c r="A76" s="30" t="s">
        <v>2382</v>
      </c>
      <c r="C76" s="196" t="s">
        <v>2089</v>
      </c>
      <c r="D76" s="33" t="s">
        <v>2091</v>
      </c>
      <c r="E76" s="33" t="s">
        <v>2376</v>
      </c>
      <c r="F76" s="33">
        <v>1598</v>
      </c>
      <c r="G76" s="33">
        <v>1600</v>
      </c>
      <c r="H76" s="33" t="s">
        <v>142</v>
      </c>
      <c r="I76" s="33">
        <v>5</v>
      </c>
      <c r="J76" s="33" t="s">
        <v>2045</v>
      </c>
      <c r="P76" s="196">
        <v>1</v>
      </c>
      <c r="Q76" s="33" t="s">
        <v>2414</v>
      </c>
      <c r="R76" s="33" t="s">
        <v>1805</v>
      </c>
      <c r="S76" s="33" t="s">
        <v>3270</v>
      </c>
      <c r="T76" s="33">
        <v>1</v>
      </c>
      <c r="U76" s="33" t="s">
        <v>2590</v>
      </c>
      <c r="V76" s="33">
        <v>2</v>
      </c>
      <c r="W76" s="752" t="s">
        <v>3559</v>
      </c>
      <c r="X76" s="708" t="s">
        <v>3446</v>
      </c>
      <c r="Y76" s="33" t="s">
        <v>3479</v>
      </c>
      <c r="Z76" s="33">
        <v>1</v>
      </c>
      <c r="AB76" s="33" t="s">
        <v>3541</v>
      </c>
      <c r="AD76" s="504">
        <v>2.5000000000000001E-2</v>
      </c>
      <c r="AE76" s="33">
        <v>28000</v>
      </c>
      <c r="AF76" s="33">
        <v>46000</v>
      </c>
      <c r="AG76" s="33"/>
      <c r="AJ76" s="33" t="s">
        <v>3322</v>
      </c>
      <c r="AK76" s="33" t="s">
        <v>3447</v>
      </c>
    </row>
    <row r="77" spans="1:37" ht="13.5" customHeight="1">
      <c r="A77" s="30" t="s">
        <v>2383</v>
      </c>
      <c r="C77" s="196" t="s">
        <v>2089</v>
      </c>
      <c r="D77" s="33" t="s">
        <v>2091</v>
      </c>
      <c r="E77" s="33" t="s">
        <v>2376</v>
      </c>
      <c r="F77" s="33">
        <v>1598</v>
      </c>
      <c r="G77" s="33">
        <v>1600</v>
      </c>
      <c r="H77" s="33" t="s">
        <v>142</v>
      </c>
      <c r="I77" s="33">
        <v>7</v>
      </c>
      <c r="J77" s="33" t="s">
        <v>2044</v>
      </c>
      <c r="P77" s="196">
        <v>1</v>
      </c>
      <c r="Q77" s="33" t="s">
        <v>1814</v>
      </c>
      <c r="R77" s="33" t="s">
        <v>1805</v>
      </c>
      <c r="S77" s="33" t="s">
        <v>3270</v>
      </c>
      <c r="T77" s="33">
        <v>1</v>
      </c>
      <c r="U77" s="33" t="s">
        <v>2590</v>
      </c>
      <c r="V77" s="33">
        <v>2</v>
      </c>
      <c r="W77" s="752" t="s">
        <v>3559</v>
      </c>
      <c r="X77" s="708" t="s">
        <v>3446</v>
      </c>
      <c r="Y77" s="33" t="s">
        <v>3479</v>
      </c>
      <c r="Z77" s="33">
        <v>1</v>
      </c>
      <c r="AB77" s="33" t="s">
        <v>3541</v>
      </c>
      <c r="AD77" s="504">
        <v>2.5000000000000001E-2</v>
      </c>
      <c r="AE77" s="33">
        <v>26000</v>
      </c>
      <c r="AF77" s="33">
        <v>41000</v>
      </c>
      <c r="AG77" s="33"/>
      <c r="AJ77" s="33" t="s">
        <v>3322</v>
      </c>
      <c r="AK77" s="33" t="s">
        <v>3447</v>
      </c>
    </row>
    <row r="78" spans="1:37" ht="13.5" customHeight="1">
      <c r="A78" s="182" t="s">
        <v>2384</v>
      </c>
      <c r="C78" s="196" t="s">
        <v>40</v>
      </c>
      <c r="D78" s="33" t="s">
        <v>574</v>
      </c>
      <c r="E78" s="33" t="s">
        <v>2376</v>
      </c>
      <c r="F78" s="33">
        <v>1598</v>
      </c>
      <c r="G78" s="33">
        <v>1600</v>
      </c>
      <c r="H78" s="33" t="s">
        <v>142</v>
      </c>
      <c r="I78" s="33">
        <v>6</v>
      </c>
      <c r="J78" s="33" t="s">
        <v>2353</v>
      </c>
      <c r="P78" s="196">
        <v>1</v>
      </c>
      <c r="Q78" s="33" t="s">
        <v>1814</v>
      </c>
      <c r="R78" s="33" t="s">
        <v>1805</v>
      </c>
      <c r="S78" s="33" t="s">
        <v>3270</v>
      </c>
      <c r="T78" s="33">
        <v>1</v>
      </c>
      <c r="U78" s="33" t="s">
        <v>2590</v>
      </c>
      <c r="V78" s="33">
        <v>2</v>
      </c>
      <c r="W78" s="752" t="s">
        <v>3559</v>
      </c>
      <c r="X78" s="708" t="s">
        <v>3446</v>
      </c>
      <c r="Y78" s="33" t="s">
        <v>3479</v>
      </c>
      <c r="Z78" s="33">
        <v>1</v>
      </c>
      <c r="AB78" s="33" t="s">
        <v>3541</v>
      </c>
      <c r="AD78" s="504">
        <v>2.5000000000000001E-2</v>
      </c>
      <c r="AE78" s="33">
        <v>28000</v>
      </c>
      <c r="AF78" s="33">
        <v>46000</v>
      </c>
      <c r="AG78" s="33"/>
      <c r="AJ78" s="33" t="s">
        <v>3322</v>
      </c>
      <c r="AK78" s="33" t="s">
        <v>3447</v>
      </c>
    </row>
    <row r="79" spans="1:37" ht="13.5" customHeight="1">
      <c r="A79" s="182" t="s">
        <v>2385</v>
      </c>
      <c r="C79" s="196" t="s">
        <v>40</v>
      </c>
      <c r="D79" s="33" t="s">
        <v>574</v>
      </c>
      <c r="E79" s="33" t="s">
        <v>2376</v>
      </c>
      <c r="F79" s="33">
        <v>1598</v>
      </c>
      <c r="G79" s="33">
        <v>1600</v>
      </c>
      <c r="H79" s="33" t="s">
        <v>142</v>
      </c>
      <c r="I79" s="33">
        <v>5</v>
      </c>
      <c r="J79" s="33" t="s">
        <v>2043</v>
      </c>
      <c r="P79" s="196">
        <v>1</v>
      </c>
      <c r="Q79" s="33" t="s">
        <v>2414</v>
      </c>
      <c r="R79" s="33" t="s">
        <v>1805</v>
      </c>
      <c r="S79" s="33" t="s">
        <v>3270</v>
      </c>
      <c r="T79" s="33">
        <v>1</v>
      </c>
      <c r="U79" s="33" t="s">
        <v>2590</v>
      </c>
      <c r="V79" s="33">
        <v>2</v>
      </c>
      <c r="W79" s="752" t="s">
        <v>3559</v>
      </c>
      <c r="X79" s="708" t="s">
        <v>3446</v>
      </c>
      <c r="Y79" s="33" t="s">
        <v>3479</v>
      </c>
      <c r="Z79" s="33">
        <v>1</v>
      </c>
      <c r="AB79" s="33" t="s">
        <v>3541</v>
      </c>
      <c r="AD79" s="504">
        <v>2.5000000000000001E-2</v>
      </c>
      <c r="AE79" s="33">
        <v>28000</v>
      </c>
      <c r="AF79" s="33">
        <v>46000</v>
      </c>
      <c r="AG79" s="33"/>
      <c r="AJ79" s="33" t="s">
        <v>3322</v>
      </c>
      <c r="AK79" s="33" t="s">
        <v>3447</v>
      </c>
    </row>
    <row r="80" spans="1:37" ht="13.5" customHeight="1">
      <c r="A80" s="182" t="s">
        <v>3397</v>
      </c>
      <c r="C80" s="196" t="s">
        <v>40</v>
      </c>
      <c r="D80" s="33" t="s">
        <v>574</v>
      </c>
      <c r="E80" s="33" t="s">
        <v>2376</v>
      </c>
      <c r="F80" s="33">
        <v>1598</v>
      </c>
      <c r="G80" s="33">
        <v>1600</v>
      </c>
      <c r="H80" s="33" t="s">
        <v>142</v>
      </c>
      <c r="I80" s="33">
        <v>5</v>
      </c>
      <c r="J80" s="33" t="s">
        <v>3400</v>
      </c>
      <c r="P80" s="196">
        <v>1</v>
      </c>
      <c r="Q80" s="33" t="s">
        <v>117</v>
      </c>
      <c r="R80" s="33" t="s">
        <v>1805</v>
      </c>
      <c r="S80" s="33" t="s">
        <v>3270</v>
      </c>
      <c r="T80" s="33">
        <v>1</v>
      </c>
      <c r="U80" s="33" t="s">
        <v>2267</v>
      </c>
      <c r="V80" s="33">
        <v>2</v>
      </c>
      <c r="W80" s="752" t="s">
        <v>3559</v>
      </c>
      <c r="X80" s="708" t="s">
        <v>3446</v>
      </c>
      <c r="Y80" s="33" t="s">
        <v>3479</v>
      </c>
      <c r="Z80" s="33">
        <v>1</v>
      </c>
      <c r="AB80" s="33" t="s">
        <v>3541</v>
      </c>
      <c r="AD80" s="504">
        <v>2.5000000000000001E-2</v>
      </c>
      <c r="AE80" s="33">
        <v>28000</v>
      </c>
      <c r="AF80" s="33">
        <v>46000</v>
      </c>
      <c r="AG80" s="33"/>
      <c r="AJ80" s="33" t="s">
        <v>3322</v>
      </c>
      <c r="AK80" s="33" t="s">
        <v>3447</v>
      </c>
    </row>
    <row r="81" spans="1:37" ht="13.5" customHeight="1">
      <c r="A81" s="182" t="s">
        <v>3398</v>
      </c>
      <c r="C81" s="196" t="s">
        <v>40</v>
      </c>
      <c r="D81" s="33" t="s">
        <v>574</v>
      </c>
      <c r="E81" s="33" t="s">
        <v>2376</v>
      </c>
      <c r="F81" s="33">
        <v>1598</v>
      </c>
      <c r="G81" s="33">
        <v>1600</v>
      </c>
      <c r="H81" s="33" t="s">
        <v>142</v>
      </c>
      <c r="I81" s="33">
        <v>6</v>
      </c>
      <c r="J81" s="33" t="s">
        <v>3401</v>
      </c>
      <c r="P81" s="196">
        <v>1</v>
      </c>
      <c r="Q81" s="33" t="s">
        <v>1814</v>
      </c>
      <c r="R81" s="33" t="s">
        <v>1805</v>
      </c>
      <c r="S81" s="33" t="s">
        <v>3270</v>
      </c>
      <c r="T81" s="33">
        <v>1</v>
      </c>
      <c r="U81" s="33" t="s">
        <v>2267</v>
      </c>
      <c r="V81" s="33">
        <v>2</v>
      </c>
      <c r="W81" s="752" t="s">
        <v>3559</v>
      </c>
      <c r="X81" s="708" t="s">
        <v>3446</v>
      </c>
      <c r="Y81" s="33" t="s">
        <v>3479</v>
      </c>
      <c r="Z81" s="33">
        <v>1</v>
      </c>
      <c r="AB81" s="33" t="s">
        <v>3541</v>
      </c>
      <c r="AD81" s="504">
        <v>2.5000000000000001E-2</v>
      </c>
      <c r="AE81" s="33">
        <v>28000</v>
      </c>
      <c r="AF81" s="33">
        <v>46000</v>
      </c>
      <c r="AG81" s="33"/>
      <c r="AJ81" s="33" t="s">
        <v>3322</v>
      </c>
      <c r="AK81" s="33" t="s">
        <v>3447</v>
      </c>
    </row>
    <row r="82" spans="1:37" ht="13.5" customHeight="1">
      <c r="A82" s="182" t="s">
        <v>3399</v>
      </c>
      <c r="C82" s="196" t="s">
        <v>40</v>
      </c>
      <c r="D82" s="33" t="s">
        <v>574</v>
      </c>
      <c r="E82" s="33" t="s">
        <v>2376</v>
      </c>
      <c r="F82" s="33">
        <v>1598</v>
      </c>
      <c r="G82" s="33">
        <v>1600</v>
      </c>
      <c r="H82" s="33" t="s">
        <v>142</v>
      </c>
      <c r="I82" s="33">
        <v>7</v>
      </c>
      <c r="J82" s="33" t="s">
        <v>3402</v>
      </c>
      <c r="P82" s="196">
        <v>1</v>
      </c>
      <c r="Q82" s="33" t="s">
        <v>1814</v>
      </c>
      <c r="R82" s="33" t="s">
        <v>1805</v>
      </c>
      <c r="S82" s="33" t="s">
        <v>3270</v>
      </c>
      <c r="T82" s="33">
        <v>1</v>
      </c>
      <c r="U82" s="33" t="s">
        <v>2267</v>
      </c>
      <c r="V82" s="33">
        <v>2</v>
      </c>
      <c r="W82" s="752" t="s">
        <v>3559</v>
      </c>
      <c r="X82" s="708" t="s">
        <v>3446</v>
      </c>
      <c r="Y82" s="33" t="s">
        <v>3479</v>
      </c>
      <c r="Z82" s="33">
        <v>1</v>
      </c>
      <c r="AB82" s="33" t="s">
        <v>3541</v>
      </c>
      <c r="AD82" s="504">
        <v>2.5000000000000001E-2</v>
      </c>
      <c r="AE82" s="33">
        <v>26000</v>
      </c>
      <c r="AF82" s="33">
        <v>41000</v>
      </c>
      <c r="AG82" s="33"/>
      <c r="AJ82" s="33" t="s">
        <v>3322</v>
      </c>
      <c r="AK82" s="33" t="s">
        <v>3447</v>
      </c>
    </row>
    <row r="83" spans="1:37" ht="13.5" customHeight="1">
      <c r="A83" s="182" t="s">
        <v>2386</v>
      </c>
      <c r="C83" s="196" t="s">
        <v>40</v>
      </c>
      <c r="D83" s="33" t="s">
        <v>574</v>
      </c>
      <c r="E83" s="33" t="s">
        <v>2376</v>
      </c>
      <c r="F83" s="33">
        <v>1598</v>
      </c>
      <c r="G83" s="33">
        <v>1600</v>
      </c>
      <c r="H83" s="33" t="s">
        <v>1628</v>
      </c>
      <c r="I83" s="33">
        <v>7</v>
      </c>
      <c r="J83" s="33" t="s">
        <v>2042</v>
      </c>
      <c r="P83" s="196">
        <v>1</v>
      </c>
      <c r="Q83" s="33" t="s">
        <v>1814</v>
      </c>
      <c r="R83" s="33" t="s">
        <v>1805</v>
      </c>
      <c r="S83" s="33" t="s">
        <v>3270</v>
      </c>
      <c r="T83" s="33">
        <v>1</v>
      </c>
      <c r="U83" s="33" t="s">
        <v>2590</v>
      </c>
      <c r="V83" s="33">
        <v>2</v>
      </c>
      <c r="W83" s="752" t="s">
        <v>3559</v>
      </c>
      <c r="X83" s="708" t="s">
        <v>3446</v>
      </c>
      <c r="Y83" s="33" t="s">
        <v>3479</v>
      </c>
      <c r="Z83" s="33">
        <v>1</v>
      </c>
      <c r="AA83" s="33" t="s">
        <v>3351</v>
      </c>
      <c r="AB83" s="33" t="s">
        <v>3541</v>
      </c>
      <c r="AD83" s="504">
        <v>2.5000000000000001E-2</v>
      </c>
      <c r="AE83" s="33">
        <v>26000</v>
      </c>
      <c r="AF83" s="33">
        <v>41000</v>
      </c>
      <c r="AG83" s="33"/>
      <c r="AJ83" s="33" t="s">
        <v>3322</v>
      </c>
      <c r="AK83" s="33" t="s">
        <v>3447</v>
      </c>
    </row>
    <row r="84" spans="1:37" ht="13.5" customHeight="1">
      <c r="A84" s="182" t="s">
        <v>2387</v>
      </c>
      <c r="C84" s="196" t="s">
        <v>40</v>
      </c>
      <c r="D84" s="33" t="s">
        <v>574</v>
      </c>
      <c r="E84" s="33" t="s">
        <v>2376</v>
      </c>
      <c r="F84" s="33">
        <v>1598</v>
      </c>
      <c r="G84" s="33">
        <v>1600</v>
      </c>
      <c r="H84" s="33" t="s">
        <v>1628</v>
      </c>
      <c r="I84" s="33">
        <v>6</v>
      </c>
      <c r="J84" s="33" t="s">
        <v>2354</v>
      </c>
      <c r="P84" s="196">
        <v>1</v>
      </c>
      <c r="Q84" s="33" t="s">
        <v>1814</v>
      </c>
      <c r="R84" s="33" t="s">
        <v>1805</v>
      </c>
      <c r="S84" s="33" t="s">
        <v>3270</v>
      </c>
      <c r="T84" s="33">
        <v>1</v>
      </c>
      <c r="U84" s="33" t="s">
        <v>2590</v>
      </c>
      <c r="V84" s="33">
        <v>2</v>
      </c>
      <c r="W84" s="752" t="s">
        <v>3559</v>
      </c>
      <c r="X84" s="708" t="s">
        <v>3446</v>
      </c>
      <c r="Y84" s="33" t="s">
        <v>3479</v>
      </c>
      <c r="Z84" s="33">
        <v>1</v>
      </c>
      <c r="AA84" s="33" t="s">
        <v>3351</v>
      </c>
      <c r="AB84" s="33" t="s">
        <v>3541</v>
      </c>
      <c r="AD84" s="504">
        <v>2.5000000000000001E-2</v>
      </c>
      <c r="AE84" s="33">
        <v>28000</v>
      </c>
      <c r="AF84" s="33">
        <v>46000</v>
      </c>
      <c r="AG84" s="33"/>
      <c r="AJ84" s="33" t="s">
        <v>3322</v>
      </c>
      <c r="AK84" s="33" t="s">
        <v>3447</v>
      </c>
    </row>
    <row r="85" spans="1:37" ht="13.5" customHeight="1">
      <c r="A85" s="182" t="s">
        <v>2388</v>
      </c>
      <c r="C85" s="196" t="s">
        <v>40</v>
      </c>
      <c r="D85" s="33" t="s">
        <v>574</v>
      </c>
      <c r="E85" s="33" t="s">
        <v>2376</v>
      </c>
      <c r="F85" s="33">
        <v>1598</v>
      </c>
      <c r="G85" s="33">
        <v>1600</v>
      </c>
      <c r="H85" s="33" t="s">
        <v>1628</v>
      </c>
      <c r="I85" s="33">
        <v>5</v>
      </c>
      <c r="J85" s="33" t="s">
        <v>2041</v>
      </c>
      <c r="P85" s="196">
        <v>1</v>
      </c>
      <c r="Q85" s="33" t="s">
        <v>1743</v>
      </c>
      <c r="R85" s="33" t="s">
        <v>1805</v>
      </c>
      <c r="S85" s="33" t="s">
        <v>3270</v>
      </c>
      <c r="T85" s="33">
        <v>1</v>
      </c>
      <c r="U85" s="33" t="s">
        <v>2590</v>
      </c>
      <c r="V85" s="33">
        <v>2</v>
      </c>
      <c r="W85" s="752" t="s">
        <v>3559</v>
      </c>
      <c r="X85" s="708" t="s">
        <v>3446</v>
      </c>
      <c r="Y85" s="33" t="s">
        <v>3479</v>
      </c>
      <c r="Z85" s="33">
        <v>1</v>
      </c>
      <c r="AA85" s="33" t="s">
        <v>3351</v>
      </c>
      <c r="AB85" s="33" t="s">
        <v>3541</v>
      </c>
      <c r="AD85" s="504">
        <v>2.5000000000000001E-2</v>
      </c>
      <c r="AE85" s="33">
        <v>28000</v>
      </c>
      <c r="AF85" s="33">
        <v>46000</v>
      </c>
      <c r="AG85" s="33"/>
      <c r="AJ85" s="33" t="s">
        <v>3322</v>
      </c>
      <c r="AK85" s="33" t="s">
        <v>3447</v>
      </c>
    </row>
    <row r="86" spans="1:37" ht="13.5" customHeight="1">
      <c r="A86" s="182" t="s">
        <v>2389</v>
      </c>
      <c r="C86" s="196" t="s">
        <v>40</v>
      </c>
      <c r="D86" s="33" t="s">
        <v>574</v>
      </c>
      <c r="E86" s="33" t="s">
        <v>2376</v>
      </c>
      <c r="F86" s="33">
        <v>1598</v>
      </c>
      <c r="G86" s="33">
        <v>1600</v>
      </c>
      <c r="H86" s="33" t="s">
        <v>1628</v>
      </c>
      <c r="I86" s="33">
        <v>7</v>
      </c>
      <c r="J86" s="33" t="s">
        <v>2040</v>
      </c>
      <c r="P86" s="196">
        <v>1</v>
      </c>
      <c r="Q86" s="33" t="s">
        <v>1814</v>
      </c>
      <c r="R86" s="33" t="s">
        <v>1805</v>
      </c>
      <c r="S86" s="33" t="s">
        <v>3270</v>
      </c>
      <c r="T86" s="33">
        <v>1</v>
      </c>
      <c r="U86" s="33" t="s">
        <v>2590</v>
      </c>
      <c r="V86" s="33">
        <v>2</v>
      </c>
      <c r="W86" s="752" t="s">
        <v>3559</v>
      </c>
      <c r="X86" s="708" t="s">
        <v>3446</v>
      </c>
      <c r="Y86" s="33" t="s">
        <v>3479</v>
      </c>
      <c r="Z86" s="33">
        <v>1</v>
      </c>
      <c r="AA86" s="33" t="s">
        <v>3351</v>
      </c>
      <c r="AB86" s="33" t="s">
        <v>3541</v>
      </c>
      <c r="AD86" s="504">
        <v>2.5000000000000001E-2</v>
      </c>
      <c r="AE86" s="33">
        <v>26000</v>
      </c>
      <c r="AF86" s="33">
        <v>41000</v>
      </c>
      <c r="AG86" s="33"/>
      <c r="AJ86" s="33" t="s">
        <v>3322</v>
      </c>
      <c r="AK86" s="33" t="s">
        <v>3447</v>
      </c>
    </row>
    <row r="87" spans="1:37" ht="13.5" customHeight="1">
      <c r="A87" s="182" t="s">
        <v>2390</v>
      </c>
      <c r="C87" s="196" t="s">
        <v>40</v>
      </c>
      <c r="D87" s="33" t="s">
        <v>574</v>
      </c>
      <c r="E87" s="33" t="s">
        <v>2376</v>
      </c>
      <c r="F87" s="33">
        <v>1598</v>
      </c>
      <c r="G87" s="33">
        <v>1600</v>
      </c>
      <c r="H87" s="33" t="s">
        <v>1628</v>
      </c>
      <c r="I87" s="33">
        <v>6</v>
      </c>
      <c r="J87" s="33" t="s">
        <v>2355</v>
      </c>
      <c r="P87" s="196">
        <v>1</v>
      </c>
      <c r="Q87" s="33" t="s">
        <v>1814</v>
      </c>
      <c r="R87" s="33" t="s">
        <v>1805</v>
      </c>
      <c r="S87" s="33" t="s">
        <v>3270</v>
      </c>
      <c r="T87" s="33">
        <v>1</v>
      </c>
      <c r="U87" s="33" t="s">
        <v>2590</v>
      </c>
      <c r="V87" s="33">
        <v>2</v>
      </c>
      <c r="W87" s="752" t="s">
        <v>3559</v>
      </c>
      <c r="X87" s="708" t="s">
        <v>3446</v>
      </c>
      <c r="Y87" s="33" t="s">
        <v>3479</v>
      </c>
      <c r="Z87" s="33">
        <v>1</v>
      </c>
      <c r="AA87" s="33" t="s">
        <v>3351</v>
      </c>
      <c r="AB87" s="33" t="s">
        <v>3541</v>
      </c>
      <c r="AD87" s="504">
        <v>2.5000000000000001E-2</v>
      </c>
      <c r="AE87" s="33">
        <v>28000</v>
      </c>
      <c r="AF87" s="33">
        <v>46000</v>
      </c>
      <c r="AG87" s="33"/>
      <c r="AJ87" s="33" t="s">
        <v>3322</v>
      </c>
      <c r="AK87" s="33" t="s">
        <v>3447</v>
      </c>
    </row>
    <row r="88" spans="1:37" ht="13.5" customHeight="1">
      <c r="A88" s="182" t="s">
        <v>2391</v>
      </c>
      <c r="C88" s="196" t="s">
        <v>40</v>
      </c>
      <c r="D88" s="33" t="s">
        <v>574</v>
      </c>
      <c r="E88" s="33" t="s">
        <v>2376</v>
      </c>
      <c r="F88" s="33">
        <v>1598</v>
      </c>
      <c r="G88" s="33">
        <v>1600</v>
      </c>
      <c r="H88" s="33" t="s">
        <v>1628</v>
      </c>
      <c r="I88" s="33">
        <v>5</v>
      </c>
      <c r="J88" s="33" t="s">
        <v>2039</v>
      </c>
      <c r="P88" s="196">
        <v>1</v>
      </c>
      <c r="Q88" s="33" t="s">
        <v>2414</v>
      </c>
      <c r="R88" s="33" t="s">
        <v>1805</v>
      </c>
      <c r="S88" s="33" t="s">
        <v>3270</v>
      </c>
      <c r="T88" s="33">
        <v>1</v>
      </c>
      <c r="U88" s="33" t="s">
        <v>2590</v>
      </c>
      <c r="V88" s="33">
        <v>2</v>
      </c>
      <c r="W88" s="752" t="s">
        <v>3559</v>
      </c>
      <c r="X88" s="708" t="s">
        <v>3446</v>
      </c>
      <c r="Y88" s="33" t="s">
        <v>3479</v>
      </c>
      <c r="Z88" s="33">
        <v>1</v>
      </c>
      <c r="AA88" s="33" t="s">
        <v>3351</v>
      </c>
      <c r="AB88" s="33" t="s">
        <v>3541</v>
      </c>
      <c r="AD88" s="504">
        <v>2.5000000000000001E-2</v>
      </c>
      <c r="AE88" s="33">
        <v>28000</v>
      </c>
      <c r="AF88" s="33">
        <v>46000</v>
      </c>
      <c r="AG88" s="33"/>
      <c r="AJ88" s="33" t="s">
        <v>3322</v>
      </c>
      <c r="AK88" s="33" t="s">
        <v>3447</v>
      </c>
    </row>
    <row r="89" spans="1:37" ht="13.5" customHeight="1">
      <c r="A89" s="182" t="s">
        <v>2392</v>
      </c>
      <c r="C89" s="196" t="s">
        <v>40</v>
      </c>
      <c r="D89" s="33" t="s">
        <v>574</v>
      </c>
      <c r="E89" s="33" t="s">
        <v>2376</v>
      </c>
      <c r="F89" s="33">
        <v>1598</v>
      </c>
      <c r="G89" s="33">
        <v>1600</v>
      </c>
      <c r="H89" s="33" t="s">
        <v>1628</v>
      </c>
      <c r="I89" s="33">
        <v>7</v>
      </c>
      <c r="J89" s="33" t="s">
        <v>2038</v>
      </c>
      <c r="P89" s="196">
        <v>1</v>
      </c>
      <c r="Q89" s="33" t="s">
        <v>1814</v>
      </c>
      <c r="R89" s="33" t="s">
        <v>1805</v>
      </c>
      <c r="S89" s="33" t="s">
        <v>3270</v>
      </c>
      <c r="T89" s="33">
        <v>1</v>
      </c>
      <c r="U89" s="33" t="s">
        <v>2590</v>
      </c>
      <c r="V89" s="33">
        <v>2</v>
      </c>
      <c r="W89" s="752" t="s">
        <v>3559</v>
      </c>
      <c r="X89" s="708" t="s">
        <v>3446</v>
      </c>
      <c r="Y89" s="33" t="s">
        <v>3479</v>
      </c>
      <c r="Z89" s="33">
        <v>1</v>
      </c>
      <c r="AA89" s="33" t="s">
        <v>3351</v>
      </c>
      <c r="AB89" s="33" t="s">
        <v>3541</v>
      </c>
      <c r="AD89" s="504">
        <v>2.5000000000000001E-2</v>
      </c>
      <c r="AE89" s="33">
        <v>26000</v>
      </c>
      <c r="AF89" s="33">
        <v>41000</v>
      </c>
      <c r="AG89" s="33"/>
      <c r="AJ89" s="33" t="s">
        <v>3322</v>
      </c>
      <c r="AK89" s="33" t="s">
        <v>3447</v>
      </c>
    </row>
    <row r="90" spans="1:37" ht="13.5" customHeight="1">
      <c r="A90" s="182" t="s">
        <v>2393</v>
      </c>
      <c r="C90" s="196" t="s">
        <v>40</v>
      </c>
      <c r="D90" s="33" t="s">
        <v>574</v>
      </c>
      <c r="E90" s="33" t="s">
        <v>2376</v>
      </c>
      <c r="F90" s="33">
        <v>1598</v>
      </c>
      <c r="G90" s="33">
        <v>1600</v>
      </c>
      <c r="H90" s="33" t="s">
        <v>1628</v>
      </c>
      <c r="I90" s="33">
        <v>6</v>
      </c>
      <c r="J90" s="33" t="s">
        <v>2356</v>
      </c>
      <c r="P90" s="196">
        <v>1</v>
      </c>
      <c r="Q90" s="33" t="s">
        <v>1814</v>
      </c>
      <c r="R90" s="33" t="s">
        <v>1805</v>
      </c>
      <c r="S90" s="33" t="s">
        <v>3270</v>
      </c>
      <c r="T90" s="33">
        <v>1</v>
      </c>
      <c r="U90" s="33" t="s">
        <v>2590</v>
      </c>
      <c r="V90" s="33">
        <v>2</v>
      </c>
      <c r="W90" s="752" t="s">
        <v>3559</v>
      </c>
      <c r="X90" s="708" t="s">
        <v>3446</v>
      </c>
      <c r="Y90" s="33" t="s">
        <v>3479</v>
      </c>
      <c r="Z90" s="33">
        <v>1</v>
      </c>
      <c r="AA90" s="33" t="s">
        <v>3351</v>
      </c>
      <c r="AB90" s="33" t="s">
        <v>3541</v>
      </c>
      <c r="AD90" s="504">
        <v>2.5000000000000001E-2</v>
      </c>
      <c r="AE90" s="33">
        <v>28000</v>
      </c>
      <c r="AF90" s="33">
        <v>46000</v>
      </c>
      <c r="AG90" s="33"/>
      <c r="AJ90" s="33" t="s">
        <v>3322</v>
      </c>
      <c r="AK90" s="33" t="s">
        <v>3447</v>
      </c>
    </row>
    <row r="91" spans="1:37" ht="13.5" customHeight="1">
      <c r="A91" s="182" t="s">
        <v>2394</v>
      </c>
      <c r="C91" s="196" t="s">
        <v>40</v>
      </c>
      <c r="D91" s="33" t="s">
        <v>574</v>
      </c>
      <c r="E91" s="33" t="s">
        <v>2376</v>
      </c>
      <c r="F91" s="33">
        <v>1598</v>
      </c>
      <c r="G91" s="33">
        <v>1600</v>
      </c>
      <c r="H91" s="33" t="s">
        <v>1628</v>
      </c>
      <c r="I91" s="33">
        <v>5</v>
      </c>
      <c r="J91" s="33" t="s">
        <v>2037</v>
      </c>
      <c r="P91" s="196">
        <v>1</v>
      </c>
      <c r="Q91" s="33" t="s">
        <v>1743</v>
      </c>
      <c r="R91" s="33" t="s">
        <v>1805</v>
      </c>
      <c r="S91" s="33" t="s">
        <v>3270</v>
      </c>
      <c r="T91" s="33">
        <v>1</v>
      </c>
      <c r="U91" s="33" t="s">
        <v>2590</v>
      </c>
      <c r="V91" s="33">
        <v>2</v>
      </c>
      <c r="W91" s="752" t="s">
        <v>3559</v>
      </c>
      <c r="X91" s="708" t="s">
        <v>3446</v>
      </c>
      <c r="Y91" s="33" t="s">
        <v>3479</v>
      </c>
      <c r="Z91" s="33">
        <v>1</v>
      </c>
      <c r="AA91" s="33" t="s">
        <v>3351</v>
      </c>
      <c r="AB91" s="33" t="s">
        <v>3541</v>
      </c>
      <c r="AD91" s="504">
        <v>2.5000000000000001E-2</v>
      </c>
      <c r="AE91" s="33">
        <v>28000</v>
      </c>
      <c r="AF91" s="33">
        <v>46000</v>
      </c>
      <c r="AG91" s="33"/>
      <c r="AJ91" s="33" t="s">
        <v>3322</v>
      </c>
      <c r="AK91" s="33" t="s">
        <v>3447</v>
      </c>
    </row>
    <row r="92" spans="1:37" ht="13.5" customHeight="1">
      <c r="A92" s="182" t="s">
        <v>3403</v>
      </c>
      <c r="C92" s="196" t="s">
        <v>40</v>
      </c>
      <c r="D92" s="33" t="s">
        <v>574</v>
      </c>
      <c r="E92" s="33" t="s">
        <v>2376</v>
      </c>
      <c r="F92" s="33">
        <v>1598</v>
      </c>
      <c r="G92" s="33">
        <v>1600</v>
      </c>
      <c r="H92" s="33" t="s">
        <v>1628</v>
      </c>
      <c r="I92" s="33">
        <v>5</v>
      </c>
      <c r="J92" s="33" t="s">
        <v>3406</v>
      </c>
      <c r="P92" s="196">
        <v>1</v>
      </c>
      <c r="Q92" s="33" t="s">
        <v>1743</v>
      </c>
      <c r="R92" s="33" t="s">
        <v>1805</v>
      </c>
      <c r="S92" s="33" t="s">
        <v>3270</v>
      </c>
      <c r="T92" s="33">
        <v>1</v>
      </c>
      <c r="U92" s="33" t="s">
        <v>2267</v>
      </c>
      <c r="V92" s="33">
        <v>2</v>
      </c>
      <c r="W92" s="752" t="s">
        <v>3559</v>
      </c>
      <c r="X92" s="708" t="s">
        <v>3446</v>
      </c>
      <c r="Y92" s="33" t="s">
        <v>3479</v>
      </c>
      <c r="Z92" s="33">
        <v>1</v>
      </c>
      <c r="AA92" s="33" t="s">
        <v>1684</v>
      </c>
      <c r="AB92" s="33" t="s">
        <v>3541</v>
      </c>
      <c r="AD92" s="504">
        <v>2.5000000000000001E-2</v>
      </c>
      <c r="AE92" s="33">
        <v>28000</v>
      </c>
      <c r="AF92" s="33">
        <v>46000</v>
      </c>
      <c r="AG92" s="33"/>
      <c r="AJ92" s="33" t="s">
        <v>3322</v>
      </c>
      <c r="AK92" s="33" t="s">
        <v>3447</v>
      </c>
    </row>
    <row r="93" spans="1:37" ht="13.5" customHeight="1">
      <c r="A93" s="182" t="s">
        <v>3404</v>
      </c>
      <c r="C93" s="196" t="s">
        <v>40</v>
      </c>
      <c r="D93" s="33" t="s">
        <v>574</v>
      </c>
      <c r="E93" s="33" t="s">
        <v>2376</v>
      </c>
      <c r="F93" s="33">
        <v>1598</v>
      </c>
      <c r="G93" s="33">
        <v>1600</v>
      </c>
      <c r="H93" s="33" t="s">
        <v>1628</v>
      </c>
      <c r="I93" s="33">
        <v>6</v>
      </c>
      <c r="J93" s="33" t="s">
        <v>3407</v>
      </c>
      <c r="P93" s="196">
        <v>1</v>
      </c>
      <c r="Q93" s="33" t="s">
        <v>1814</v>
      </c>
      <c r="R93" s="33" t="s">
        <v>1805</v>
      </c>
      <c r="S93" s="33" t="s">
        <v>3270</v>
      </c>
      <c r="T93" s="33">
        <v>1</v>
      </c>
      <c r="U93" s="33" t="s">
        <v>2267</v>
      </c>
      <c r="V93" s="33">
        <v>2</v>
      </c>
      <c r="W93" s="752" t="s">
        <v>3559</v>
      </c>
      <c r="X93" s="708" t="s">
        <v>3446</v>
      </c>
      <c r="Y93" s="33" t="s">
        <v>3479</v>
      </c>
      <c r="Z93" s="33">
        <v>1</v>
      </c>
      <c r="AA93" s="33" t="s">
        <v>1684</v>
      </c>
      <c r="AB93" s="33" t="s">
        <v>3541</v>
      </c>
      <c r="AD93" s="504">
        <v>2.5000000000000001E-2</v>
      </c>
      <c r="AE93" s="33">
        <v>28000</v>
      </c>
      <c r="AF93" s="33">
        <v>46000</v>
      </c>
      <c r="AG93" s="33"/>
      <c r="AJ93" s="33" t="s">
        <v>3322</v>
      </c>
      <c r="AK93" s="33" t="s">
        <v>3447</v>
      </c>
    </row>
    <row r="94" spans="1:37" ht="13.5" customHeight="1">
      <c r="A94" s="182" t="s">
        <v>3405</v>
      </c>
      <c r="C94" s="196" t="s">
        <v>40</v>
      </c>
      <c r="D94" s="33" t="s">
        <v>574</v>
      </c>
      <c r="E94" s="33" t="s">
        <v>2376</v>
      </c>
      <c r="F94" s="33">
        <v>1598</v>
      </c>
      <c r="G94" s="33">
        <v>1600</v>
      </c>
      <c r="H94" s="33" t="s">
        <v>1628</v>
      </c>
      <c r="I94" s="33">
        <v>7</v>
      </c>
      <c r="J94" s="33" t="s">
        <v>3408</v>
      </c>
      <c r="P94" s="196">
        <v>1</v>
      </c>
      <c r="Q94" s="33" t="s">
        <v>1814</v>
      </c>
      <c r="R94" s="33" t="s">
        <v>1805</v>
      </c>
      <c r="S94" s="33" t="s">
        <v>3270</v>
      </c>
      <c r="T94" s="33">
        <v>1</v>
      </c>
      <c r="U94" s="33" t="s">
        <v>2267</v>
      </c>
      <c r="V94" s="33">
        <v>2</v>
      </c>
      <c r="W94" s="752" t="s">
        <v>3559</v>
      </c>
      <c r="X94" s="708" t="s">
        <v>3446</v>
      </c>
      <c r="Y94" s="33" t="s">
        <v>3479</v>
      </c>
      <c r="Z94" s="33">
        <v>1</v>
      </c>
      <c r="AA94" s="33" t="s">
        <v>1684</v>
      </c>
      <c r="AB94" s="33" t="s">
        <v>3541</v>
      </c>
      <c r="AD94" s="504">
        <v>2.5000000000000001E-2</v>
      </c>
      <c r="AE94" s="33">
        <v>26000</v>
      </c>
      <c r="AF94" s="33">
        <v>41000</v>
      </c>
      <c r="AG94" s="33"/>
      <c r="AJ94" s="33" t="s">
        <v>3322</v>
      </c>
      <c r="AK94" s="33" t="s">
        <v>3447</v>
      </c>
    </row>
    <row r="95" spans="1:37" ht="13.5" customHeight="1">
      <c r="A95" s="182" t="s">
        <v>2395</v>
      </c>
      <c r="C95" s="196" t="s">
        <v>40</v>
      </c>
      <c r="D95" s="33" t="s">
        <v>574</v>
      </c>
      <c r="E95" s="33" t="s">
        <v>2376</v>
      </c>
      <c r="F95" s="33">
        <v>2497</v>
      </c>
      <c r="G95" s="33">
        <v>2500</v>
      </c>
      <c r="H95" s="33" t="s">
        <v>2375</v>
      </c>
      <c r="I95" s="33">
        <v>7</v>
      </c>
      <c r="J95" s="33" t="s">
        <v>2357</v>
      </c>
      <c r="P95" s="196">
        <v>1</v>
      </c>
      <c r="Q95" s="33" t="s">
        <v>1814</v>
      </c>
      <c r="R95" s="33" t="s">
        <v>2413</v>
      </c>
      <c r="S95" s="33" t="s">
        <v>3270</v>
      </c>
      <c r="T95" s="33">
        <v>1</v>
      </c>
      <c r="U95" s="33" t="s">
        <v>1666</v>
      </c>
      <c r="V95" s="33">
        <v>4</v>
      </c>
      <c r="W95" s="752" t="s">
        <v>3563</v>
      </c>
      <c r="X95" s="708" t="s">
        <v>3446</v>
      </c>
      <c r="Y95" s="713" t="s">
        <v>3479</v>
      </c>
      <c r="Z95" s="33">
        <v>3</v>
      </c>
      <c r="AA95" s="33" t="s">
        <v>3433</v>
      </c>
      <c r="AB95" s="33">
        <v>1</v>
      </c>
      <c r="AD95" s="504">
        <v>2.5000000000000001E-2</v>
      </c>
      <c r="AE95" s="33">
        <v>17000</v>
      </c>
      <c r="AF95" s="33">
        <v>29000</v>
      </c>
      <c r="AG95" s="33"/>
      <c r="AK95" s="33" t="s">
        <v>3447</v>
      </c>
    </row>
    <row r="96" spans="1:37" ht="13.5" customHeight="1">
      <c r="A96" s="182" t="s">
        <v>2396</v>
      </c>
      <c r="C96" s="196" t="s">
        <v>40</v>
      </c>
      <c r="D96" s="33" t="s">
        <v>574</v>
      </c>
      <c r="E96" s="33" t="s">
        <v>2376</v>
      </c>
      <c r="F96" s="33">
        <v>2497</v>
      </c>
      <c r="G96" s="33">
        <v>2500</v>
      </c>
      <c r="H96" s="33" t="s">
        <v>62</v>
      </c>
      <c r="I96" s="33">
        <v>6</v>
      </c>
      <c r="J96" s="33" t="s">
        <v>2358</v>
      </c>
      <c r="P96" s="196">
        <v>1</v>
      </c>
      <c r="Q96" s="33" t="s">
        <v>1814</v>
      </c>
      <c r="R96" s="33" t="s">
        <v>2413</v>
      </c>
      <c r="S96" s="33" t="s">
        <v>3270</v>
      </c>
      <c r="T96" s="33">
        <v>1</v>
      </c>
      <c r="U96" s="33" t="s">
        <v>1666</v>
      </c>
      <c r="V96" s="33">
        <v>4</v>
      </c>
      <c r="W96" s="752" t="s">
        <v>3563</v>
      </c>
      <c r="X96" s="708" t="s">
        <v>3446</v>
      </c>
      <c r="Y96" s="713" t="s">
        <v>3479</v>
      </c>
      <c r="Z96" s="33">
        <v>3</v>
      </c>
      <c r="AA96" s="33" t="s">
        <v>3433</v>
      </c>
      <c r="AB96" s="33">
        <v>1</v>
      </c>
      <c r="AD96" s="504">
        <v>2.5000000000000001E-2</v>
      </c>
      <c r="AE96" s="33">
        <v>19000</v>
      </c>
      <c r="AF96" s="33">
        <v>33000</v>
      </c>
      <c r="AG96" s="33"/>
      <c r="AK96" s="33" t="s">
        <v>3447</v>
      </c>
    </row>
    <row r="97" spans="1:37" ht="13.5" customHeight="1">
      <c r="A97" s="182" t="s">
        <v>2397</v>
      </c>
      <c r="C97" s="196" t="s">
        <v>40</v>
      </c>
      <c r="D97" s="33" t="s">
        <v>574</v>
      </c>
      <c r="E97" s="33" t="s">
        <v>2376</v>
      </c>
      <c r="F97" s="33">
        <v>2497</v>
      </c>
      <c r="G97" s="33">
        <v>2500</v>
      </c>
      <c r="H97" s="33" t="s">
        <v>62</v>
      </c>
      <c r="I97" s="33">
        <v>5</v>
      </c>
      <c r="J97" s="33" t="s">
        <v>2359</v>
      </c>
      <c r="P97" s="196">
        <v>1</v>
      </c>
      <c r="Q97" s="33" t="s">
        <v>1743</v>
      </c>
      <c r="R97" s="33" t="s">
        <v>1813</v>
      </c>
      <c r="S97" s="33" t="s">
        <v>3270</v>
      </c>
      <c r="T97" s="33">
        <v>1</v>
      </c>
      <c r="U97" s="33" t="s">
        <v>1666</v>
      </c>
      <c r="V97" s="33">
        <v>4</v>
      </c>
      <c r="W97" s="752" t="s">
        <v>3563</v>
      </c>
      <c r="X97" s="708" t="s">
        <v>3446</v>
      </c>
      <c r="Y97" s="713" t="s">
        <v>3479</v>
      </c>
      <c r="Z97" s="33">
        <v>3</v>
      </c>
      <c r="AA97" s="33" t="s">
        <v>3433</v>
      </c>
      <c r="AB97" s="33">
        <v>1</v>
      </c>
      <c r="AD97" s="504">
        <v>2.5000000000000001E-2</v>
      </c>
      <c r="AE97" s="33">
        <v>19000</v>
      </c>
      <c r="AF97" s="33">
        <v>33000</v>
      </c>
      <c r="AG97" s="33"/>
      <c r="AK97" s="33" t="s">
        <v>3447</v>
      </c>
    </row>
    <row r="98" spans="1:37" ht="13.5" customHeight="1">
      <c r="A98" s="182" t="s">
        <v>2398</v>
      </c>
      <c r="C98" s="196" t="s">
        <v>40</v>
      </c>
      <c r="D98" s="33" t="s">
        <v>574</v>
      </c>
      <c r="E98" s="33" t="s">
        <v>2376</v>
      </c>
      <c r="F98" s="33">
        <v>2497</v>
      </c>
      <c r="G98" s="33">
        <v>2500</v>
      </c>
      <c r="H98" s="33" t="s">
        <v>62</v>
      </c>
      <c r="I98" s="33">
        <v>7</v>
      </c>
      <c r="J98" s="33" t="s">
        <v>2360</v>
      </c>
      <c r="P98" s="196">
        <v>1</v>
      </c>
      <c r="Q98" s="33" t="s">
        <v>1814</v>
      </c>
      <c r="R98" s="33" t="s">
        <v>1813</v>
      </c>
      <c r="S98" s="33" t="s">
        <v>3270</v>
      </c>
      <c r="T98" s="33">
        <v>1</v>
      </c>
      <c r="U98" s="33" t="s">
        <v>1666</v>
      </c>
      <c r="V98" s="33">
        <v>4</v>
      </c>
      <c r="W98" s="752" t="s">
        <v>3563</v>
      </c>
      <c r="X98" s="708" t="s">
        <v>3446</v>
      </c>
      <c r="Y98" s="713" t="s">
        <v>3479</v>
      </c>
      <c r="Z98" s="33">
        <v>3</v>
      </c>
      <c r="AA98" s="33" t="s">
        <v>3433</v>
      </c>
      <c r="AB98" s="33">
        <v>1</v>
      </c>
      <c r="AD98" s="504">
        <v>2.5000000000000001E-2</v>
      </c>
      <c r="AE98" s="33">
        <v>17000</v>
      </c>
      <c r="AF98" s="33">
        <v>29000</v>
      </c>
      <c r="AG98" s="33"/>
      <c r="AK98" s="33" t="s">
        <v>3447</v>
      </c>
    </row>
    <row r="99" spans="1:37" ht="13.5" customHeight="1">
      <c r="A99" s="182" t="s">
        <v>2399</v>
      </c>
      <c r="C99" s="196" t="s">
        <v>40</v>
      </c>
      <c r="D99" s="33" t="s">
        <v>574</v>
      </c>
      <c r="E99" s="33" t="s">
        <v>2376</v>
      </c>
      <c r="F99" s="33">
        <v>2497</v>
      </c>
      <c r="G99" s="33">
        <v>2500</v>
      </c>
      <c r="H99" s="33" t="s">
        <v>62</v>
      </c>
      <c r="I99" s="33">
        <v>6</v>
      </c>
      <c r="J99" s="33" t="s">
        <v>2361</v>
      </c>
      <c r="P99" s="196">
        <v>1</v>
      </c>
      <c r="Q99" s="33" t="s">
        <v>1814</v>
      </c>
      <c r="R99" s="33" t="s">
        <v>1813</v>
      </c>
      <c r="S99" s="33" t="s">
        <v>3270</v>
      </c>
      <c r="T99" s="33">
        <v>1</v>
      </c>
      <c r="U99" s="33" t="s">
        <v>1666</v>
      </c>
      <c r="V99" s="33">
        <v>4</v>
      </c>
      <c r="W99" s="752" t="s">
        <v>3563</v>
      </c>
      <c r="X99" s="708" t="s">
        <v>3446</v>
      </c>
      <c r="Y99" s="713" t="s">
        <v>3479</v>
      </c>
      <c r="Z99" s="33">
        <v>3</v>
      </c>
      <c r="AA99" s="33" t="s">
        <v>3433</v>
      </c>
      <c r="AB99" s="33">
        <v>1</v>
      </c>
      <c r="AD99" s="504">
        <v>2.5000000000000001E-2</v>
      </c>
      <c r="AE99" s="33">
        <v>19000</v>
      </c>
      <c r="AF99" s="33">
        <v>33000</v>
      </c>
      <c r="AG99" s="33"/>
      <c r="AK99" s="33" t="s">
        <v>3447</v>
      </c>
    </row>
    <row r="100" spans="1:37" ht="13.5" customHeight="1">
      <c r="A100" s="182" t="s">
        <v>2400</v>
      </c>
      <c r="C100" s="196" t="s">
        <v>40</v>
      </c>
      <c r="D100" s="33" t="s">
        <v>574</v>
      </c>
      <c r="E100" s="33" t="s">
        <v>2376</v>
      </c>
      <c r="F100" s="33">
        <v>2497</v>
      </c>
      <c r="G100" s="33">
        <v>2500</v>
      </c>
      <c r="H100" s="33" t="s">
        <v>62</v>
      </c>
      <c r="I100" s="33">
        <v>5</v>
      </c>
      <c r="J100" s="33" t="s">
        <v>2362</v>
      </c>
      <c r="P100" s="196">
        <v>1</v>
      </c>
      <c r="Q100" s="33" t="s">
        <v>2414</v>
      </c>
      <c r="R100" s="33" t="s">
        <v>1813</v>
      </c>
      <c r="S100" s="33" t="s">
        <v>3270</v>
      </c>
      <c r="T100" s="33">
        <v>1</v>
      </c>
      <c r="U100" s="33" t="s">
        <v>1666</v>
      </c>
      <c r="V100" s="33">
        <v>4</v>
      </c>
      <c r="W100" s="752" t="s">
        <v>3563</v>
      </c>
      <c r="X100" s="708" t="s">
        <v>3446</v>
      </c>
      <c r="Y100" s="713" t="s">
        <v>3479</v>
      </c>
      <c r="Z100" s="33">
        <v>3</v>
      </c>
      <c r="AA100" s="33" t="s">
        <v>3433</v>
      </c>
      <c r="AB100" s="33">
        <v>1</v>
      </c>
      <c r="AD100" s="504">
        <v>2.5000000000000001E-2</v>
      </c>
      <c r="AE100" s="33">
        <v>19000</v>
      </c>
      <c r="AF100" s="33">
        <v>33000</v>
      </c>
      <c r="AG100" s="33"/>
      <c r="AK100" s="33" t="s">
        <v>3447</v>
      </c>
    </row>
    <row r="101" spans="1:37" ht="13.5" customHeight="1">
      <c r="A101" s="182" t="s">
        <v>2401</v>
      </c>
      <c r="C101" s="196" t="s">
        <v>40</v>
      </c>
      <c r="D101" s="33" t="s">
        <v>574</v>
      </c>
      <c r="E101" s="33" t="s">
        <v>2376</v>
      </c>
      <c r="F101" s="33">
        <v>2497</v>
      </c>
      <c r="G101" s="33">
        <v>2500</v>
      </c>
      <c r="H101" s="33" t="s">
        <v>62</v>
      </c>
      <c r="I101" s="33">
        <v>7</v>
      </c>
      <c r="J101" s="33" t="s">
        <v>2363</v>
      </c>
      <c r="P101" s="196">
        <v>1</v>
      </c>
      <c r="Q101" s="33" t="s">
        <v>1814</v>
      </c>
      <c r="R101" s="33" t="s">
        <v>1813</v>
      </c>
      <c r="S101" s="33" t="s">
        <v>3270</v>
      </c>
      <c r="T101" s="33">
        <v>1</v>
      </c>
      <c r="U101" s="33" t="s">
        <v>1666</v>
      </c>
      <c r="V101" s="33">
        <v>4</v>
      </c>
      <c r="W101" s="752" t="s">
        <v>3563</v>
      </c>
      <c r="X101" s="708" t="s">
        <v>3446</v>
      </c>
      <c r="Y101" s="713" t="s">
        <v>3479</v>
      </c>
      <c r="Z101" s="33">
        <v>3</v>
      </c>
      <c r="AA101" s="33" t="s">
        <v>3433</v>
      </c>
      <c r="AB101" s="33">
        <v>1</v>
      </c>
      <c r="AD101" s="504">
        <v>2.5000000000000001E-2</v>
      </c>
      <c r="AE101" s="33">
        <v>17000</v>
      </c>
      <c r="AF101" s="33">
        <v>29000</v>
      </c>
      <c r="AG101" s="33"/>
      <c r="AK101" s="33" t="s">
        <v>3447</v>
      </c>
    </row>
    <row r="102" spans="1:37" ht="13.5" customHeight="1">
      <c r="A102" s="182" t="s">
        <v>2402</v>
      </c>
      <c r="C102" s="196" t="s">
        <v>40</v>
      </c>
      <c r="D102" s="33" t="s">
        <v>574</v>
      </c>
      <c r="E102" s="33" t="s">
        <v>2376</v>
      </c>
      <c r="F102" s="33">
        <v>2497</v>
      </c>
      <c r="G102" s="33">
        <v>2500</v>
      </c>
      <c r="H102" s="33" t="s">
        <v>62</v>
      </c>
      <c r="I102" s="33">
        <v>6</v>
      </c>
      <c r="J102" s="33" t="s">
        <v>2364</v>
      </c>
      <c r="P102" s="196">
        <v>1</v>
      </c>
      <c r="Q102" s="33" t="s">
        <v>1814</v>
      </c>
      <c r="R102" s="33" t="s">
        <v>1813</v>
      </c>
      <c r="S102" s="33" t="s">
        <v>3270</v>
      </c>
      <c r="T102" s="33">
        <v>1</v>
      </c>
      <c r="U102" s="33" t="s">
        <v>1666</v>
      </c>
      <c r="V102" s="33">
        <v>4</v>
      </c>
      <c r="W102" s="752" t="s">
        <v>3563</v>
      </c>
      <c r="X102" s="708" t="s">
        <v>3446</v>
      </c>
      <c r="Y102" s="713" t="s">
        <v>3479</v>
      </c>
      <c r="Z102" s="33">
        <v>3</v>
      </c>
      <c r="AA102" s="33" t="s">
        <v>3433</v>
      </c>
      <c r="AB102" s="33">
        <v>1</v>
      </c>
      <c r="AD102" s="504">
        <v>2.5000000000000001E-2</v>
      </c>
      <c r="AE102" s="33">
        <v>19000</v>
      </c>
      <c r="AF102" s="33">
        <v>33000</v>
      </c>
      <c r="AG102" s="33"/>
      <c r="AK102" s="33" t="s">
        <v>3447</v>
      </c>
    </row>
    <row r="103" spans="1:37" ht="13.5" customHeight="1">
      <c r="A103" s="182" t="s">
        <v>2403</v>
      </c>
      <c r="C103" s="196" t="s">
        <v>40</v>
      </c>
      <c r="D103" s="33" t="s">
        <v>574</v>
      </c>
      <c r="E103" s="33" t="s">
        <v>2376</v>
      </c>
      <c r="F103" s="33">
        <v>2497</v>
      </c>
      <c r="G103" s="33">
        <v>2500</v>
      </c>
      <c r="H103" s="33" t="s">
        <v>62</v>
      </c>
      <c r="I103" s="33">
        <v>5</v>
      </c>
      <c r="J103" s="33" t="s">
        <v>2365</v>
      </c>
      <c r="P103" s="196">
        <v>1</v>
      </c>
      <c r="Q103" s="33" t="s">
        <v>2414</v>
      </c>
      <c r="R103" s="33" t="s">
        <v>1813</v>
      </c>
      <c r="S103" s="33" t="s">
        <v>3270</v>
      </c>
      <c r="T103" s="33">
        <v>1</v>
      </c>
      <c r="U103" s="33" t="s">
        <v>1666</v>
      </c>
      <c r="V103" s="33">
        <v>4</v>
      </c>
      <c r="W103" s="752" t="s">
        <v>3563</v>
      </c>
      <c r="X103" s="708" t="s">
        <v>3446</v>
      </c>
      <c r="Y103" s="713" t="s">
        <v>3479</v>
      </c>
      <c r="Z103" s="33">
        <v>3</v>
      </c>
      <c r="AA103" s="33" t="s">
        <v>3433</v>
      </c>
      <c r="AB103" s="33">
        <v>1</v>
      </c>
      <c r="AD103" s="504">
        <v>2.5000000000000001E-2</v>
      </c>
      <c r="AE103" s="33">
        <v>19000</v>
      </c>
      <c r="AF103" s="33">
        <v>33000</v>
      </c>
      <c r="AG103" s="33"/>
      <c r="AK103" s="33" t="s">
        <v>3447</v>
      </c>
    </row>
    <row r="104" spans="1:37" ht="13.5" customHeight="1">
      <c r="A104" s="30" t="s">
        <v>3388</v>
      </c>
      <c r="C104" s="196" t="s">
        <v>73</v>
      </c>
      <c r="D104" s="33" t="s">
        <v>2091</v>
      </c>
      <c r="E104" s="33" t="s">
        <v>2376</v>
      </c>
      <c r="F104" s="33">
        <v>2497</v>
      </c>
      <c r="G104" s="33">
        <v>2500</v>
      </c>
      <c r="H104" s="33" t="s">
        <v>142</v>
      </c>
      <c r="I104" s="33">
        <v>5</v>
      </c>
      <c r="J104" s="33" t="s">
        <v>3394</v>
      </c>
      <c r="P104" s="196">
        <v>1</v>
      </c>
      <c r="Q104" s="33" t="s">
        <v>1743</v>
      </c>
      <c r="R104" s="33" t="s">
        <v>1813</v>
      </c>
      <c r="S104" s="33" t="s">
        <v>3270</v>
      </c>
      <c r="T104" s="33">
        <v>1</v>
      </c>
      <c r="U104" s="33" t="s">
        <v>1666</v>
      </c>
      <c r="V104" s="33">
        <v>4</v>
      </c>
      <c r="W104" s="752" t="s">
        <v>3563</v>
      </c>
      <c r="X104" s="708" t="s">
        <v>3446</v>
      </c>
      <c r="Y104" s="713" t="s">
        <v>3479</v>
      </c>
      <c r="Z104" s="33">
        <v>3</v>
      </c>
      <c r="AA104" s="33" t="s">
        <v>3433</v>
      </c>
      <c r="AB104" s="33">
        <v>1</v>
      </c>
      <c r="AD104" s="504">
        <v>2.5000000000000001E-2</v>
      </c>
      <c r="AE104" s="33">
        <v>19000</v>
      </c>
      <c r="AF104" s="33">
        <v>33000</v>
      </c>
      <c r="AG104" s="33"/>
      <c r="AK104" s="33" t="s">
        <v>3447</v>
      </c>
    </row>
    <row r="105" spans="1:37" ht="13.5" customHeight="1">
      <c r="A105" s="30" t="s">
        <v>3389</v>
      </c>
      <c r="C105" s="196" t="s">
        <v>73</v>
      </c>
      <c r="D105" s="33" t="s">
        <v>2091</v>
      </c>
      <c r="E105" s="33" t="s">
        <v>2376</v>
      </c>
      <c r="F105" s="33">
        <v>2497</v>
      </c>
      <c r="G105" s="33">
        <v>2500</v>
      </c>
      <c r="H105" s="33" t="s">
        <v>142</v>
      </c>
      <c r="I105" s="33">
        <v>6</v>
      </c>
      <c r="J105" s="33" t="s">
        <v>3395</v>
      </c>
      <c r="P105" s="196">
        <v>1</v>
      </c>
      <c r="Q105" s="33" t="s">
        <v>1814</v>
      </c>
      <c r="R105" s="33" t="s">
        <v>1813</v>
      </c>
      <c r="S105" s="33" t="s">
        <v>3270</v>
      </c>
      <c r="T105" s="33">
        <v>1</v>
      </c>
      <c r="U105" s="33" t="s">
        <v>1666</v>
      </c>
      <c r="V105" s="33">
        <v>4</v>
      </c>
      <c r="W105" s="752" t="s">
        <v>3563</v>
      </c>
      <c r="X105" s="708" t="s">
        <v>3446</v>
      </c>
      <c r="Y105" s="713" t="s">
        <v>3479</v>
      </c>
      <c r="Z105" s="33">
        <v>3</v>
      </c>
      <c r="AA105" s="33" t="s">
        <v>3433</v>
      </c>
      <c r="AB105" s="33">
        <v>1</v>
      </c>
      <c r="AD105" s="504">
        <v>2.5000000000000001E-2</v>
      </c>
      <c r="AE105" s="33">
        <v>19000</v>
      </c>
      <c r="AF105" s="33">
        <v>33000</v>
      </c>
      <c r="AG105" s="33"/>
      <c r="AK105" s="33" t="s">
        <v>3447</v>
      </c>
    </row>
    <row r="106" spans="1:37" ht="13.5" customHeight="1">
      <c r="A106" s="30" t="s">
        <v>3390</v>
      </c>
      <c r="C106" s="196" t="s">
        <v>73</v>
      </c>
      <c r="D106" s="33" t="s">
        <v>2091</v>
      </c>
      <c r="E106" s="33" t="s">
        <v>2376</v>
      </c>
      <c r="F106" s="33">
        <v>2497</v>
      </c>
      <c r="G106" s="33">
        <v>2500</v>
      </c>
      <c r="H106" s="33" t="s">
        <v>142</v>
      </c>
      <c r="I106" s="33">
        <v>7</v>
      </c>
      <c r="J106" s="33" t="s">
        <v>3396</v>
      </c>
      <c r="P106" s="196">
        <v>1</v>
      </c>
      <c r="Q106" s="33" t="s">
        <v>1814</v>
      </c>
      <c r="R106" s="33" t="s">
        <v>1813</v>
      </c>
      <c r="S106" s="33" t="s">
        <v>3270</v>
      </c>
      <c r="T106" s="33">
        <v>1</v>
      </c>
      <c r="U106" s="33" t="s">
        <v>1666</v>
      </c>
      <c r="V106" s="33">
        <v>4</v>
      </c>
      <c r="W106" s="752" t="s">
        <v>3563</v>
      </c>
      <c r="X106" s="708" t="s">
        <v>3446</v>
      </c>
      <c r="Y106" s="713" t="s">
        <v>3479</v>
      </c>
      <c r="Z106" s="33">
        <v>3</v>
      </c>
      <c r="AA106" s="33" t="s">
        <v>3433</v>
      </c>
      <c r="AB106" s="33">
        <v>1</v>
      </c>
      <c r="AD106" s="504">
        <v>2.5000000000000001E-2</v>
      </c>
      <c r="AE106" s="33">
        <v>17000</v>
      </c>
      <c r="AF106" s="33">
        <v>29000</v>
      </c>
      <c r="AG106" s="33"/>
      <c r="AK106" s="33" t="s">
        <v>3447</v>
      </c>
    </row>
    <row r="107" spans="1:37" ht="13.5" customHeight="1">
      <c r="A107" s="182" t="s">
        <v>2404</v>
      </c>
      <c r="C107" s="196" t="s">
        <v>40</v>
      </c>
      <c r="D107" s="33" t="s">
        <v>574</v>
      </c>
      <c r="E107" s="33" t="s">
        <v>2376</v>
      </c>
      <c r="F107" s="33">
        <v>2497</v>
      </c>
      <c r="G107" s="33">
        <v>2500</v>
      </c>
      <c r="H107" s="33" t="s">
        <v>62</v>
      </c>
      <c r="I107" s="33">
        <v>7</v>
      </c>
      <c r="J107" s="33" t="s">
        <v>2366</v>
      </c>
      <c r="P107" s="196">
        <v>1</v>
      </c>
      <c r="Q107" s="33" t="s">
        <v>1814</v>
      </c>
      <c r="R107" s="33" t="s">
        <v>1813</v>
      </c>
      <c r="S107" s="33" t="s">
        <v>3270</v>
      </c>
      <c r="T107" s="33">
        <v>1</v>
      </c>
      <c r="U107" s="33" t="s">
        <v>1666</v>
      </c>
      <c r="V107" s="33">
        <v>4</v>
      </c>
      <c r="W107" s="752" t="s">
        <v>3563</v>
      </c>
      <c r="X107" s="708" t="s">
        <v>3446</v>
      </c>
      <c r="Y107" s="713" t="s">
        <v>3479</v>
      </c>
      <c r="Z107" s="33">
        <v>3</v>
      </c>
      <c r="AA107" s="660">
        <v>2</v>
      </c>
      <c r="AD107" s="504">
        <v>2.5000000000000001E-2</v>
      </c>
      <c r="AE107" s="33">
        <v>17000</v>
      </c>
      <c r="AF107" s="33">
        <v>29000</v>
      </c>
      <c r="AG107" s="33"/>
      <c r="AK107" s="33" t="s">
        <v>3447</v>
      </c>
    </row>
    <row r="108" spans="1:37" ht="13.5" customHeight="1">
      <c r="A108" s="182" t="s">
        <v>2405</v>
      </c>
      <c r="C108" s="196" t="s">
        <v>40</v>
      </c>
      <c r="D108" s="33" t="s">
        <v>574</v>
      </c>
      <c r="E108" s="33" t="s">
        <v>2376</v>
      </c>
      <c r="F108" s="33">
        <v>2497</v>
      </c>
      <c r="G108" s="33">
        <v>2500</v>
      </c>
      <c r="H108" s="33" t="s">
        <v>62</v>
      </c>
      <c r="I108" s="33">
        <v>6</v>
      </c>
      <c r="J108" s="33" t="s">
        <v>2367</v>
      </c>
      <c r="P108" s="196">
        <v>1</v>
      </c>
      <c r="Q108" s="33" t="s">
        <v>1814</v>
      </c>
      <c r="R108" s="33" t="s">
        <v>1813</v>
      </c>
      <c r="S108" s="33" t="s">
        <v>3270</v>
      </c>
      <c r="T108" s="33">
        <v>1</v>
      </c>
      <c r="U108" s="33" t="s">
        <v>1666</v>
      </c>
      <c r="V108" s="33">
        <v>4</v>
      </c>
      <c r="W108" s="752" t="s">
        <v>3563</v>
      </c>
      <c r="X108" s="708" t="s">
        <v>3446</v>
      </c>
      <c r="Y108" s="713" t="s">
        <v>3479</v>
      </c>
      <c r="Z108" s="33">
        <v>3</v>
      </c>
      <c r="AA108" s="660">
        <v>2</v>
      </c>
      <c r="AD108" s="504">
        <v>2.5000000000000001E-2</v>
      </c>
      <c r="AE108" s="33">
        <v>19000</v>
      </c>
      <c r="AF108" s="33">
        <v>33000</v>
      </c>
      <c r="AG108" s="33"/>
      <c r="AK108" s="33" t="s">
        <v>3447</v>
      </c>
    </row>
    <row r="109" spans="1:37" ht="13.5" customHeight="1">
      <c r="A109" s="182" t="s">
        <v>2406</v>
      </c>
      <c r="C109" s="196" t="s">
        <v>40</v>
      </c>
      <c r="D109" s="33" t="s">
        <v>574</v>
      </c>
      <c r="E109" s="33" t="s">
        <v>2376</v>
      </c>
      <c r="F109" s="33">
        <v>2497</v>
      </c>
      <c r="G109" s="33">
        <v>2500</v>
      </c>
      <c r="H109" s="33" t="s">
        <v>62</v>
      </c>
      <c r="I109" s="33">
        <v>5</v>
      </c>
      <c r="J109" s="33" t="s">
        <v>2368</v>
      </c>
      <c r="P109" s="196">
        <v>1</v>
      </c>
      <c r="Q109" s="33" t="s">
        <v>1743</v>
      </c>
      <c r="R109" s="33" t="s">
        <v>1813</v>
      </c>
      <c r="S109" s="33" t="s">
        <v>3270</v>
      </c>
      <c r="T109" s="33">
        <v>1</v>
      </c>
      <c r="U109" s="33" t="s">
        <v>1666</v>
      </c>
      <c r="V109" s="33">
        <v>4</v>
      </c>
      <c r="W109" s="752" t="s">
        <v>3563</v>
      </c>
      <c r="X109" s="708" t="s">
        <v>3446</v>
      </c>
      <c r="Y109" s="713" t="s">
        <v>3479</v>
      </c>
      <c r="Z109" s="33">
        <v>3</v>
      </c>
      <c r="AA109" s="660">
        <v>2</v>
      </c>
      <c r="AD109" s="504">
        <v>2.5000000000000001E-2</v>
      </c>
      <c r="AE109" s="33">
        <v>19000</v>
      </c>
      <c r="AF109" s="33">
        <v>33000</v>
      </c>
      <c r="AG109" s="33"/>
      <c r="AK109" s="33" t="s">
        <v>3447</v>
      </c>
    </row>
    <row r="110" spans="1:37" ht="13.5" customHeight="1">
      <c r="A110" s="182" t="s">
        <v>2407</v>
      </c>
      <c r="C110" s="196" t="s">
        <v>40</v>
      </c>
      <c r="D110" s="33" t="s">
        <v>574</v>
      </c>
      <c r="E110" s="33" t="s">
        <v>2376</v>
      </c>
      <c r="F110" s="33">
        <v>2497</v>
      </c>
      <c r="G110" s="33">
        <v>2500</v>
      </c>
      <c r="H110" s="33" t="s">
        <v>62</v>
      </c>
      <c r="I110" s="33">
        <v>7</v>
      </c>
      <c r="J110" s="33" t="s">
        <v>2369</v>
      </c>
      <c r="P110" s="196">
        <v>1</v>
      </c>
      <c r="Q110" s="33" t="s">
        <v>1814</v>
      </c>
      <c r="R110" s="33" t="s">
        <v>1813</v>
      </c>
      <c r="S110" s="33" t="s">
        <v>3270</v>
      </c>
      <c r="T110" s="33">
        <v>1</v>
      </c>
      <c r="U110" s="33" t="s">
        <v>1666</v>
      </c>
      <c r="V110" s="33">
        <v>4</v>
      </c>
      <c r="W110" s="752" t="s">
        <v>3563</v>
      </c>
      <c r="X110" s="708" t="s">
        <v>3446</v>
      </c>
      <c r="Y110" s="713" t="s">
        <v>3479</v>
      </c>
      <c r="Z110" s="33">
        <v>3</v>
      </c>
      <c r="AA110" s="660">
        <v>2</v>
      </c>
      <c r="AD110" s="504">
        <v>2.5000000000000001E-2</v>
      </c>
      <c r="AE110" s="33">
        <v>17000</v>
      </c>
      <c r="AF110" s="33">
        <v>29000</v>
      </c>
      <c r="AG110" s="33"/>
      <c r="AK110" s="33" t="s">
        <v>3447</v>
      </c>
    </row>
    <row r="111" spans="1:37" ht="13.5" customHeight="1">
      <c r="A111" s="182" t="s">
        <v>2408</v>
      </c>
      <c r="C111" s="196" t="s">
        <v>40</v>
      </c>
      <c r="D111" s="33" t="s">
        <v>574</v>
      </c>
      <c r="E111" s="33" t="s">
        <v>2376</v>
      </c>
      <c r="F111" s="33">
        <v>2497</v>
      </c>
      <c r="G111" s="33">
        <v>2500</v>
      </c>
      <c r="H111" s="33" t="s">
        <v>62</v>
      </c>
      <c r="I111" s="33">
        <v>6</v>
      </c>
      <c r="J111" s="33" t="s">
        <v>2370</v>
      </c>
      <c r="P111" s="196">
        <v>1</v>
      </c>
      <c r="Q111" s="33" t="s">
        <v>1814</v>
      </c>
      <c r="R111" s="33" t="s">
        <v>1813</v>
      </c>
      <c r="S111" s="33" t="s">
        <v>3270</v>
      </c>
      <c r="T111" s="33">
        <v>1</v>
      </c>
      <c r="U111" s="33" t="s">
        <v>1666</v>
      </c>
      <c r="V111" s="33">
        <v>4</v>
      </c>
      <c r="W111" s="752" t="s">
        <v>3563</v>
      </c>
      <c r="X111" s="708" t="s">
        <v>3446</v>
      </c>
      <c r="Y111" s="713" t="s">
        <v>3479</v>
      </c>
      <c r="Z111" s="33">
        <v>3</v>
      </c>
      <c r="AA111" s="660">
        <v>2</v>
      </c>
      <c r="AD111" s="504">
        <v>2.5000000000000001E-2</v>
      </c>
      <c r="AE111" s="33">
        <v>19000</v>
      </c>
      <c r="AF111" s="33">
        <v>33000</v>
      </c>
      <c r="AG111" s="33"/>
      <c r="AK111" s="33" t="s">
        <v>3447</v>
      </c>
    </row>
    <row r="112" spans="1:37" ht="13.5" customHeight="1">
      <c r="A112" s="182" t="s">
        <v>2409</v>
      </c>
      <c r="C112" s="196" t="s">
        <v>40</v>
      </c>
      <c r="D112" s="33" t="s">
        <v>574</v>
      </c>
      <c r="E112" s="33" t="s">
        <v>2376</v>
      </c>
      <c r="F112" s="33">
        <v>2497</v>
      </c>
      <c r="G112" s="33">
        <v>2500</v>
      </c>
      <c r="H112" s="33" t="s">
        <v>62</v>
      </c>
      <c r="I112" s="33">
        <v>5</v>
      </c>
      <c r="J112" s="33" t="s">
        <v>2371</v>
      </c>
      <c r="P112" s="196">
        <v>1</v>
      </c>
      <c r="Q112" s="33" t="s">
        <v>2414</v>
      </c>
      <c r="R112" s="33" t="s">
        <v>1813</v>
      </c>
      <c r="S112" s="33" t="s">
        <v>3270</v>
      </c>
      <c r="T112" s="33">
        <v>1</v>
      </c>
      <c r="U112" s="33" t="s">
        <v>1666</v>
      </c>
      <c r="V112" s="33">
        <v>4</v>
      </c>
      <c r="W112" s="752" t="s">
        <v>3563</v>
      </c>
      <c r="X112" s="708" t="s">
        <v>3446</v>
      </c>
      <c r="Y112" s="713" t="s">
        <v>3479</v>
      </c>
      <c r="Z112" s="33">
        <v>3</v>
      </c>
      <c r="AA112" s="660">
        <v>2</v>
      </c>
      <c r="AD112" s="504">
        <v>2.5000000000000001E-2</v>
      </c>
      <c r="AE112" s="33">
        <v>19000</v>
      </c>
      <c r="AF112" s="33">
        <v>33000</v>
      </c>
      <c r="AG112" s="33"/>
      <c r="AK112" s="33" t="s">
        <v>3447</v>
      </c>
    </row>
    <row r="113" spans="1:37" ht="13.5" customHeight="1">
      <c r="A113" s="182" t="s">
        <v>2410</v>
      </c>
      <c r="C113" s="196" t="s">
        <v>40</v>
      </c>
      <c r="D113" s="33" t="s">
        <v>574</v>
      </c>
      <c r="E113" s="33" t="s">
        <v>2376</v>
      </c>
      <c r="F113" s="33">
        <v>2497</v>
      </c>
      <c r="G113" s="33">
        <v>2500</v>
      </c>
      <c r="H113" s="33" t="s">
        <v>62</v>
      </c>
      <c r="I113" s="33">
        <v>7</v>
      </c>
      <c r="J113" s="33" t="s">
        <v>2372</v>
      </c>
      <c r="P113" s="196">
        <v>1</v>
      </c>
      <c r="Q113" s="33" t="s">
        <v>1814</v>
      </c>
      <c r="R113" s="33" t="s">
        <v>1813</v>
      </c>
      <c r="S113" s="33" t="s">
        <v>3270</v>
      </c>
      <c r="T113" s="33">
        <v>1</v>
      </c>
      <c r="U113" s="33" t="s">
        <v>1666</v>
      </c>
      <c r="V113" s="33">
        <v>4</v>
      </c>
      <c r="W113" s="752" t="s">
        <v>3563</v>
      </c>
      <c r="X113" s="708" t="s">
        <v>3446</v>
      </c>
      <c r="Y113" s="713" t="s">
        <v>3479</v>
      </c>
      <c r="Z113" s="33">
        <v>3</v>
      </c>
      <c r="AA113" s="660">
        <v>2</v>
      </c>
      <c r="AD113" s="504">
        <v>2.5000000000000001E-2</v>
      </c>
      <c r="AE113" s="33">
        <v>17000</v>
      </c>
      <c r="AF113" s="33">
        <v>29000</v>
      </c>
      <c r="AG113" s="33"/>
      <c r="AK113" s="33" t="s">
        <v>3447</v>
      </c>
    </row>
    <row r="114" spans="1:37" ht="13.5" customHeight="1">
      <c r="A114" s="182" t="s">
        <v>2411</v>
      </c>
      <c r="C114" s="196" t="s">
        <v>40</v>
      </c>
      <c r="D114" s="33" t="s">
        <v>574</v>
      </c>
      <c r="E114" s="33" t="s">
        <v>2376</v>
      </c>
      <c r="F114" s="33">
        <v>2497</v>
      </c>
      <c r="G114" s="33">
        <v>2500</v>
      </c>
      <c r="H114" s="33" t="s">
        <v>62</v>
      </c>
      <c r="I114" s="33">
        <v>6</v>
      </c>
      <c r="J114" s="33" t="s">
        <v>2373</v>
      </c>
      <c r="P114" s="196">
        <v>1</v>
      </c>
      <c r="Q114" s="33" t="s">
        <v>1814</v>
      </c>
      <c r="R114" s="33" t="s">
        <v>1813</v>
      </c>
      <c r="S114" s="33" t="s">
        <v>3270</v>
      </c>
      <c r="T114" s="33">
        <v>1</v>
      </c>
      <c r="U114" s="33" t="s">
        <v>1666</v>
      </c>
      <c r="V114" s="33">
        <v>4</v>
      </c>
      <c r="W114" s="752" t="s">
        <v>3563</v>
      </c>
      <c r="X114" s="708" t="s">
        <v>3446</v>
      </c>
      <c r="Y114" s="713" t="s">
        <v>3479</v>
      </c>
      <c r="Z114" s="33">
        <v>3</v>
      </c>
      <c r="AA114" s="660">
        <v>2</v>
      </c>
      <c r="AD114" s="504">
        <v>2.5000000000000001E-2</v>
      </c>
      <c r="AE114" s="33">
        <v>19000</v>
      </c>
      <c r="AF114" s="33">
        <v>33000</v>
      </c>
      <c r="AG114" s="33"/>
      <c r="AK114" s="33" t="s">
        <v>3447</v>
      </c>
    </row>
    <row r="115" spans="1:37" ht="13.5" customHeight="1">
      <c r="A115" s="30" t="s">
        <v>2412</v>
      </c>
      <c r="C115" s="196" t="s">
        <v>2089</v>
      </c>
      <c r="D115" s="33" t="s">
        <v>2091</v>
      </c>
      <c r="E115" s="33" t="s">
        <v>2376</v>
      </c>
      <c r="F115" s="33">
        <v>2497</v>
      </c>
      <c r="G115" s="33">
        <v>2500</v>
      </c>
      <c r="H115" s="33" t="s">
        <v>142</v>
      </c>
      <c r="I115" s="33">
        <v>5</v>
      </c>
      <c r="J115" s="33" t="s">
        <v>2374</v>
      </c>
      <c r="P115" s="196">
        <v>1</v>
      </c>
      <c r="Q115" s="33" t="s">
        <v>1743</v>
      </c>
      <c r="R115" s="33" t="s">
        <v>1813</v>
      </c>
      <c r="S115" s="33" t="s">
        <v>3270</v>
      </c>
      <c r="T115" s="33">
        <v>1</v>
      </c>
      <c r="U115" s="33" t="s">
        <v>1666</v>
      </c>
      <c r="V115" s="33">
        <v>4</v>
      </c>
      <c r="W115" s="752" t="s">
        <v>3563</v>
      </c>
      <c r="X115" s="708" t="s">
        <v>3446</v>
      </c>
      <c r="Y115" s="713" t="s">
        <v>3479</v>
      </c>
      <c r="Z115" s="33">
        <v>3</v>
      </c>
      <c r="AA115" s="660">
        <v>2</v>
      </c>
      <c r="AD115" s="504">
        <v>2.5000000000000001E-2</v>
      </c>
      <c r="AE115" s="33">
        <v>19000</v>
      </c>
      <c r="AF115" s="33">
        <v>33000</v>
      </c>
      <c r="AG115" s="33"/>
      <c r="AK115" s="33" t="s">
        <v>3447</v>
      </c>
    </row>
    <row r="116" spans="1:37" ht="13.5" customHeight="1">
      <c r="A116" s="30" t="s">
        <v>3385</v>
      </c>
      <c r="C116" s="196" t="s">
        <v>73</v>
      </c>
      <c r="D116" s="33" t="s">
        <v>2091</v>
      </c>
      <c r="E116" s="33" t="s">
        <v>2376</v>
      </c>
      <c r="F116" s="33">
        <v>2497</v>
      </c>
      <c r="G116" s="33">
        <v>2500</v>
      </c>
      <c r="H116" s="33" t="s">
        <v>142</v>
      </c>
      <c r="I116" s="33">
        <v>5</v>
      </c>
      <c r="J116" s="33" t="s">
        <v>3391</v>
      </c>
      <c r="P116" s="196">
        <v>1</v>
      </c>
      <c r="Q116" s="33" t="s">
        <v>1743</v>
      </c>
      <c r="R116" s="33" t="s">
        <v>1813</v>
      </c>
      <c r="S116" s="33" t="s">
        <v>3270</v>
      </c>
      <c r="T116" s="33">
        <v>1</v>
      </c>
      <c r="U116" s="33" t="s">
        <v>1666</v>
      </c>
      <c r="V116" s="33">
        <v>4</v>
      </c>
      <c r="W116" s="752" t="s">
        <v>3563</v>
      </c>
      <c r="X116" s="708" t="s">
        <v>3446</v>
      </c>
      <c r="Y116" s="713" t="s">
        <v>3479</v>
      </c>
      <c r="Z116" s="33">
        <v>3</v>
      </c>
      <c r="AA116" s="660">
        <v>2</v>
      </c>
      <c r="AD116" s="504">
        <v>2.5000000000000001E-2</v>
      </c>
      <c r="AE116" s="33">
        <v>19000</v>
      </c>
      <c r="AF116" s="33">
        <v>33000</v>
      </c>
      <c r="AG116" s="33"/>
      <c r="AK116" s="33" t="s">
        <v>3447</v>
      </c>
    </row>
    <row r="117" spans="1:37" ht="13.5" customHeight="1">
      <c r="A117" s="30" t="s">
        <v>3386</v>
      </c>
      <c r="C117" s="196" t="s">
        <v>73</v>
      </c>
      <c r="D117" s="33" t="s">
        <v>2091</v>
      </c>
      <c r="E117" s="33" t="s">
        <v>2376</v>
      </c>
      <c r="F117" s="33">
        <v>2497</v>
      </c>
      <c r="G117" s="33">
        <v>2500</v>
      </c>
      <c r="H117" s="33" t="s">
        <v>142</v>
      </c>
      <c r="I117" s="33">
        <v>6</v>
      </c>
      <c r="J117" s="33" t="s">
        <v>3392</v>
      </c>
      <c r="P117" s="196">
        <v>1</v>
      </c>
      <c r="Q117" s="33" t="s">
        <v>1814</v>
      </c>
      <c r="R117" s="33" t="s">
        <v>1813</v>
      </c>
      <c r="S117" s="33" t="s">
        <v>3270</v>
      </c>
      <c r="T117" s="33">
        <v>1</v>
      </c>
      <c r="U117" s="33" t="s">
        <v>1666</v>
      </c>
      <c r="V117" s="33">
        <v>4</v>
      </c>
      <c r="W117" s="752" t="s">
        <v>3563</v>
      </c>
      <c r="X117" s="708" t="s">
        <v>3446</v>
      </c>
      <c r="Y117" s="713" t="s">
        <v>3479</v>
      </c>
      <c r="Z117" s="33">
        <v>3</v>
      </c>
      <c r="AA117" s="660">
        <v>2</v>
      </c>
      <c r="AD117" s="504">
        <v>2.5000000000000001E-2</v>
      </c>
      <c r="AE117" s="33">
        <v>19000</v>
      </c>
      <c r="AF117" s="33">
        <v>33000</v>
      </c>
      <c r="AG117" s="33"/>
      <c r="AK117" s="33" t="s">
        <v>3447</v>
      </c>
    </row>
    <row r="118" spans="1:37" ht="13.5" customHeight="1">
      <c r="A118" s="30" t="s">
        <v>3387</v>
      </c>
      <c r="C118" s="196" t="s">
        <v>73</v>
      </c>
      <c r="D118" s="33" t="s">
        <v>2091</v>
      </c>
      <c r="E118" s="33" t="s">
        <v>2376</v>
      </c>
      <c r="F118" s="33">
        <v>2497</v>
      </c>
      <c r="G118" s="33">
        <v>2500</v>
      </c>
      <c r="H118" s="33" t="s">
        <v>142</v>
      </c>
      <c r="I118" s="33">
        <v>7</v>
      </c>
      <c r="J118" s="33" t="s">
        <v>3393</v>
      </c>
      <c r="P118" s="196">
        <v>1</v>
      </c>
      <c r="Q118" s="33" t="s">
        <v>1814</v>
      </c>
      <c r="R118" s="33" t="s">
        <v>1813</v>
      </c>
      <c r="S118" s="33" t="s">
        <v>3270</v>
      </c>
      <c r="T118" s="33">
        <v>1</v>
      </c>
      <c r="U118" s="33" t="s">
        <v>1666</v>
      </c>
      <c r="V118" s="33">
        <v>4</v>
      </c>
      <c r="W118" s="752" t="s">
        <v>3563</v>
      </c>
      <c r="X118" s="708" t="s">
        <v>3446</v>
      </c>
      <c r="Y118" s="713" t="s">
        <v>3479</v>
      </c>
      <c r="Z118" s="33">
        <v>3</v>
      </c>
      <c r="AA118" s="660">
        <v>2</v>
      </c>
      <c r="AD118" s="504">
        <v>2.5000000000000001E-2</v>
      </c>
      <c r="AE118" s="33">
        <v>17000</v>
      </c>
      <c r="AF118" s="33">
        <v>29000</v>
      </c>
      <c r="AG118" s="33"/>
      <c r="AK118" s="33" t="s">
        <v>3447</v>
      </c>
    </row>
    <row r="119" spans="1:37" ht="13.5" customHeight="1">
      <c r="A119" s="182" t="s">
        <v>2229</v>
      </c>
      <c r="C119" s="196" t="s">
        <v>40</v>
      </c>
      <c r="D119" s="33" t="s">
        <v>943</v>
      </c>
      <c r="E119" s="33" t="s">
        <v>2230</v>
      </c>
      <c r="F119" s="33">
        <v>1580</v>
      </c>
      <c r="G119" s="33">
        <v>1600</v>
      </c>
      <c r="H119" s="33" t="s">
        <v>1628</v>
      </c>
      <c r="I119" s="33">
        <v>5</v>
      </c>
      <c r="J119" s="33" t="s">
        <v>1954</v>
      </c>
      <c r="P119" s="196">
        <v>1</v>
      </c>
      <c r="Q119" s="33" t="s">
        <v>1743</v>
      </c>
      <c r="R119" s="33" t="s">
        <v>1805</v>
      </c>
      <c r="S119" s="33" t="s">
        <v>3270</v>
      </c>
      <c r="T119" s="33">
        <v>1</v>
      </c>
      <c r="U119" s="33" t="s">
        <v>2589</v>
      </c>
      <c r="V119" s="33">
        <v>10</v>
      </c>
      <c r="W119" s="752" t="s">
        <v>3621</v>
      </c>
      <c r="X119" s="33" t="s">
        <v>2912</v>
      </c>
      <c r="Y119" s="713">
        <v>3</v>
      </c>
      <c r="Z119" s="33">
        <v>8</v>
      </c>
      <c r="AA119" s="33">
        <v>6</v>
      </c>
      <c r="AD119" s="504">
        <v>0.02</v>
      </c>
      <c r="AE119" s="33">
        <v>23000</v>
      </c>
      <c r="AF119" s="33">
        <v>37000</v>
      </c>
      <c r="AG119" s="33"/>
    </row>
    <row r="120" spans="1:37" ht="13.5" customHeight="1">
      <c r="A120" s="182" t="s">
        <v>3272</v>
      </c>
      <c r="C120" s="196" t="s">
        <v>40</v>
      </c>
      <c r="D120" s="33" t="s">
        <v>943</v>
      </c>
      <c r="E120" s="33" t="s">
        <v>2230</v>
      </c>
      <c r="F120" s="33">
        <v>1580</v>
      </c>
      <c r="G120" s="33">
        <v>1600</v>
      </c>
      <c r="H120" s="33" t="s">
        <v>1628</v>
      </c>
      <c r="I120" s="33">
        <v>5</v>
      </c>
      <c r="J120" s="33" t="s">
        <v>3273</v>
      </c>
      <c r="P120" s="196">
        <v>1</v>
      </c>
      <c r="Q120" s="33" t="s">
        <v>1743</v>
      </c>
      <c r="R120" s="33" t="s">
        <v>1805</v>
      </c>
      <c r="S120" s="33" t="s">
        <v>3270</v>
      </c>
      <c r="T120" s="33">
        <v>1</v>
      </c>
      <c r="U120" s="33" t="s">
        <v>2569</v>
      </c>
      <c r="V120" s="33">
        <v>10</v>
      </c>
      <c r="W120" s="752" t="s">
        <v>3621</v>
      </c>
      <c r="X120" s="33" t="s">
        <v>2912</v>
      </c>
      <c r="Y120" s="713">
        <v>3</v>
      </c>
      <c r="Z120" s="33">
        <v>8</v>
      </c>
      <c r="AA120" s="33">
        <v>6</v>
      </c>
      <c r="AD120" s="504">
        <v>0.02</v>
      </c>
      <c r="AE120" s="33">
        <v>23000</v>
      </c>
      <c r="AF120" s="33">
        <v>37000</v>
      </c>
      <c r="AG120" s="33"/>
    </row>
    <row r="121" spans="1:37" ht="13.5" customHeight="1">
      <c r="A121" s="182" t="s">
        <v>2238</v>
      </c>
      <c r="C121" s="196" t="s">
        <v>40</v>
      </c>
      <c r="D121" s="33" t="s">
        <v>943</v>
      </c>
      <c r="E121" s="33" t="s">
        <v>2230</v>
      </c>
      <c r="F121" s="33">
        <v>1580</v>
      </c>
      <c r="G121" s="33">
        <v>1600</v>
      </c>
      <c r="H121" s="33" t="s">
        <v>1628</v>
      </c>
      <c r="I121" s="33">
        <v>5</v>
      </c>
      <c r="J121" s="33" t="s">
        <v>2239</v>
      </c>
      <c r="P121" s="196">
        <v>1</v>
      </c>
      <c r="Q121" s="33" t="s">
        <v>1743</v>
      </c>
      <c r="R121" s="33" t="s">
        <v>1805</v>
      </c>
      <c r="S121" s="33" t="s">
        <v>3270</v>
      </c>
      <c r="T121" s="33">
        <v>1</v>
      </c>
      <c r="U121" s="33" t="s">
        <v>2589</v>
      </c>
      <c r="V121" s="33">
        <v>10</v>
      </c>
      <c r="W121" s="752" t="s">
        <v>3621</v>
      </c>
      <c r="X121" s="33" t="s">
        <v>2912</v>
      </c>
      <c r="Y121" s="713">
        <v>3</v>
      </c>
      <c r="Z121" s="33">
        <v>8</v>
      </c>
      <c r="AA121" s="33">
        <v>6</v>
      </c>
      <c r="AD121" s="504">
        <v>0.02</v>
      </c>
      <c r="AE121" s="33">
        <v>23000</v>
      </c>
      <c r="AF121" s="33">
        <v>37000</v>
      </c>
      <c r="AG121" s="33"/>
    </row>
    <row r="122" spans="1:37" ht="13.5" customHeight="1">
      <c r="A122" s="182" t="s">
        <v>2231</v>
      </c>
      <c r="C122" s="196" t="s">
        <v>40</v>
      </c>
      <c r="D122" s="33" t="s">
        <v>943</v>
      </c>
      <c r="E122" s="33" t="s">
        <v>2230</v>
      </c>
      <c r="F122" s="33">
        <v>1580</v>
      </c>
      <c r="G122" s="33">
        <v>1600</v>
      </c>
      <c r="H122" s="33" t="s">
        <v>1628</v>
      </c>
      <c r="I122" s="33">
        <v>5</v>
      </c>
      <c r="J122" s="33" t="s">
        <v>1992</v>
      </c>
      <c r="P122" s="196">
        <v>1</v>
      </c>
      <c r="Q122" s="33" t="s">
        <v>1743</v>
      </c>
      <c r="R122" s="33" t="s">
        <v>1805</v>
      </c>
      <c r="S122" s="33" t="s">
        <v>3270</v>
      </c>
      <c r="T122" s="33">
        <v>1</v>
      </c>
      <c r="U122" s="33" t="s">
        <v>2589</v>
      </c>
      <c r="V122" s="33">
        <v>10</v>
      </c>
      <c r="W122" s="752" t="s">
        <v>3621</v>
      </c>
      <c r="X122" s="33" t="s">
        <v>2912</v>
      </c>
      <c r="Y122" s="713">
        <v>3</v>
      </c>
      <c r="Z122" s="33">
        <v>8</v>
      </c>
      <c r="AA122" s="33">
        <v>6</v>
      </c>
      <c r="AD122" s="504">
        <v>0.02</v>
      </c>
      <c r="AE122" s="33">
        <v>23000</v>
      </c>
      <c r="AF122" s="33">
        <v>37000</v>
      </c>
      <c r="AG122" s="33"/>
    </row>
    <row r="123" spans="1:37" ht="13.5" customHeight="1">
      <c r="A123" s="182" t="s">
        <v>2232</v>
      </c>
      <c r="C123" s="196" t="s">
        <v>40</v>
      </c>
      <c r="D123" s="33" t="s">
        <v>943</v>
      </c>
      <c r="E123" s="33" t="s">
        <v>2233</v>
      </c>
      <c r="F123" s="33">
        <v>1591</v>
      </c>
      <c r="G123" s="33">
        <v>1600</v>
      </c>
      <c r="H123" s="33" t="s">
        <v>62</v>
      </c>
      <c r="I123" s="33">
        <v>5</v>
      </c>
      <c r="J123" s="33" t="s">
        <v>1995</v>
      </c>
      <c r="P123" s="196">
        <v>1</v>
      </c>
      <c r="Q123" s="33" t="s">
        <v>1743</v>
      </c>
      <c r="R123" s="33" t="s">
        <v>1805</v>
      </c>
      <c r="S123" s="33" t="s">
        <v>3270</v>
      </c>
      <c r="T123" s="33">
        <v>1</v>
      </c>
      <c r="U123" s="33" t="s">
        <v>1639</v>
      </c>
      <c r="V123" s="33">
        <v>12</v>
      </c>
      <c r="W123" s="752" t="s">
        <v>3628</v>
      </c>
      <c r="X123" s="33" t="s">
        <v>2911</v>
      </c>
      <c r="Y123" s="33">
        <v>7</v>
      </c>
      <c r="Z123" s="33">
        <v>9</v>
      </c>
      <c r="AA123" s="33">
        <v>6</v>
      </c>
      <c r="AB123" s="33">
        <v>8</v>
      </c>
      <c r="AD123" s="504">
        <v>0.02</v>
      </c>
      <c r="AE123" s="33">
        <v>15000</v>
      </c>
      <c r="AF123" s="33">
        <v>25000</v>
      </c>
      <c r="AG123" s="33"/>
      <c r="AJ123" s="33" t="s">
        <v>3320</v>
      </c>
    </row>
    <row r="124" spans="1:37" ht="13.5" customHeight="1">
      <c r="A124" s="182" t="s">
        <v>3274</v>
      </c>
      <c r="C124" s="196" t="s">
        <v>40</v>
      </c>
      <c r="D124" s="33" t="s">
        <v>943</v>
      </c>
      <c r="E124" s="33" t="s">
        <v>2233</v>
      </c>
      <c r="F124" s="33">
        <v>1591</v>
      </c>
      <c r="G124" s="33">
        <v>1600</v>
      </c>
      <c r="H124" s="33" t="s">
        <v>62</v>
      </c>
      <c r="I124" s="33">
        <v>5</v>
      </c>
      <c r="J124" s="33" t="s">
        <v>3277</v>
      </c>
      <c r="P124" s="196">
        <v>1</v>
      </c>
      <c r="Q124" s="33" t="s">
        <v>1743</v>
      </c>
      <c r="R124" s="33" t="s">
        <v>1805</v>
      </c>
      <c r="S124" s="33" t="s">
        <v>3270</v>
      </c>
      <c r="T124" s="33">
        <v>1</v>
      </c>
      <c r="U124" s="33" t="s">
        <v>1639</v>
      </c>
      <c r="V124" s="33">
        <v>12</v>
      </c>
      <c r="W124" s="752" t="s">
        <v>3628</v>
      </c>
      <c r="X124" s="33" t="s">
        <v>2911</v>
      </c>
      <c r="Y124" s="33">
        <v>7</v>
      </c>
      <c r="Z124" s="33">
        <v>9</v>
      </c>
      <c r="AA124" s="33">
        <v>6</v>
      </c>
      <c r="AB124" s="33">
        <v>8</v>
      </c>
      <c r="AD124" s="504">
        <v>0.02</v>
      </c>
      <c r="AE124" s="33">
        <v>15000</v>
      </c>
      <c r="AF124" s="33">
        <v>25000</v>
      </c>
      <c r="AG124" s="33"/>
      <c r="AJ124" s="33" t="s">
        <v>3320</v>
      </c>
    </row>
    <row r="125" spans="1:37" ht="13.5" customHeight="1">
      <c r="A125" s="182" t="s">
        <v>2240</v>
      </c>
      <c r="C125" s="196" t="s">
        <v>40</v>
      </c>
      <c r="D125" s="33" t="s">
        <v>943</v>
      </c>
      <c r="E125" s="33" t="s">
        <v>2233</v>
      </c>
      <c r="F125" s="33">
        <v>1591</v>
      </c>
      <c r="G125" s="33">
        <v>1600</v>
      </c>
      <c r="H125" s="33" t="s">
        <v>62</v>
      </c>
      <c r="I125" s="33">
        <v>5</v>
      </c>
      <c r="J125" s="33" t="s">
        <v>2241</v>
      </c>
      <c r="P125" s="196">
        <v>1</v>
      </c>
      <c r="Q125" s="33" t="s">
        <v>1743</v>
      </c>
      <c r="R125" s="33" t="s">
        <v>1805</v>
      </c>
      <c r="S125" s="33" t="s">
        <v>3270</v>
      </c>
      <c r="T125" s="33">
        <v>1</v>
      </c>
      <c r="U125" s="33" t="s">
        <v>1639</v>
      </c>
      <c r="V125" s="33">
        <v>12</v>
      </c>
      <c r="W125" s="752" t="s">
        <v>3628</v>
      </c>
      <c r="X125" s="33" t="s">
        <v>2911</v>
      </c>
      <c r="Y125" s="33">
        <v>7</v>
      </c>
      <c r="Z125" s="33">
        <v>9</v>
      </c>
      <c r="AA125" s="33">
        <v>6</v>
      </c>
      <c r="AB125" s="33">
        <v>8</v>
      </c>
      <c r="AD125" s="504">
        <v>0.02</v>
      </c>
      <c r="AE125" s="33">
        <v>15000</v>
      </c>
      <c r="AF125" s="33">
        <v>25000</v>
      </c>
      <c r="AG125" s="33"/>
      <c r="AJ125" s="33" t="s">
        <v>3320</v>
      </c>
    </row>
    <row r="126" spans="1:37" ht="13.5" customHeight="1">
      <c r="A126" s="182" t="s">
        <v>2234</v>
      </c>
      <c r="C126" s="196" t="s">
        <v>40</v>
      </c>
      <c r="D126" s="33" t="s">
        <v>943</v>
      </c>
      <c r="E126" s="33" t="s">
        <v>2233</v>
      </c>
      <c r="F126" s="33">
        <v>1591</v>
      </c>
      <c r="G126" s="33">
        <v>1600</v>
      </c>
      <c r="H126" s="33" t="s">
        <v>62</v>
      </c>
      <c r="I126" s="33">
        <v>5</v>
      </c>
      <c r="J126" s="33" t="s">
        <v>1996</v>
      </c>
      <c r="P126" s="196">
        <v>1</v>
      </c>
      <c r="Q126" s="33" t="s">
        <v>1743</v>
      </c>
      <c r="R126" s="33" t="s">
        <v>1805</v>
      </c>
      <c r="S126" s="33" t="s">
        <v>3270</v>
      </c>
      <c r="T126" s="33">
        <v>1</v>
      </c>
      <c r="U126" s="33" t="s">
        <v>1639</v>
      </c>
      <c r="V126" s="33">
        <v>12</v>
      </c>
      <c r="W126" s="752" t="s">
        <v>3628</v>
      </c>
      <c r="X126" s="33" t="s">
        <v>2911</v>
      </c>
      <c r="Y126" s="33">
        <v>7</v>
      </c>
      <c r="Z126" s="33">
        <v>9</v>
      </c>
      <c r="AA126" s="33">
        <v>6</v>
      </c>
      <c r="AB126" s="33">
        <v>8</v>
      </c>
      <c r="AD126" s="504">
        <v>0.02</v>
      </c>
      <c r="AE126" s="33">
        <v>15000</v>
      </c>
      <c r="AF126" s="33">
        <v>25000</v>
      </c>
      <c r="AG126" s="33"/>
      <c r="AJ126" s="33" t="s">
        <v>3320</v>
      </c>
    </row>
    <row r="127" spans="1:37" ht="13.5" customHeight="1">
      <c r="A127" s="182" t="s">
        <v>2242</v>
      </c>
      <c r="C127" s="196" t="s">
        <v>40</v>
      </c>
      <c r="D127" s="33" t="s">
        <v>943</v>
      </c>
      <c r="E127" s="33" t="s">
        <v>2233</v>
      </c>
      <c r="F127" s="33">
        <v>1591</v>
      </c>
      <c r="G127" s="33">
        <v>1600</v>
      </c>
      <c r="H127" s="33" t="s">
        <v>62</v>
      </c>
      <c r="I127" s="33">
        <v>5</v>
      </c>
      <c r="J127" s="33" t="s">
        <v>2243</v>
      </c>
      <c r="P127" s="196">
        <v>1</v>
      </c>
      <c r="Q127" s="33" t="s">
        <v>1743</v>
      </c>
      <c r="R127" s="33" t="s">
        <v>1805</v>
      </c>
      <c r="S127" s="33" t="s">
        <v>3270</v>
      </c>
      <c r="T127" s="33">
        <v>1</v>
      </c>
      <c r="U127" s="33" t="s">
        <v>1639</v>
      </c>
      <c r="V127" s="33">
        <v>12</v>
      </c>
      <c r="W127" s="752" t="s">
        <v>3628</v>
      </c>
      <c r="X127" s="33" t="s">
        <v>2911</v>
      </c>
      <c r="Y127" s="33">
        <v>7</v>
      </c>
      <c r="Z127" s="33">
        <v>9</v>
      </c>
      <c r="AA127" s="33">
        <v>6</v>
      </c>
      <c r="AB127" s="33">
        <v>8</v>
      </c>
      <c r="AD127" s="504">
        <v>0.02</v>
      </c>
      <c r="AE127" s="33">
        <v>15000</v>
      </c>
      <c r="AF127" s="33">
        <v>25000</v>
      </c>
      <c r="AG127" s="33"/>
      <c r="AJ127" s="33" t="s">
        <v>3320</v>
      </c>
    </row>
    <row r="128" spans="1:37" ht="13.5" customHeight="1">
      <c r="A128" s="182" t="s">
        <v>2235</v>
      </c>
      <c r="C128" s="196" t="s">
        <v>40</v>
      </c>
      <c r="D128" s="33" t="s">
        <v>943</v>
      </c>
      <c r="E128" s="33" t="s">
        <v>2233</v>
      </c>
      <c r="F128" s="33">
        <v>1591</v>
      </c>
      <c r="G128" s="33">
        <v>1600</v>
      </c>
      <c r="H128" s="33" t="s">
        <v>62</v>
      </c>
      <c r="I128" s="33">
        <v>5</v>
      </c>
      <c r="J128" s="33" t="s">
        <v>1997</v>
      </c>
      <c r="P128" s="196">
        <v>1</v>
      </c>
      <c r="Q128" s="33" t="s">
        <v>1743</v>
      </c>
      <c r="R128" s="33" t="s">
        <v>1805</v>
      </c>
      <c r="S128" s="33" t="s">
        <v>3270</v>
      </c>
      <c r="T128" s="33">
        <v>1</v>
      </c>
      <c r="U128" s="33" t="s">
        <v>1639</v>
      </c>
      <c r="V128" s="33">
        <v>12</v>
      </c>
      <c r="W128" s="752" t="s">
        <v>3628</v>
      </c>
      <c r="X128" s="33" t="s">
        <v>2911</v>
      </c>
      <c r="Y128" s="33">
        <v>7</v>
      </c>
      <c r="Z128" s="33">
        <v>9</v>
      </c>
      <c r="AA128" s="33">
        <v>6</v>
      </c>
      <c r="AB128" s="33">
        <v>8</v>
      </c>
      <c r="AD128" s="504">
        <v>0.02</v>
      </c>
      <c r="AE128" s="33">
        <v>15000</v>
      </c>
      <c r="AF128" s="33">
        <v>25000</v>
      </c>
      <c r="AG128" s="33"/>
      <c r="AJ128" s="33" t="s">
        <v>3320</v>
      </c>
    </row>
    <row r="129" spans="1:37" ht="13.5" customHeight="1">
      <c r="A129" s="182" t="s">
        <v>2236</v>
      </c>
      <c r="C129" s="196" t="s">
        <v>40</v>
      </c>
      <c r="D129" s="33" t="s">
        <v>943</v>
      </c>
      <c r="E129" s="33" t="s">
        <v>2233</v>
      </c>
      <c r="F129" s="33">
        <v>1999</v>
      </c>
      <c r="G129" s="33">
        <v>2000</v>
      </c>
      <c r="H129" s="33" t="s">
        <v>62</v>
      </c>
      <c r="I129" s="33">
        <v>5</v>
      </c>
      <c r="J129" s="33" t="s">
        <v>1998</v>
      </c>
      <c r="P129" s="196">
        <v>1</v>
      </c>
      <c r="Q129" s="33" t="s">
        <v>1743</v>
      </c>
      <c r="R129" s="33" t="s">
        <v>1805</v>
      </c>
      <c r="S129" s="33" t="s">
        <v>3270</v>
      </c>
      <c r="T129" s="33">
        <v>1</v>
      </c>
      <c r="U129" s="33" t="s">
        <v>1639</v>
      </c>
      <c r="V129" s="33">
        <v>14</v>
      </c>
      <c r="W129" s="752" t="s">
        <v>3628</v>
      </c>
      <c r="X129" s="33" t="s">
        <v>2911</v>
      </c>
      <c r="Y129" s="33">
        <v>7</v>
      </c>
      <c r="Z129" s="33">
        <v>9</v>
      </c>
      <c r="AA129" s="33">
        <v>8</v>
      </c>
      <c r="AD129" s="504">
        <v>0.02</v>
      </c>
      <c r="AE129" s="33">
        <v>15000</v>
      </c>
      <c r="AF129" s="33">
        <v>25000</v>
      </c>
      <c r="AG129" s="33"/>
    </row>
    <row r="130" spans="1:37" ht="13.5" customHeight="1">
      <c r="A130" s="182" t="s">
        <v>3276</v>
      </c>
      <c r="C130" s="196" t="s">
        <v>40</v>
      </c>
      <c r="D130" s="33" t="s">
        <v>943</v>
      </c>
      <c r="E130" s="33" t="s">
        <v>2233</v>
      </c>
      <c r="F130" s="33">
        <v>1999</v>
      </c>
      <c r="G130" s="33">
        <v>2000</v>
      </c>
      <c r="H130" s="33" t="s">
        <v>62</v>
      </c>
      <c r="I130" s="33">
        <v>5</v>
      </c>
      <c r="J130" s="33" t="s">
        <v>3277</v>
      </c>
      <c r="P130" s="196">
        <v>1</v>
      </c>
      <c r="Q130" s="33" t="s">
        <v>1743</v>
      </c>
      <c r="R130" s="33" t="s">
        <v>1805</v>
      </c>
      <c r="S130" s="33" t="s">
        <v>3270</v>
      </c>
      <c r="T130" s="33">
        <v>1</v>
      </c>
      <c r="U130" s="33" t="s">
        <v>1639</v>
      </c>
      <c r="V130" s="33">
        <v>14</v>
      </c>
      <c r="W130" s="752" t="s">
        <v>3628</v>
      </c>
      <c r="X130" s="33" t="s">
        <v>2911</v>
      </c>
      <c r="Y130" s="33">
        <v>7</v>
      </c>
      <c r="Z130" s="33">
        <v>9</v>
      </c>
      <c r="AA130" s="33">
        <v>8</v>
      </c>
      <c r="AD130" s="504">
        <v>0.02</v>
      </c>
      <c r="AE130" s="33">
        <v>15000</v>
      </c>
      <c r="AF130" s="33">
        <v>25000</v>
      </c>
      <c r="AG130" s="33"/>
    </row>
    <row r="131" spans="1:37" ht="13.5" customHeight="1">
      <c r="A131" s="182" t="s">
        <v>2244</v>
      </c>
      <c r="C131" s="196" t="s">
        <v>40</v>
      </c>
      <c r="D131" s="33" t="s">
        <v>943</v>
      </c>
      <c r="E131" s="33" t="s">
        <v>2233</v>
      </c>
      <c r="F131" s="33">
        <v>1999</v>
      </c>
      <c r="G131" s="33">
        <v>2000</v>
      </c>
      <c r="H131" s="33" t="s">
        <v>62</v>
      </c>
      <c r="I131" s="33">
        <v>5</v>
      </c>
      <c r="J131" s="33" t="s">
        <v>2245</v>
      </c>
      <c r="P131" s="196">
        <v>1</v>
      </c>
      <c r="Q131" s="33" t="s">
        <v>1743</v>
      </c>
      <c r="R131" s="33" t="s">
        <v>1805</v>
      </c>
      <c r="S131" s="33" t="s">
        <v>3270</v>
      </c>
      <c r="T131" s="33">
        <v>1</v>
      </c>
      <c r="U131" s="33" t="s">
        <v>1639</v>
      </c>
      <c r="V131" s="33">
        <v>14</v>
      </c>
      <c r="W131" s="752" t="s">
        <v>3628</v>
      </c>
      <c r="X131" s="33" t="s">
        <v>2911</v>
      </c>
      <c r="Y131" s="33">
        <v>7</v>
      </c>
      <c r="Z131" s="33">
        <v>9</v>
      </c>
      <c r="AA131" s="33">
        <v>8</v>
      </c>
      <c r="AD131" s="504">
        <v>0.02</v>
      </c>
      <c r="AE131" s="33">
        <v>15000</v>
      </c>
      <c r="AF131" s="33">
        <v>25000</v>
      </c>
      <c r="AG131" s="33"/>
    </row>
    <row r="132" spans="1:37" ht="13.5" customHeight="1">
      <c r="A132" s="182" t="s">
        <v>2237</v>
      </c>
      <c r="C132" s="196" t="s">
        <v>40</v>
      </c>
      <c r="D132" s="33" t="s">
        <v>943</v>
      </c>
      <c r="E132" s="33" t="s">
        <v>2233</v>
      </c>
      <c r="F132" s="33">
        <v>1999</v>
      </c>
      <c r="G132" s="33">
        <v>2000</v>
      </c>
      <c r="H132" s="33" t="s">
        <v>62</v>
      </c>
      <c r="I132" s="33">
        <v>5</v>
      </c>
      <c r="J132" s="33" t="s">
        <v>1999</v>
      </c>
      <c r="P132" s="196">
        <v>1</v>
      </c>
      <c r="Q132" s="33" t="s">
        <v>1743</v>
      </c>
      <c r="R132" s="33" t="s">
        <v>1805</v>
      </c>
      <c r="S132" s="33" t="s">
        <v>3270</v>
      </c>
      <c r="T132" s="33">
        <v>1</v>
      </c>
      <c r="U132" s="33" t="s">
        <v>1639</v>
      </c>
      <c r="V132" s="33">
        <v>14</v>
      </c>
      <c r="W132" s="752" t="s">
        <v>3628</v>
      </c>
      <c r="X132" s="33" t="s">
        <v>2911</v>
      </c>
      <c r="Y132" s="33">
        <v>7</v>
      </c>
      <c r="Z132" s="33">
        <v>9</v>
      </c>
      <c r="AA132" s="33">
        <v>8</v>
      </c>
      <c r="AD132" s="504">
        <v>0.02</v>
      </c>
      <c r="AE132" s="33">
        <v>15000</v>
      </c>
      <c r="AF132" s="33">
        <v>25000</v>
      </c>
      <c r="AG132" s="33"/>
    </row>
    <row r="133" spans="1:37" ht="13.5" customHeight="1">
      <c r="A133" s="182" t="s">
        <v>3275</v>
      </c>
      <c r="C133" s="196" t="s">
        <v>40</v>
      </c>
      <c r="D133" s="33" t="s">
        <v>1630</v>
      </c>
      <c r="E133" s="33" t="s">
        <v>3065</v>
      </c>
      <c r="F133" s="33">
        <v>2497</v>
      </c>
      <c r="G133" s="33">
        <v>2500</v>
      </c>
      <c r="H133" s="33" t="s">
        <v>62</v>
      </c>
      <c r="I133" s="33">
        <v>5</v>
      </c>
      <c r="J133" s="33" t="s">
        <v>1900</v>
      </c>
      <c r="P133" s="196">
        <v>1</v>
      </c>
      <c r="Q133" s="33" t="s">
        <v>1743</v>
      </c>
      <c r="R133" s="33" t="s">
        <v>1757</v>
      </c>
      <c r="S133" s="33" t="s">
        <v>3270</v>
      </c>
      <c r="T133" s="33">
        <v>1</v>
      </c>
      <c r="U133" s="33" t="s">
        <v>1678</v>
      </c>
      <c r="V133" s="33">
        <v>8</v>
      </c>
      <c r="W133" s="752" t="s">
        <v>3626</v>
      </c>
      <c r="X133" s="33" t="s">
        <v>2912</v>
      </c>
      <c r="Y133" s="713">
        <v>9</v>
      </c>
      <c r="Z133" s="33">
        <v>10</v>
      </c>
      <c r="AD133" s="504">
        <v>0.02</v>
      </c>
      <c r="AE133" s="33">
        <v>31000</v>
      </c>
      <c r="AF133" s="33">
        <v>55000</v>
      </c>
      <c r="AG133" s="33"/>
    </row>
    <row r="134" spans="1:37" ht="13.5" customHeight="1">
      <c r="A134" s="182" t="s">
        <v>3066</v>
      </c>
      <c r="C134" s="196" t="s">
        <v>40</v>
      </c>
      <c r="D134" s="33" t="s">
        <v>1630</v>
      </c>
      <c r="E134" s="33" t="s">
        <v>3065</v>
      </c>
      <c r="F134" s="33">
        <v>2497</v>
      </c>
      <c r="G134" s="33">
        <v>2500</v>
      </c>
      <c r="H134" s="33" t="s">
        <v>62</v>
      </c>
      <c r="I134" s="33">
        <v>5</v>
      </c>
      <c r="J134" s="33" t="s">
        <v>3073</v>
      </c>
      <c r="P134" s="196">
        <v>1</v>
      </c>
      <c r="Q134" s="33" t="s">
        <v>1743</v>
      </c>
      <c r="R134" s="33" t="s">
        <v>1757</v>
      </c>
      <c r="S134" s="33" t="s">
        <v>3270</v>
      </c>
      <c r="T134" s="33">
        <v>1</v>
      </c>
      <c r="U134" s="33" t="s">
        <v>1678</v>
      </c>
      <c r="V134" s="33">
        <v>8</v>
      </c>
      <c r="W134" s="752" t="s">
        <v>3626</v>
      </c>
      <c r="X134" s="33" t="s">
        <v>2912</v>
      </c>
      <c r="Y134" s="713">
        <v>9</v>
      </c>
      <c r="Z134" s="33">
        <v>10</v>
      </c>
      <c r="AD134" s="504">
        <v>0.02</v>
      </c>
      <c r="AE134" s="33">
        <v>31000</v>
      </c>
      <c r="AF134" s="33">
        <v>55000</v>
      </c>
      <c r="AG134" s="33"/>
    </row>
    <row r="135" spans="1:37" ht="13.5" customHeight="1">
      <c r="A135" s="182" t="s">
        <v>3067</v>
      </c>
      <c r="C135" s="196" t="s">
        <v>40</v>
      </c>
      <c r="D135" s="33" t="s">
        <v>1630</v>
      </c>
      <c r="E135" s="33" t="s">
        <v>3065</v>
      </c>
      <c r="F135" s="33">
        <v>2497</v>
      </c>
      <c r="G135" s="33">
        <v>2500</v>
      </c>
      <c r="H135" s="33" t="s">
        <v>62</v>
      </c>
      <c r="I135" s="33">
        <v>5</v>
      </c>
      <c r="J135" s="33" t="s">
        <v>1902</v>
      </c>
      <c r="P135" s="196">
        <v>1</v>
      </c>
      <c r="Q135" s="33" t="s">
        <v>1743</v>
      </c>
      <c r="R135" s="33" t="s">
        <v>1757</v>
      </c>
      <c r="S135" s="33" t="s">
        <v>3270</v>
      </c>
      <c r="T135" s="33">
        <v>1</v>
      </c>
      <c r="U135" s="33" t="s">
        <v>1678</v>
      </c>
      <c r="V135" s="33">
        <v>8</v>
      </c>
      <c r="W135" s="752" t="s">
        <v>3626</v>
      </c>
      <c r="X135" s="33" t="s">
        <v>2912</v>
      </c>
      <c r="Y135" s="713">
        <v>9</v>
      </c>
      <c r="Z135" s="33">
        <v>10</v>
      </c>
      <c r="AD135" s="504">
        <v>0.02</v>
      </c>
      <c r="AE135" s="33">
        <v>31000</v>
      </c>
      <c r="AF135" s="33">
        <v>55000</v>
      </c>
      <c r="AG135" s="33"/>
    </row>
    <row r="136" spans="1:37" ht="13.5" customHeight="1">
      <c r="A136" s="182" t="s">
        <v>3068</v>
      </c>
      <c r="C136" s="196" t="s">
        <v>40</v>
      </c>
      <c r="D136" s="33" t="s">
        <v>1630</v>
      </c>
      <c r="E136" s="33" t="s">
        <v>3065</v>
      </c>
      <c r="F136" s="33">
        <v>2497</v>
      </c>
      <c r="G136" s="33">
        <v>2500</v>
      </c>
      <c r="H136" s="33" t="s">
        <v>62</v>
      </c>
      <c r="I136" s="33">
        <v>5</v>
      </c>
      <c r="J136" s="33" t="s">
        <v>3074</v>
      </c>
      <c r="P136" s="196">
        <v>1</v>
      </c>
      <c r="Q136" s="33" t="s">
        <v>1743</v>
      </c>
      <c r="R136" s="33" t="s">
        <v>1757</v>
      </c>
      <c r="S136" s="33" t="s">
        <v>3270</v>
      </c>
      <c r="T136" s="33">
        <v>1</v>
      </c>
      <c r="U136" s="33" t="s">
        <v>1678</v>
      </c>
      <c r="V136" s="33">
        <v>8</v>
      </c>
      <c r="W136" s="752" t="s">
        <v>3626</v>
      </c>
      <c r="X136" s="33" t="s">
        <v>2912</v>
      </c>
      <c r="Y136" s="713">
        <v>9</v>
      </c>
      <c r="Z136" s="33">
        <v>10</v>
      </c>
      <c r="AD136" s="504">
        <v>0.02</v>
      </c>
      <c r="AE136" s="33">
        <v>31000</v>
      </c>
      <c r="AF136" s="33">
        <v>55000</v>
      </c>
      <c r="AG136" s="33"/>
    </row>
    <row r="137" spans="1:37" ht="13.5" customHeight="1">
      <c r="A137" s="182" t="s">
        <v>3069</v>
      </c>
      <c r="C137" s="196" t="s">
        <v>40</v>
      </c>
      <c r="D137" s="33" t="s">
        <v>1630</v>
      </c>
      <c r="E137" s="33" t="s">
        <v>3065</v>
      </c>
      <c r="F137" s="33">
        <v>3470</v>
      </c>
      <c r="G137" s="33">
        <v>3500</v>
      </c>
      <c r="H137" s="33" t="s">
        <v>62</v>
      </c>
      <c r="I137" s="33">
        <v>5</v>
      </c>
      <c r="J137" s="33" t="s">
        <v>1904</v>
      </c>
      <c r="P137" s="196">
        <v>1</v>
      </c>
      <c r="Q137" s="33" t="s">
        <v>1743</v>
      </c>
      <c r="R137" s="33" t="s">
        <v>1764</v>
      </c>
      <c r="S137" s="33" t="s">
        <v>3270</v>
      </c>
      <c r="T137" s="33">
        <v>1</v>
      </c>
      <c r="U137" s="33" t="s">
        <v>1668</v>
      </c>
      <c r="V137" s="33">
        <v>14</v>
      </c>
      <c r="X137" s="708" t="s">
        <v>3449</v>
      </c>
      <c r="Y137" s="33">
        <v>13</v>
      </c>
      <c r="Z137" s="33">
        <v>11</v>
      </c>
      <c r="AD137" s="504">
        <v>0.02</v>
      </c>
      <c r="AE137" s="33">
        <v>33000</v>
      </c>
      <c r="AF137" s="33">
        <v>59000</v>
      </c>
      <c r="AG137" s="33"/>
      <c r="AJ137" s="214"/>
    </row>
    <row r="138" spans="1:37" ht="13.5" customHeight="1">
      <c r="A138" s="182" t="s">
        <v>3070</v>
      </c>
      <c r="C138" s="196" t="s">
        <v>40</v>
      </c>
      <c r="D138" s="33" t="s">
        <v>1630</v>
      </c>
      <c r="E138" s="33" t="s">
        <v>3065</v>
      </c>
      <c r="F138" s="33">
        <v>3470</v>
      </c>
      <c r="G138" s="33">
        <v>3500</v>
      </c>
      <c r="H138" s="33" t="s">
        <v>62</v>
      </c>
      <c r="I138" s="33">
        <v>5</v>
      </c>
      <c r="J138" s="33" t="s">
        <v>3075</v>
      </c>
      <c r="P138" s="196">
        <v>1</v>
      </c>
      <c r="Q138" s="33" t="s">
        <v>1743</v>
      </c>
      <c r="R138" s="33" t="s">
        <v>1764</v>
      </c>
      <c r="S138" s="33" t="s">
        <v>3270</v>
      </c>
      <c r="T138" s="33">
        <v>1</v>
      </c>
      <c r="U138" s="33" t="s">
        <v>1668</v>
      </c>
      <c r="V138" s="33">
        <v>14</v>
      </c>
      <c r="X138" s="708" t="s">
        <v>3449</v>
      </c>
      <c r="Y138" s="33">
        <v>13</v>
      </c>
      <c r="Z138" s="33">
        <v>11</v>
      </c>
      <c r="AD138" s="504">
        <v>0.02</v>
      </c>
      <c r="AE138" s="33">
        <v>33000</v>
      </c>
      <c r="AF138" s="33">
        <v>59000</v>
      </c>
      <c r="AG138" s="33"/>
      <c r="AJ138" s="214"/>
      <c r="AK138" s="33" t="s">
        <v>3450</v>
      </c>
    </row>
    <row r="139" spans="1:37" ht="13.5" customHeight="1">
      <c r="A139" s="182" t="s">
        <v>3071</v>
      </c>
      <c r="C139" s="196" t="s">
        <v>40</v>
      </c>
      <c r="D139" s="33" t="s">
        <v>1630</v>
      </c>
      <c r="E139" s="33" t="s">
        <v>3065</v>
      </c>
      <c r="F139" s="33">
        <v>3470</v>
      </c>
      <c r="G139" s="33">
        <v>3500</v>
      </c>
      <c r="H139" s="33" t="s">
        <v>62</v>
      </c>
      <c r="I139" s="33">
        <v>5</v>
      </c>
      <c r="J139" s="33" t="s">
        <v>1906</v>
      </c>
      <c r="P139" s="196">
        <v>1</v>
      </c>
      <c r="Q139" s="33" t="s">
        <v>1743</v>
      </c>
      <c r="R139" s="33" t="s">
        <v>1764</v>
      </c>
      <c r="S139" s="33" t="s">
        <v>3270</v>
      </c>
      <c r="T139" s="33">
        <v>1</v>
      </c>
      <c r="U139" s="33" t="s">
        <v>1668</v>
      </c>
      <c r="V139" s="33">
        <v>14</v>
      </c>
      <c r="X139" s="708" t="s">
        <v>3449</v>
      </c>
      <c r="Y139" s="33">
        <v>13</v>
      </c>
      <c r="Z139" s="33">
        <v>11</v>
      </c>
      <c r="AD139" s="504">
        <v>0.02</v>
      </c>
      <c r="AE139" s="33">
        <v>33000</v>
      </c>
      <c r="AF139" s="33">
        <v>59000</v>
      </c>
      <c r="AG139" s="33"/>
      <c r="AJ139" s="214"/>
      <c r="AK139" s="33" t="s">
        <v>3450</v>
      </c>
    </row>
    <row r="140" spans="1:37" ht="13.5" customHeight="1">
      <c r="A140" s="182" t="s">
        <v>3072</v>
      </c>
      <c r="C140" s="196" t="s">
        <v>40</v>
      </c>
      <c r="D140" s="33" t="s">
        <v>1630</v>
      </c>
      <c r="E140" s="33" t="s">
        <v>3065</v>
      </c>
      <c r="F140" s="33">
        <v>3470</v>
      </c>
      <c r="G140" s="33">
        <v>3500</v>
      </c>
      <c r="H140" s="33" t="s">
        <v>62</v>
      </c>
      <c r="I140" s="33">
        <v>5</v>
      </c>
      <c r="J140" s="33" t="s">
        <v>3076</v>
      </c>
      <c r="P140" s="196">
        <v>1</v>
      </c>
      <c r="Q140" s="33" t="s">
        <v>1743</v>
      </c>
      <c r="R140" s="33" t="s">
        <v>1764</v>
      </c>
      <c r="S140" s="33" t="s">
        <v>3270</v>
      </c>
      <c r="T140" s="33">
        <v>1</v>
      </c>
      <c r="U140" s="33" t="s">
        <v>1668</v>
      </c>
      <c r="V140" s="33">
        <v>14</v>
      </c>
      <c r="X140" s="708" t="s">
        <v>3449</v>
      </c>
      <c r="Y140" s="33">
        <v>13</v>
      </c>
      <c r="Z140" s="33">
        <v>11</v>
      </c>
      <c r="AD140" s="504">
        <v>0.02</v>
      </c>
      <c r="AE140" s="33">
        <v>33000</v>
      </c>
      <c r="AF140" s="33">
        <v>59000</v>
      </c>
      <c r="AG140" s="33"/>
      <c r="AJ140" s="214"/>
      <c r="AK140" s="33" t="s">
        <v>3450</v>
      </c>
    </row>
    <row r="141" spans="1:37" ht="13.5" customHeight="1">
      <c r="A141" s="182" t="s">
        <v>3077</v>
      </c>
      <c r="C141" s="196" t="s">
        <v>40</v>
      </c>
      <c r="D141" s="33" t="s">
        <v>896</v>
      </c>
      <c r="E141" s="33" t="s">
        <v>3097</v>
      </c>
      <c r="F141" s="33">
        <v>1598</v>
      </c>
      <c r="G141" s="33">
        <v>1600</v>
      </c>
      <c r="H141" s="33" t="s">
        <v>62</v>
      </c>
      <c r="I141" s="33">
        <v>5</v>
      </c>
      <c r="J141" s="33" t="s">
        <v>2000</v>
      </c>
      <c r="P141" s="196">
        <v>1</v>
      </c>
      <c r="Q141" s="33" t="s">
        <v>1743</v>
      </c>
      <c r="R141" s="33" t="s">
        <v>1805</v>
      </c>
      <c r="S141" s="33" t="s">
        <v>3270</v>
      </c>
      <c r="T141" s="33">
        <v>1</v>
      </c>
      <c r="U141" s="33" t="s">
        <v>1638</v>
      </c>
      <c r="V141" s="33">
        <v>3</v>
      </c>
      <c r="W141" s="752" t="s">
        <v>3560</v>
      </c>
      <c r="X141" s="33" t="s">
        <v>2914</v>
      </c>
      <c r="Y141" s="713" t="s">
        <v>3478</v>
      </c>
      <c r="Z141" s="33">
        <v>2</v>
      </c>
      <c r="AA141" s="33">
        <v>1</v>
      </c>
      <c r="AB141" s="33">
        <v>3</v>
      </c>
      <c r="AD141" s="504">
        <v>0.03</v>
      </c>
      <c r="AE141" s="33">
        <v>18000</v>
      </c>
      <c r="AF141" s="33">
        <v>31000</v>
      </c>
      <c r="AG141" s="33"/>
      <c r="AJ141" s="214"/>
    </row>
    <row r="142" spans="1:37" ht="13.5" customHeight="1">
      <c r="A142" s="182" t="s">
        <v>3078</v>
      </c>
      <c r="C142" s="196" t="s">
        <v>40</v>
      </c>
      <c r="D142" s="33" t="s">
        <v>896</v>
      </c>
      <c r="E142" s="33" t="s">
        <v>3097</v>
      </c>
      <c r="F142" s="33">
        <v>1598</v>
      </c>
      <c r="G142" s="33">
        <v>1600</v>
      </c>
      <c r="H142" s="33" t="s">
        <v>62</v>
      </c>
      <c r="I142" s="33">
        <v>5</v>
      </c>
      <c r="J142" s="33" t="s">
        <v>2001</v>
      </c>
      <c r="P142" s="196">
        <v>1</v>
      </c>
      <c r="Q142" s="33" t="s">
        <v>1743</v>
      </c>
      <c r="R142" s="33" t="s">
        <v>1805</v>
      </c>
      <c r="S142" s="33" t="s">
        <v>3270</v>
      </c>
      <c r="T142" s="33">
        <v>1</v>
      </c>
      <c r="U142" s="33" t="s">
        <v>1638</v>
      </c>
      <c r="V142" s="33">
        <v>3</v>
      </c>
      <c r="W142" s="752" t="s">
        <v>3560</v>
      </c>
      <c r="X142" s="33" t="s">
        <v>2914</v>
      </c>
      <c r="Y142" s="713" t="s">
        <v>3478</v>
      </c>
      <c r="Z142" s="33">
        <v>2</v>
      </c>
      <c r="AA142" s="33">
        <v>1</v>
      </c>
      <c r="AB142" s="33">
        <v>3</v>
      </c>
      <c r="AD142" s="504">
        <v>0.03</v>
      </c>
      <c r="AE142" s="33">
        <v>18000</v>
      </c>
      <c r="AF142" s="33">
        <v>31000</v>
      </c>
      <c r="AG142" s="33"/>
      <c r="AJ142" s="214"/>
    </row>
    <row r="143" spans="1:37" ht="13.5" customHeight="1">
      <c r="A143" s="182" t="s">
        <v>3079</v>
      </c>
      <c r="C143" s="196" t="s">
        <v>40</v>
      </c>
      <c r="D143" s="33" t="s">
        <v>896</v>
      </c>
      <c r="E143" s="33" t="s">
        <v>3097</v>
      </c>
      <c r="F143" s="33">
        <v>1598</v>
      </c>
      <c r="G143" s="33">
        <v>1600</v>
      </c>
      <c r="H143" s="33" t="s">
        <v>62</v>
      </c>
      <c r="I143" s="33">
        <v>5</v>
      </c>
      <c r="J143" s="33" t="s">
        <v>2002</v>
      </c>
      <c r="P143" s="196">
        <v>1</v>
      </c>
      <c r="Q143" s="33" t="s">
        <v>1743</v>
      </c>
      <c r="R143" s="33" t="s">
        <v>1805</v>
      </c>
      <c r="S143" s="33" t="s">
        <v>3270</v>
      </c>
      <c r="T143" s="33">
        <v>1</v>
      </c>
      <c r="U143" s="33" t="s">
        <v>1638</v>
      </c>
      <c r="V143" s="33">
        <v>3</v>
      </c>
      <c r="W143" s="752" t="s">
        <v>3560</v>
      </c>
      <c r="X143" s="33" t="s">
        <v>2914</v>
      </c>
      <c r="Y143" s="713" t="s">
        <v>3478</v>
      </c>
      <c r="Z143" s="33">
        <v>2</v>
      </c>
      <c r="AA143" s="33">
        <v>1</v>
      </c>
      <c r="AB143" s="33">
        <v>3</v>
      </c>
      <c r="AD143" s="504">
        <v>0.03</v>
      </c>
      <c r="AE143" s="33">
        <v>18000</v>
      </c>
      <c r="AF143" s="33">
        <v>31000</v>
      </c>
      <c r="AG143" s="33"/>
      <c r="AJ143" s="214"/>
    </row>
    <row r="144" spans="1:37" ht="13.5" customHeight="1">
      <c r="A144" s="182" t="s">
        <v>3080</v>
      </c>
      <c r="C144" s="196" t="s">
        <v>40</v>
      </c>
      <c r="D144" s="33" t="s">
        <v>896</v>
      </c>
      <c r="E144" s="33" t="s">
        <v>3097</v>
      </c>
      <c r="F144" s="33">
        <v>1598</v>
      </c>
      <c r="G144" s="33">
        <v>1600</v>
      </c>
      <c r="H144" s="33" t="s">
        <v>62</v>
      </c>
      <c r="I144" s="33">
        <v>5</v>
      </c>
      <c r="J144" s="33" t="s">
        <v>2003</v>
      </c>
      <c r="P144" s="196">
        <v>1</v>
      </c>
      <c r="Q144" s="33" t="s">
        <v>1743</v>
      </c>
      <c r="R144" s="33" t="s">
        <v>1805</v>
      </c>
      <c r="S144" s="33" t="s">
        <v>3270</v>
      </c>
      <c r="T144" s="33">
        <v>1</v>
      </c>
      <c r="U144" s="33" t="s">
        <v>1638</v>
      </c>
      <c r="V144" s="33">
        <v>3</v>
      </c>
      <c r="W144" s="752" t="s">
        <v>3560</v>
      </c>
      <c r="X144" s="33" t="s">
        <v>2914</v>
      </c>
      <c r="Y144" s="713" t="s">
        <v>3478</v>
      </c>
      <c r="Z144" s="33">
        <v>2</v>
      </c>
      <c r="AA144" s="33">
        <v>1</v>
      </c>
      <c r="AB144" s="33">
        <v>3</v>
      </c>
      <c r="AD144" s="504">
        <v>0.03</v>
      </c>
      <c r="AE144" s="33">
        <v>18000</v>
      </c>
      <c r="AF144" s="33">
        <v>31000</v>
      </c>
      <c r="AG144" s="33"/>
      <c r="AJ144" s="214"/>
    </row>
    <row r="145" spans="1:36" ht="13.5" customHeight="1">
      <c r="A145" s="182" t="s">
        <v>3081</v>
      </c>
      <c r="C145" s="196" t="s">
        <v>40</v>
      </c>
      <c r="D145" s="33" t="s">
        <v>896</v>
      </c>
      <c r="E145" s="33" t="s">
        <v>3097</v>
      </c>
      <c r="F145" s="33">
        <v>1598</v>
      </c>
      <c r="G145" s="33">
        <v>1600</v>
      </c>
      <c r="H145" s="33" t="s">
        <v>62</v>
      </c>
      <c r="I145" s="33">
        <v>5</v>
      </c>
      <c r="J145" s="33" t="s">
        <v>2004</v>
      </c>
      <c r="P145" s="196">
        <v>1</v>
      </c>
      <c r="Q145" s="33" t="s">
        <v>1743</v>
      </c>
      <c r="R145" s="33" t="s">
        <v>1805</v>
      </c>
      <c r="S145" s="33" t="s">
        <v>3270</v>
      </c>
      <c r="T145" s="33">
        <v>1</v>
      </c>
      <c r="U145" s="33" t="s">
        <v>1638</v>
      </c>
      <c r="V145" s="33">
        <v>3</v>
      </c>
      <c r="W145" s="752" t="s">
        <v>3560</v>
      </c>
      <c r="X145" s="33" t="s">
        <v>2914</v>
      </c>
      <c r="Y145" s="713" t="s">
        <v>3478</v>
      </c>
      <c r="Z145" s="33">
        <v>2</v>
      </c>
      <c r="AA145" s="33">
        <v>1</v>
      </c>
      <c r="AB145" s="33">
        <v>3</v>
      </c>
      <c r="AD145" s="504">
        <v>0.03</v>
      </c>
      <c r="AE145" s="33">
        <v>18000</v>
      </c>
      <c r="AF145" s="33">
        <v>31000</v>
      </c>
      <c r="AG145" s="33"/>
      <c r="AJ145" s="214"/>
    </row>
    <row r="146" spans="1:36" ht="13.5" customHeight="1">
      <c r="A146" s="182" t="s">
        <v>3082</v>
      </c>
      <c r="C146" s="196" t="s">
        <v>40</v>
      </c>
      <c r="D146" s="33" t="s">
        <v>896</v>
      </c>
      <c r="E146" s="33" t="s">
        <v>3097</v>
      </c>
      <c r="F146" s="33">
        <v>1598</v>
      </c>
      <c r="G146" s="33">
        <v>1600</v>
      </c>
      <c r="H146" s="33" t="s">
        <v>62</v>
      </c>
      <c r="I146" s="33">
        <v>5</v>
      </c>
      <c r="J146" s="33" t="s">
        <v>2005</v>
      </c>
      <c r="P146" s="196">
        <v>1</v>
      </c>
      <c r="Q146" s="33" t="s">
        <v>1743</v>
      </c>
      <c r="R146" s="33" t="s">
        <v>1805</v>
      </c>
      <c r="S146" s="33" t="s">
        <v>3270</v>
      </c>
      <c r="T146" s="33">
        <v>1</v>
      </c>
      <c r="U146" s="33" t="s">
        <v>1638</v>
      </c>
      <c r="V146" s="33">
        <v>3</v>
      </c>
      <c r="W146" s="752" t="s">
        <v>3560</v>
      </c>
      <c r="X146" s="33" t="s">
        <v>2914</v>
      </c>
      <c r="Y146" s="713" t="s">
        <v>3478</v>
      </c>
      <c r="Z146" s="33">
        <v>2</v>
      </c>
      <c r="AA146" s="33">
        <v>1</v>
      </c>
      <c r="AB146" s="33">
        <v>3</v>
      </c>
      <c r="AD146" s="504">
        <v>0.03</v>
      </c>
      <c r="AE146" s="33">
        <v>18000</v>
      </c>
      <c r="AF146" s="33">
        <v>31000</v>
      </c>
      <c r="AG146" s="33"/>
      <c r="AJ146" s="214"/>
    </row>
    <row r="147" spans="1:36" ht="13.5" customHeight="1">
      <c r="A147" s="182" t="s">
        <v>3083</v>
      </c>
      <c r="C147" s="196" t="s">
        <v>40</v>
      </c>
      <c r="D147" s="33" t="s">
        <v>896</v>
      </c>
      <c r="E147" s="33" t="s">
        <v>3097</v>
      </c>
      <c r="F147" s="33">
        <v>1998</v>
      </c>
      <c r="G147" s="33">
        <v>2000</v>
      </c>
      <c r="H147" s="33" t="s">
        <v>55</v>
      </c>
      <c r="I147" s="33">
        <v>5</v>
      </c>
      <c r="J147" s="33" t="s">
        <v>2006</v>
      </c>
      <c r="P147" s="196">
        <v>1</v>
      </c>
      <c r="Q147" s="33" t="s">
        <v>1743</v>
      </c>
      <c r="R147" s="33" t="s">
        <v>1805</v>
      </c>
      <c r="S147" s="33" t="s">
        <v>3270</v>
      </c>
      <c r="T147" s="33">
        <v>1</v>
      </c>
      <c r="U147" s="33" t="s">
        <v>1639</v>
      </c>
      <c r="V147" s="33">
        <v>10</v>
      </c>
      <c r="W147" s="752" t="s">
        <v>3620</v>
      </c>
      <c r="X147" s="33" t="s">
        <v>2917</v>
      </c>
      <c r="Y147" s="33">
        <v>11</v>
      </c>
      <c r="Z147" s="33">
        <v>6</v>
      </c>
      <c r="AA147" s="33">
        <v>6</v>
      </c>
      <c r="AB147" s="33">
        <v>6</v>
      </c>
      <c r="AD147" s="504">
        <v>0.03</v>
      </c>
      <c r="AE147" s="33">
        <v>19000</v>
      </c>
      <c r="AF147" s="33">
        <v>32000</v>
      </c>
      <c r="AG147" s="33"/>
      <c r="AJ147" s="214"/>
    </row>
    <row r="148" spans="1:36" ht="13.5" customHeight="1">
      <c r="A148" s="182" t="s">
        <v>3084</v>
      </c>
      <c r="C148" s="196" t="s">
        <v>40</v>
      </c>
      <c r="D148" s="33" t="s">
        <v>896</v>
      </c>
      <c r="E148" s="33" t="s">
        <v>3097</v>
      </c>
      <c r="F148" s="33">
        <v>1998</v>
      </c>
      <c r="G148" s="33">
        <v>2000</v>
      </c>
      <c r="H148" s="33" t="s">
        <v>55</v>
      </c>
      <c r="I148" s="33">
        <v>5</v>
      </c>
      <c r="J148" s="33" t="s">
        <v>2007</v>
      </c>
      <c r="P148" s="196">
        <v>1</v>
      </c>
      <c r="Q148" s="33" t="s">
        <v>1743</v>
      </c>
      <c r="R148" s="33" t="s">
        <v>1805</v>
      </c>
      <c r="S148" s="33" t="s">
        <v>3270</v>
      </c>
      <c r="T148" s="33">
        <v>1</v>
      </c>
      <c r="U148" s="33" t="s">
        <v>1639</v>
      </c>
      <c r="V148" s="33">
        <v>10</v>
      </c>
      <c r="W148" s="752" t="s">
        <v>3620</v>
      </c>
      <c r="X148" s="33" t="s">
        <v>2917</v>
      </c>
      <c r="Y148" s="33">
        <v>11</v>
      </c>
      <c r="Z148" s="33">
        <v>6</v>
      </c>
      <c r="AA148" s="33">
        <v>6</v>
      </c>
      <c r="AB148" s="33">
        <v>6</v>
      </c>
      <c r="AD148" s="504">
        <v>0.03</v>
      </c>
      <c r="AE148" s="33">
        <v>19000</v>
      </c>
      <c r="AF148" s="33">
        <v>32000</v>
      </c>
      <c r="AG148" s="33"/>
      <c r="AJ148" s="214"/>
    </row>
    <row r="149" spans="1:36" ht="13.5" customHeight="1">
      <c r="A149" s="182" t="s">
        <v>3085</v>
      </c>
      <c r="C149" s="196" t="s">
        <v>40</v>
      </c>
      <c r="D149" s="33" t="s">
        <v>896</v>
      </c>
      <c r="E149" s="33" t="s">
        <v>3097</v>
      </c>
      <c r="F149" s="33">
        <v>1998</v>
      </c>
      <c r="G149" s="33">
        <v>2000</v>
      </c>
      <c r="H149" s="33" t="s">
        <v>55</v>
      </c>
      <c r="I149" s="33">
        <v>5</v>
      </c>
      <c r="J149" s="33" t="s">
        <v>2008</v>
      </c>
      <c r="P149" s="196">
        <v>1</v>
      </c>
      <c r="Q149" s="33" t="s">
        <v>1743</v>
      </c>
      <c r="R149" s="33" t="s">
        <v>1805</v>
      </c>
      <c r="S149" s="33" t="s">
        <v>3270</v>
      </c>
      <c r="T149" s="33">
        <v>1</v>
      </c>
      <c r="U149" s="33" t="s">
        <v>1639</v>
      </c>
      <c r="V149" s="33">
        <v>10</v>
      </c>
      <c r="W149" s="752" t="s">
        <v>3620</v>
      </c>
      <c r="X149" s="33" t="s">
        <v>2917</v>
      </c>
      <c r="Y149" s="33">
        <v>11</v>
      </c>
      <c r="Z149" s="33">
        <v>6</v>
      </c>
      <c r="AA149" s="33">
        <v>6</v>
      </c>
      <c r="AB149" s="33">
        <v>6</v>
      </c>
      <c r="AD149" s="504">
        <v>0.03</v>
      </c>
      <c r="AE149" s="33">
        <v>19000</v>
      </c>
      <c r="AF149" s="33">
        <v>32000</v>
      </c>
      <c r="AG149" s="33"/>
      <c r="AJ149" s="214"/>
    </row>
    <row r="150" spans="1:36" ht="13.5" customHeight="1">
      <c r="A150" s="182" t="s">
        <v>3086</v>
      </c>
      <c r="C150" s="196" t="s">
        <v>40</v>
      </c>
      <c r="D150" s="33" t="s">
        <v>896</v>
      </c>
      <c r="E150" s="33" t="s">
        <v>3097</v>
      </c>
      <c r="F150" s="33">
        <v>1998</v>
      </c>
      <c r="G150" s="33">
        <v>2000</v>
      </c>
      <c r="H150" s="33" t="s">
        <v>55</v>
      </c>
      <c r="I150" s="33">
        <v>5</v>
      </c>
      <c r="J150" s="33" t="s">
        <v>2009</v>
      </c>
      <c r="P150" s="196">
        <v>1</v>
      </c>
      <c r="Q150" s="33" t="s">
        <v>1743</v>
      </c>
      <c r="R150" s="33" t="s">
        <v>1805</v>
      </c>
      <c r="S150" s="33" t="s">
        <v>3270</v>
      </c>
      <c r="T150" s="33">
        <v>1</v>
      </c>
      <c r="U150" s="33" t="s">
        <v>1639</v>
      </c>
      <c r="V150" s="33">
        <v>10</v>
      </c>
      <c r="W150" s="752" t="s">
        <v>3620</v>
      </c>
      <c r="X150" s="33" t="s">
        <v>2917</v>
      </c>
      <c r="Y150" s="33">
        <v>11</v>
      </c>
      <c r="Z150" s="33">
        <v>6</v>
      </c>
      <c r="AA150" s="33">
        <v>6</v>
      </c>
      <c r="AB150" s="33">
        <v>6</v>
      </c>
      <c r="AD150" s="504">
        <v>0.03</v>
      </c>
      <c r="AE150" s="33">
        <v>19000</v>
      </c>
      <c r="AF150" s="33">
        <v>32000</v>
      </c>
      <c r="AG150" s="33"/>
      <c r="AJ150" s="214"/>
    </row>
    <row r="151" spans="1:36" ht="13.5" customHeight="1">
      <c r="A151" s="182" t="s">
        <v>3087</v>
      </c>
      <c r="C151" s="196" t="s">
        <v>40</v>
      </c>
      <c r="D151" s="33" t="s">
        <v>896</v>
      </c>
      <c r="E151" s="33" t="s">
        <v>3097</v>
      </c>
      <c r="F151" s="33">
        <v>1998</v>
      </c>
      <c r="G151" s="33">
        <v>2000</v>
      </c>
      <c r="H151" s="33" t="s">
        <v>55</v>
      </c>
      <c r="I151" s="33">
        <v>5</v>
      </c>
      <c r="J151" s="33" t="s">
        <v>2010</v>
      </c>
      <c r="P151" s="196">
        <v>1</v>
      </c>
      <c r="Q151" s="33" t="s">
        <v>1743</v>
      </c>
      <c r="R151" s="33" t="s">
        <v>1805</v>
      </c>
      <c r="S151" s="33" t="s">
        <v>3270</v>
      </c>
      <c r="T151" s="33">
        <v>1</v>
      </c>
      <c r="U151" s="33" t="s">
        <v>1639</v>
      </c>
      <c r="V151" s="33">
        <v>10</v>
      </c>
      <c r="W151" s="752" t="s">
        <v>3620</v>
      </c>
      <c r="X151" s="33" t="s">
        <v>2917</v>
      </c>
      <c r="Y151" s="33">
        <v>11</v>
      </c>
      <c r="Z151" s="33">
        <v>6</v>
      </c>
      <c r="AA151" s="33">
        <v>6</v>
      </c>
      <c r="AB151" s="33">
        <v>6</v>
      </c>
      <c r="AD151" s="504">
        <v>0.03</v>
      </c>
      <c r="AE151" s="33">
        <v>19000</v>
      </c>
      <c r="AF151" s="33">
        <v>32000</v>
      </c>
      <c r="AG151" s="33"/>
      <c r="AJ151" s="214"/>
    </row>
    <row r="152" spans="1:36" ht="13.5" customHeight="1">
      <c r="A152" s="182" t="s">
        <v>3088</v>
      </c>
      <c r="C152" s="196" t="s">
        <v>40</v>
      </c>
      <c r="D152" s="33" t="s">
        <v>896</v>
      </c>
      <c r="E152" s="33" t="s">
        <v>3097</v>
      </c>
      <c r="F152" s="33">
        <v>1998</v>
      </c>
      <c r="G152" s="33">
        <v>2000</v>
      </c>
      <c r="H152" s="33" t="s">
        <v>55</v>
      </c>
      <c r="I152" s="33">
        <v>5</v>
      </c>
      <c r="J152" s="33" t="s">
        <v>2011</v>
      </c>
      <c r="P152" s="196">
        <v>1</v>
      </c>
      <c r="Q152" s="33" t="s">
        <v>1743</v>
      </c>
      <c r="R152" s="33" t="s">
        <v>1805</v>
      </c>
      <c r="S152" s="33" t="s">
        <v>3270</v>
      </c>
      <c r="T152" s="33">
        <v>1</v>
      </c>
      <c r="U152" s="33" t="s">
        <v>1639</v>
      </c>
      <c r="V152" s="33">
        <v>10</v>
      </c>
      <c r="W152" s="752" t="s">
        <v>3620</v>
      </c>
      <c r="X152" s="33" t="s">
        <v>2917</v>
      </c>
      <c r="Y152" s="33">
        <v>11</v>
      </c>
      <c r="Z152" s="33">
        <v>6</v>
      </c>
      <c r="AA152" s="33">
        <v>6</v>
      </c>
      <c r="AB152" s="33">
        <v>6</v>
      </c>
      <c r="AD152" s="504">
        <v>0.03</v>
      </c>
      <c r="AE152" s="33">
        <v>19000</v>
      </c>
      <c r="AF152" s="33">
        <v>32000</v>
      </c>
      <c r="AG152" s="33"/>
      <c r="AJ152" s="214"/>
    </row>
    <row r="153" spans="1:36" ht="13.5" customHeight="1">
      <c r="A153" s="182" t="s">
        <v>3089</v>
      </c>
      <c r="C153" s="196" t="s">
        <v>40</v>
      </c>
      <c r="D153" s="33" t="s">
        <v>896</v>
      </c>
      <c r="E153" s="33" t="s">
        <v>3097</v>
      </c>
      <c r="F153" s="33">
        <v>1598</v>
      </c>
      <c r="G153" s="33">
        <v>1600</v>
      </c>
      <c r="H153" s="33" t="s">
        <v>62</v>
      </c>
      <c r="I153" s="33">
        <v>5</v>
      </c>
      <c r="J153" s="33" t="s">
        <v>3098</v>
      </c>
      <c r="P153" s="196">
        <v>1</v>
      </c>
      <c r="Q153" s="33" t="s">
        <v>1743</v>
      </c>
      <c r="R153" s="33" t="s">
        <v>1805</v>
      </c>
      <c r="S153" s="33" t="s">
        <v>3270</v>
      </c>
      <c r="T153" s="33">
        <v>1</v>
      </c>
      <c r="V153" s="33">
        <v>3</v>
      </c>
      <c r="W153" s="752" t="s">
        <v>3560</v>
      </c>
      <c r="X153" s="33" t="s">
        <v>2914</v>
      </c>
      <c r="Y153" s="713" t="s">
        <v>3478</v>
      </c>
      <c r="Z153" s="33">
        <v>2</v>
      </c>
      <c r="AA153" s="33">
        <v>3</v>
      </c>
      <c r="AB153" s="33">
        <v>5</v>
      </c>
      <c r="AD153" s="504">
        <v>0.03</v>
      </c>
      <c r="AE153" s="33">
        <v>18000</v>
      </c>
      <c r="AF153" s="33">
        <v>31000</v>
      </c>
      <c r="AG153" s="33"/>
      <c r="AJ153" s="214"/>
    </row>
    <row r="154" spans="1:36" ht="13.5" customHeight="1">
      <c r="A154" s="182" t="s">
        <v>3090</v>
      </c>
      <c r="C154" s="196" t="s">
        <v>40</v>
      </c>
      <c r="D154" s="33" t="s">
        <v>896</v>
      </c>
      <c r="E154" s="33" t="s">
        <v>3097</v>
      </c>
      <c r="F154" s="33">
        <v>1598</v>
      </c>
      <c r="G154" s="33">
        <v>1600</v>
      </c>
      <c r="H154" s="33" t="s">
        <v>62</v>
      </c>
      <c r="I154" s="33">
        <v>5</v>
      </c>
      <c r="J154" s="33" t="s">
        <v>3099</v>
      </c>
      <c r="P154" s="196">
        <v>1</v>
      </c>
      <c r="Q154" s="33" t="s">
        <v>1743</v>
      </c>
      <c r="R154" s="33" t="s">
        <v>1805</v>
      </c>
      <c r="S154" s="33" t="s">
        <v>3270</v>
      </c>
      <c r="T154" s="33">
        <v>1</v>
      </c>
      <c r="V154" s="33">
        <v>3</v>
      </c>
      <c r="W154" s="752" t="s">
        <v>3560</v>
      </c>
      <c r="X154" s="33" t="s">
        <v>2914</v>
      </c>
      <c r="Y154" s="713" t="s">
        <v>3478</v>
      </c>
      <c r="Z154" s="33">
        <v>2</v>
      </c>
      <c r="AA154" s="33">
        <v>3</v>
      </c>
      <c r="AB154" s="33">
        <v>5</v>
      </c>
      <c r="AD154" s="504">
        <v>0.03</v>
      </c>
      <c r="AE154" s="33">
        <v>18000</v>
      </c>
      <c r="AF154" s="33">
        <v>31000</v>
      </c>
      <c r="AG154" s="33"/>
      <c r="AJ154" s="214"/>
    </row>
    <row r="155" spans="1:36" ht="13.5" customHeight="1">
      <c r="A155" s="182" t="s">
        <v>3091</v>
      </c>
      <c r="C155" s="196" t="s">
        <v>40</v>
      </c>
      <c r="D155" s="33" t="s">
        <v>896</v>
      </c>
      <c r="E155" s="33" t="s">
        <v>3097</v>
      </c>
      <c r="F155" s="33">
        <v>1598</v>
      </c>
      <c r="G155" s="33">
        <v>1600</v>
      </c>
      <c r="H155" s="33" t="s">
        <v>62</v>
      </c>
      <c r="I155" s="33">
        <v>5</v>
      </c>
      <c r="J155" s="33" t="s">
        <v>3100</v>
      </c>
      <c r="P155" s="196">
        <v>1</v>
      </c>
      <c r="Q155" s="33" t="s">
        <v>1743</v>
      </c>
      <c r="R155" s="33" t="s">
        <v>1805</v>
      </c>
      <c r="S155" s="33" t="s">
        <v>3270</v>
      </c>
      <c r="T155" s="33">
        <v>1</v>
      </c>
      <c r="V155" s="33">
        <v>3</v>
      </c>
      <c r="W155" s="752" t="s">
        <v>3560</v>
      </c>
      <c r="X155" s="33" t="s">
        <v>2914</v>
      </c>
      <c r="Y155" s="713" t="s">
        <v>3478</v>
      </c>
      <c r="Z155" s="33">
        <v>2</v>
      </c>
      <c r="AA155" s="33">
        <v>3</v>
      </c>
      <c r="AB155" s="33">
        <v>5</v>
      </c>
      <c r="AD155" s="504">
        <v>0.03</v>
      </c>
      <c r="AE155" s="33">
        <v>18000</v>
      </c>
      <c r="AF155" s="33">
        <v>31000</v>
      </c>
      <c r="AG155" s="33"/>
      <c r="AJ155" s="214"/>
    </row>
    <row r="156" spans="1:36" ht="13.5" customHeight="1">
      <c r="A156" s="182" t="s">
        <v>3092</v>
      </c>
      <c r="C156" s="196" t="s">
        <v>40</v>
      </c>
      <c r="D156" s="33" t="s">
        <v>896</v>
      </c>
      <c r="E156" s="33" t="s">
        <v>3097</v>
      </c>
      <c r="F156" s="33">
        <v>1598</v>
      </c>
      <c r="G156" s="33">
        <v>1600</v>
      </c>
      <c r="H156" s="33" t="s">
        <v>62</v>
      </c>
      <c r="I156" s="33">
        <v>5</v>
      </c>
      <c r="J156" s="33" t="s">
        <v>3101</v>
      </c>
      <c r="P156" s="196">
        <v>1</v>
      </c>
      <c r="Q156" s="33" t="s">
        <v>1743</v>
      </c>
      <c r="R156" s="33" t="s">
        <v>1805</v>
      </c>
      <c r="S156" s="33" t="s">
        <v>3270</v>
      </c>
      <c r="T156" s="33">
        <v>1</v>
      </c>
      <c r="V156" s="33">
        <v>3</v>
      </c>
      <c r="W156" s="752" t="s">
        <v>3560</v>
      </c>
      <c r="X156" s="33" t="s">
        <v>2914</v>
      </c>
      <c r="Y156" s="713" t="s">
        <v>3478</v>
      </c>
      <c r="Z156" s="33">
        <v>2</v>
      </c>
      <c r="AA156" s="33">
        <v>3</v>
      </c>
      <c r="AB156" s="33">
        <v>5</v>
      </c>
      <c r="AD156" s="504">
        <v>0.03</v>
      </c>
      <c r="AE156" s="33">
        <v>18000</v>
      </c>
      <c r="AF156" s="33">
        <v>31000</v>
      </c>
      <c r="AG156" s="33"/>
    </row>
    <row r="157" spans="1:36" ht="13.5" customHeight="1">
      <c r="A157" s="182" t="s">
        <v>3093</v>
      </c>
      <c r="C157" s="196" t="s">
        <v>40</v>
      </c>
      <c r="D157" s="33" t="s">
        <v>896</v>
      </c>
      <c r="E157" s="33" t="s">
        <v>3097</v>
      </c>
      <c r="F157" s="33">
        <v>1998</v>
      </c>
      <c r="G157" s="33">
        <v>2000</v>
      </c>
      <c r="H157" s="33" t="s">
        <v>55</v>
      </c>
      <c r="I157" s="33">
        <v>5</v>
      </c>
      <c r="J157" s="33" t="s">
        <v>3102</v>
      </c>
      <c r="P157" s="196">
        <v>1</v>
      </c>
      <c r="Q157" s="33" t="s">
        <v>1743</v>
      </c>
      <c r="R157" s="33" t="s">
        <v>1805</v>
      </c>
      <c r="S157" s="33" t="s">
        <v>3270</v>
      </c>
      <c r="T157" s="33">
        <v>1</v>
      </c>
      <c r="V157" s="33">
        <v>10</v>
      </c>
      <c r="X157" s="33" t="s">
        <v>2917</v>
      </c>
      <c r="Y157" s="33">
        <v>11</v>
      </c>
      <c r="Z157" s="33">
        <v>6</v>
      </c>
      <c r="AA157" s="33">
        <v>6</v>
      </c>
      <c r="AB157" s="33">
        <v>7</v>
      </c>
      <c r="AD157" s="504">
        <v>0.03</v>
      </c>
      <c r="AE157" s="33">
        <v>19000</v>
      </c>
      <c r="AF157" s="33">
        <v>32000</v>
      </c>
      <c r="AG157" s="33"/>
    </row>
    <row r="158" spans="1:36" ht="13.5" customHeight="1">
      <c r="A158" s="182" t="s">
        <v>3094</v>
      </c>
      <c r="C158" s="196" t="s">
        <v>40</v>
      </c>
      <c r="D158" s="33" t="s">
        <v>896</v>
      </c>
      <c r="E158" s="33" t="s">
        <v>3097</v>
      </c>
      <c r="F158" s="33">
        <v>1998</v>
      </c>
      <c r="G158" s="33">
        <v>2000</v>
      </c>
      <c r="H158" s="33" t="s">
        <v>55</v>
      </c>
      <c r="I158" s="33">
        <v>5</v>
      </c>
      <c r="J158" s="33" t="s">
        <v>3103</v>
      </c>
      <c r="P158" s="196">
        <v>1</v>
      </c>
      <c r="Q158" s="33" t="s">
        <v>1743</v>
      </c>
      <c r="R158" s="33" t="s">
        <v>1805</v>
      </c>
      <c r="S158" s="33" t="s">
        <v>3270</v>
      </c>
      <c r="T158" s="33">
        <v>1</v>
      </c>
      <c r="V158" s="33">
        <v>10</v>
      </c>
      <c r="X158" s="33" t="s">
        <v>2917</v>
      </c>
      <c r="Y158" s="33">
        <v>11</v>
      </c>
      <c r="Z158" s="33">
        <v>6</v>
      </c>
      <c r="AA158" s="33">
        <v>6</v>
      </c>
      <c r="AB158" s="33">
        <v>7</v>
      </c>
      <c r="AD158" s="504">
        <v>0.03</v>
      </c>
      <c r="AE158" s="33">
        <v>19000</v>
      </c>
      <c r="AF158" s="33">
        <v>32000</v>
      </c>
      <c r="AG158" s="33"/>
    </row>
    <row r="159" spans="1:36" ht="13.5" customHeight="1">
      <c r="A159" s="182" t="s">
        <v>3095</v>
      </c>
      <c r="C159" s="196" t="s">
        <v>40</v>
      </c>
      <c r="D159" s="33" t="s">
        <v>896</v>
      </c>
      <c r="E159" s="33" t="s">
        <v>3097</v>
      </c>
      <c r="F159" s="33">
        <v>1998</v>
      </c>
      <c r="G159" s="33">
        <v>2000</v>
      </c>
      <c r="H159" s="33" t="s">
        <v>55</v>
      </c>
      <c r="I159" s="33">
        <v>5</v>
      </c>
      <c r="J159" s="33" t="s">
        <v>3104</v>
      </c>
      <c r="P159" s="196">
        <v>1</v>
      </c>
      <c r="Q159" s="33" t="s">
        <v>1743</v>
      </c>
      <c r="R159" s="33" t="s">
        <v>1805</v>
      </c>
      <c r="S159" s="33" t="s">
        <v>3270</v>
      </c>
      <c r="T159" s="33">
        <v>1</v>
      </c>
      <c r="V159" s="33">
        <v>10</v>
      </c>
      <c r="X159" s="33" t="s">
        <v>2917</v>
      </c>
      <c r="Y159" s="33">
        <v>11</v>
      </c>
      <c r="Z159" s="33">
        <v>6</v>
      </c>
      <c r="AA159" s="33">
        <v>6</v>
      </c>
      <c r="AB159" s="33">
        <v>7</v>
      </c>
      <c r="AD159" s="504">
        <v>0.03</v>
      </c>
      <c r="AE159" s="33">
        <v>19000</v>
      </c>
      <c r="AF159" s="33">
        <v>32000</v>
      </c>
      <c r="AG159" s="33"/>
    </row>
    <row r="160" spans="1:36" ht="13.5" customHeight="1">
      <c r="A160" s="182" t="s">
        <v>3096</v>
      </c>
      <c r="C160" s="196" t="s">
        <v>40</v>
      </c>
      <c r="D160" s="33" t="s">
        <v>896</v>
      </c>
      <c r="E160" s="33" t="s">
        <v>3097</v>
      </c>
      <c r="F160" s="33">
        <v>1998</v>
      </c>
      <c r="G160" s="33">
        <v>2000</v>
      </c>
      <c r="H160" s="33" t="s">
        <v>55</v>
      </c>
      <c r="I160" s="33">
        <v>5</v>
      </c>
      <c r="J160" s="33" t="s">
        <v>3105</v>
      </c>
      <c r="P160" s="196">
        <v>1</v>
      </c>
      <c r="Q160" s="33" t="s">
        <v>1743</v>
      </c>
      <c r="R160" s="33" t="s">
        <v>1805</v>
      </c>
      <c r="S160" s="33" t="s">
        <v>3270</v>
      </c>
      <c r="T160" s="33">
        <v>1</v>
      </c>
      <c r="V160" s="33">
        <v>10</v>
      </c>
      <c r="X160" s="33" t="s">
        <v>2917</v>
      </c>
      <c r="Y160" s="33">
        <v>11</v>
      </c>
      <c r="Z160" s="33">
        <v>6</v>
      </c>
      <c r="AA160" s="33">
        <v>6</v>
      </c>
      <c r="AB160" s="33">
        <v>7</v>
      </c>
      <c r="AD160" s="504">
        <v>0.03</v>
      </c>
      <c r="AE160" s="33">
        <v>19000</v>
      </c>
      <c r="AF160" s="33">
        <v>32000</v>
      </c>
      <c r="AG160" s="33"/>
    </row>
    <row r="161" spans="1:37" ht="13.5" customHeight="1">
      <c r="A161" s="182" t="s">
        <v>3141</v>
      </c>
      <c r="C161" s="196" t="s">
        <v>40</v>
      </c>
      <c r="D161" s="33" t="s">
        <v>896</v>
      </c>
      <c r="E161" s="33" t="s">
        <v>3097</v>
      </c>
      <c r="F161" s="33">
        <v>1598</v>
      </c>
      <c r="G161" s="33">
        <v>1600</v>
      </c>
      <c r="H161" s="33" t="s">
        <v>1628</v>
      </c>
      <c r="I161" s="33">
        <v>5</v>
      </c>
      <c r="J161" s="33" t="s">
        <v>3106</v>
      </c>
      <c r="P161" s="196">
        <v>1</v>
      </c>
      <c r="Q161" s="33" t="s">
        <v>1743</v>
      </c>
      <c r="R161" s="33" t="s">
        <v>1805</v>
      </c>
      <c r="S161" s="33" t="s">
        <v>3270</v>
      </c>
      <c r="T161" s="33">
        <v>1</v>
      </c>
      <c r="U161" s="33" t="s">
        <v>3116</v>
      </c>
      <c r="V161" s="33">
        <v>3</v>
      </c>
      <c r="W161" s="752" t="s">
        <v>3617</v>
      </c>
      <c r="X161" s="33" t="s">
        <v>2914</v>
      </c>
      <c r="Y161" s="713" t="s">
        <v>3478</v>
      </c>
      <c r="Z161" s="33">
        <v>2</v>
      </c>
      <c r="AA161" s="33">
        <v>1</v>
      </c>
      <c r="AD161" s="504">
        <v>0.03</v>
      </c>
      <c r="AE161" s="33">
        <v>24000</v>
      </c>
      <c r="AF161" s="33">
        <v>39000</v>
      </c>
      <c r="AG161" s="33"/>
    </row>
    <row r="162" spans="1:37" ht="13.5" customHeight="1">
      <c r="A162" s="182" t="s">
        <v>3142</v>
      </c>
      <c r="C162" s="196" t="s">
        <v>40</v>
      </c>
      <c r="D162" s="33" t="s">
        <v>896</v>
      </c>
      <c r="E162" s="33" t="s">
        <v>3097</v>
      </c>
      <c r="F162" s="33">
        <v>1598</v>
      </c>
      <c r="G162" s="33">
        <v>1600</v>
      </c>
      <c r="H162" s="33" t="s">
        <v>1628</v>
      </c>
      <c r="I162" s="33">
        <v>5</v>
      </c>
      <c r="J162" s="33" t="s">
        <v>3107</v>
      </c>
      <c r="P162" s="196">
        <v>1</v>
      </c>
      <c r="Q162" s="33" t="s">
        <v>1743</v>
      </c>
      <c r="R162" s="33" t="s">
        <v>1805</v>
      </c>
      <c r="S162" s="33" t="s">
        <v>3270</v>
      </c>
      <c r="T162" s="33">
        <v>1</v>
      </c>
      <c r="U162" s="33" t="s">
        <v>3116</v>
      </c>
      <c r="V162" s="33">
        <v>3</v>
      </c>
      <c r="W162" s="752" t="s">
        <v>3617</v>
      </c>
      <c r="X162" s="33" t="s">
        <v>2914</v>
      </c>
      <c r="Y162" s="713" t="s">
        <v>3478</v>
      </c>
      <c r="Z162" s="33">
        <v>2</v>
      </c>
      <c r="AA162" s="33">
        <v>1</v>
      </c>
      <c r="AD162" s="504">
        <v>0.03</v>
      </c>
      <c r="AE162" s="33">
        <v>24000</v>
      </c>
      <c r="AF162" s="33">
        <v>39000</v>
      </c>
      <c r="AG162" s="33"/>
    </row>
    <row r="163" spans="1:37" ht="13.5" customHeight="1">
      <c r="A163" s="182" t="s">
        <v>3143</v>
      </c>
      <c r="C163" s="196" t="s">
        <v>40</v>
      </c>
      <c r="D163" s="33" t="s">
        <v>896</v>
      </c>
      <c r="E163" s="33" t="s">
        <v>3097</v>
      </c>
      <c r="F163" s="33">
        <v>1598</v>
      </c>
      <c r="G163" s="33">
        <v>1600</v>
      </c>
      <c r="H163" s="33" t="s">
        <v>1628</v>
      </c>
      <c r="I163" s="33">
        <v>5</v>
      </c>
      <c r="J163" s="33" t="s">
        <v>3108</v>
      </c>
      <c r="P163" s="196">
        <v>1</v>
      </c>
      <c r="Q163" s="33" t="s">
        <v>1743</v>
      </c>
      <c r="R163" s="33" t="s">
        <v>1805</v>
      </c>
      <c r="S163" s="33" t="s">
        <v>3270</v>
      </c>
      <c r="T163" s="33">
        <v>1</v>
      </c>
      <c r="U163" s="33" t="s">
        <v>3116</v>
      </c>
      <c r="V163" s="33">
        <v>3</v>
      </c>
      <c r="W163" s="752" t="s">
        <v>3617</v>
      </c>
      <c r="X163" s="33" t="s">
        <v>2914</v>
      </c>
      <c r="Y163" s="713" t="s">
        <v>3478</v>
      </c>
      <c r="Z163" s="33">
        <v>2</v>
      </c>
      <c r="AA163" s="33">
        <v>1</v>
      </c>
      <c r="AD163" s="504">
        <v>0.03</v>
      </c>
      <c r="AE163" s="33">
        <v>24000</v>
      </c>
      <c r="AF163" s="33">
        <v>39000</v>
      </c>
      <c r="AG163" s="33"/>
    </row>
    <row r="164" spans="1:37" ht="13.5" customHeight="1">
      <c r="A164" s="182" t="s">
        <v>3144</v>
      </c>
      <c r="C164" s="196" t="s">
        <v>40</v>
      </c>
      <c r="D164" s="33" t="s">
        <v>896</v>
      </c>
      <c r="E164" s="33" t="s">
        <v>3097</v>
      </c>
      <c r="F164" s="33">
        <v>1598</v>
      </c>
      <c r="G164" s="33">
        <v>1600</v>
      </c>
      <c r="H164" s="33" t="s">
        <v>1628</v>
      </c>
      <c r="I164" s="33">
        <v>5</v>
      </c>
      <c r="J164" s="33" t="s">
        <v>3109</v>
      </c>
      <c r="P164" s="196">
        <v>1</v>
      </c>
      <c r="Q164" s="33" t="s">
        <v>1743</v>
      </c>
      <c r="R164" s="33" t="s">
        <v>1805</v>
      </c>
      <c r="S164" s="33" t="s">
        <v>3270</v>
      </c>
      <c r="T164" s="33">
        <v>1</v>
      </c>
      <c r="U164" s="33" t="s">
        <v>3116</v>
      </c>
      <c r="V164" s="33">
        <v>3</v>
      </c>
      <c r="W164" s="752" t="s">
        <v>3617</v>
      </c>
      <c r="X164" s="33" t="s">
        <v>2914</v>
      </c>
      <c r="Y164" s="713" t="s">
        <v>3478</v>
      </c>
      <c r="Z164" s="33">
        <v>2</v>
      </c>
      <c r="AA164" s="33">
        <v>1</v>
      </c>
      <c r="AD164" s="504">
        <v>0.03</v>
      </c>
      <c r="AE164" s="33">
        <v>24000</v>
      </c>
      <c r="AF164" s="33">
        <v>39000</v>
      </c>
      <c r="AG164" s="33"/>
    </row>
    <row r="165" spans="1:37" ht="13.5" customHeight="1">
      <c r="A165" s="182" t="s">
        <v>3145</v>
      </c>
      <c r="C165" s="196" t="s">
        <v>40</v>
      </c>
      <c r="D165" s="33" t="s">
        <v>896</v>
      </c>
      <c r="E165" s="33" t="s">
        <v>3097</v>
      </c>
      <c r="F165" s="33">
        <v>1598</v>
      </c>
      <c r="G165" s="33">
        <v>1600</v>
      </c>
      <c r="H165" s="33" t="s">
        <v>1628</v>
      </c>
      <c r="I165" s="33">
        <v>5</v>
      </c>
      <c r="J165" s="33" t="s">
        <v>3110</v>
      </c>
      <c r="P165" s="196">
        <v>1</v>
      </c>
      <c r="Q165" s="33" t="s">
        <v>1743</v>
      </c>
      <c r="R165" s="33" t="s">
        <v>1805</v>
      </c>
      <c r="S165" s="33" t="s">
        <v>3270</v>
      </c>
      <c r="T165" s="33">
        <v>1</v>
      </c>
      <c r="U165" s="33" t="s">
        <v>3116</v>
      </c>
      <c r="V165" s="33">
        <v>3</v>
      </c>
      <c r="W165" s="752" t="s">
        <v>3617</v>
      </c>
      <c r="X165" s="33" t="s">
        <v>2914</v>
      </c>
      <c r="Y165" s="713" t="s">
        <v>3478</v>
      </c>
      <c r="Z165" s="33">
        <v>2</v>
      </c>
      <c r="AA165" s="33">
        <v>1</v>
      </c>
      <c r="AD165" s="504">
        <v>0.03</v>
      </c>
      <c r="AE165" s="33">
        <v>24000</v>
      </c>
      <c r="AF165" s="33">
        <v>39000</v>
      </c>
      <c r="AG165" s="33"/>
    </row>
    <row r="166" spans="1:37" ht="13.5" customHeight="1">
      <c r="A166" s="182" t="s">
        <v>3146</v>
      </c>
      <c r="C166" s="196" t="s">
        <v>40</v>
      </c>
      <c r="D166" s="33" t="s">
        <v>896</v>
      </c>
      <c r="E166" s="33" t="s">
        <v>3097</v>
      </c>
      <c r="F166" s="33">
        <v>1598</v>
      </c>
      <c r="G166" s="33">
        <v>1600</v>
      </c>
      <c r="H166" s="33" t="s">
        <v>1628</v>
      </c>
      <c r="I166" s="33">
        <v>5</v>
      </c>
      <c r="J166" s="33" t="s">
        <v>3111</v>
      </c>
      <c r="P166" s="196">
        <v>1</v>
      </c>
      <c r="Q166" s="33" t="s">
        <v>1743</v>
      </c>
      <c r="R166" s="33" t="s">
        <v>1805</v>
      </c>
      <c r="S166" s="33" t="s">
        <v>3270</v>
      </c>
      <c r="T166" s="33">
        <v>1</v>
      </c>
      <c r="U166" s="33" t="s">
        <v>3116</v>
      </c>
      <c r="V166" s="33">
        <v>3</v>
      </c>
      <c r="W166" s="752" t="s">
        <v>3617</v>
      </c>
      <c r="X166" s="33" t="s">
        <v>2914</v>
      </c>
      <c r="Y166" s="713" t="s">
        <v>3478</v>
      </c>
      <c r="Z166" s="33">
        <v>2</v>
      </c>
      <c r="AA166" s="33">
        <v>1</v>
      </c>
      <c r="AD166" s="504">
        <v>0.03</v>
      </c>
      <c r="AE166" s="33">
        <v>24000</v>
      </c>
      <c r="AF166" s="33">
        <v>39000</v>
      </c>
      <c r="AG166" s="33"/>
    </row>
    <row r="167" spans="1:37" ht="13.5" customHeight="1">
      <c r="A167" s="182" t="s">
        <v>3147</v>
      </c>
      <c r="C167" s="196" t="s">
        <v>40</v>
      </c>
      <c r="D167" s="33" t="s">
        <v>896</v>
      </c>
      <c r="E167" s="33" t="s">
        <v>3097</v>
      </c>
      <c r="F167" s="33">
        <v>1598</v>
      </c>
      <c r="G167" s="33">
        <v>1600</v>
      </c>
      <c r="H167" s="33" t="s">
        <v>1628</v>
      </c>
      <c r="I167" s="33">
        <v>5</v>
      </c>
      <c r="J167" s="33" t="s">
        <v>3112</v>
      </c>
      <c r="P167" s="196">
        <v>1</v>
      </c>
      <c r="Q167" s="33" t="s">
        <v>1743</v>
      </c>
      <c r="R167" s="33" t="s">
        <v>1805</v>
      </c>
      <c r="S167" s="33" t="s">
        <v>3270</v>
      </c>
      <c r="T167" s="33">
        <v>1</v>
      </c>
      <c r="V167" s="33">
        <v>3</v>
      </c>
      <c r="W167" s="752" t="s">
        <v>3617</v>
      </c>
      <c r="X167" s="33" t="s">
        <v>2914</v>
      </c>
      <c r="Y167" s="713" t="s">
        <v>3478</v>
      </c>
      <c r="Z167" s="33">
        <v>2</v>
      </c>
      <c r="AA167" s="33">
        <v>2</v>
      </c>
      <c r="AD167" s="504">
        <v>0.03</v>
      </c>
      <c r="AE167" s="33">
        <v>24000</v>
      </c>
      <c r="AF167" s="33">
        <v>39000</v>
      </c>
      <c r="AG167" s="33"/>
    </row>
    <row r="168" spans="1:37" ht="13.5" customHeight="1">
      <c r="A168" s="182" t="s">
        <v>3148</v>
      </c>
      <c r="C168" s="196" t="s">
        <v>40</v>
      </c>
      <c r="D168" s="33" t="s">
        <v>896</v>
      </c>
      <c r="E168" s="33" t="s">
        <v>3097</v>
      </c>
      <c r="F168" s="33">
        <v>1598</v>
      </c>
      <c r="G168" s="33">
        <v>1600</v>
      </c>
      <c r="H168" s="33" t="s">
        <v>1628</v>
      </c>
      <c r="I168" s="33">
        <v>5</v>
      </c>
      <c r="J168" s="33" t="s">
        <v>3113</v>
      </c>
      <c r="P168" s="196">
        <v>1</v>
      </c>
      <c r="Q168" s="33" t="s">
        <v>1743</v>
      </c>
      <c r="R168" s="33" t="s">
        <v>1805</v>
      </c>
      <c r="S168" s="33" t="s">
        <v>3270</v>
      </c>
      <c r="T168" s="33">
        <v>1</v>
      </c>
      <c r="V168" s="33">
        <v>3</v>
      </c>
      <c r="W168" s="752" t="s">
        <v>3617</v>
      </c>
      <c r="X168" s="33" t="s">
        <v>2914</v>
      </c>
      <c r="Y168" s="713" t="s">
        <v>3478</v>
      </c>
      <c r="Z168" s="33">
        <v>2</v>
      </c>
      <c r="AA168" s="33">
        <v>2</v>
      </c>
      <c r="AD168" s="504">
        <v>0.03</v>
      </c>
      <c r="AE168" s="33">
        <v>24000</v>
      </c>
      <c r="AF168" s="33">
        <v>39000</v>
      </c>
      <c r="AG168" s="33"/>
    </row>
    <row r="169" spans="1:37" ht="13.5" customHeight="1">
      <c r="A169" s="182" t="s">
        <v>3149</v>
      </c>
      <c r="C169" s="196" t="s">
        <v>40</v>
      </c>
      <c r="D169" s="33" t="s">
        <v>896</v>
      </c>
      <c r="E169" s="33" t="s">
        <v>3097</v>
      </c>
      <c r="F169" s="33">
        <v>1598</v>
      </c>
      <c r="G169" s="33">
        <v>1600</v>
      </c>
      <c r="H169" s="33" t="s">
        <v>1628</v>
      </c>
      <c r="I169" s="33">
        <v>5</v>
      </c>
      <c r="J169" s="33" t="s">
        <v>3114</v>
      </c>
      <c r="P169" s="196">
        <v>1</v>
      </c>
      <c r="Q169" s="33" t="s">
        <v>1743</v>
      </c>
      <c r="R169" s="33" t="s">
        <v>1805</v>
      </c>
      <c r="S169" s="33" t="s">
        <v>3270</v>
      </c>
      <c r="T169" s="33">
        <v>1</v>
      </c>
      <c r="V169" s="33">
        <v>3</v>
      </c>
      <c r="W169" s="752" t="s">
        <v>3617</v>
      </c>
      <c r="X169" s="33" t="s">
        <v>2914</v>
      </c>
      <c r="Y169" s="713" t="s">
        <v>3478</v>
      </c>
      <c r="Z169" s="33">
        <v>2</v>
      </c>
      <c r="AA169" s="33">
        <v>2</v>
      </c>
      <c r="AD169" s="504">
        <v>0.03</v>
      </c>
      <c r="AE169" s="33">
        <v>24000</v>
      </c>
      <c r="AF169" s="33">
        <v>39000</v>
      </c>
      <c r="AG169" s="33"/>
    </row>
    <row r="170" spans="1:37" ht="13.5" customHeight="1">
      <c r="A170" s="182" t="s">
        <v>3150</v>
      </c>
      <c r="C170" s="196" t="s">
        <v>40</v>
      </c>
      <c r="D170" s="33" t="s">
        <v>896</v>
      </c>
      <c r="E170" s="33" t="s">
        <v>3097</v>
      </c>
      <c r="F170" s="33">
        <v>1598</v>
      </c>
      <c r="G170" s="33">
        <v>1600</v>
      </c>
      <c r="H170" s="33" t="s">
        <v>1628</v>
      </c>
      <c r="I170" s="33">
        <v>5</v>
      </c>
      <c r="J170" s="33" t="s">
        <v>3115</v>
      </c>
      <c r="P170" s="196">
        <v>1</v>
      </c>
      <c r="Q170" s="33" t="s">
        <v>1743</v>
      </c>
      <c r="R170" s="33" t="s">
        <v>1805</v>
      </c>
      <c r="S170" s="33" t="s">
        <v>3270</v>
      </c>
      <c r="T170" s="33">
        <v>1</v>
      </c>
      <c r="V170" s="33">
        <v>3</v>
      </c>
      <c r="W170" s="752" t="s">
        <v>3617</v>
      </c>
      <c r="X170" s="33" t="s">
        <v>2914</v>
      </c>
      <c r="Y170" s="713" t="s">
        <v>3478</v>
      </c>
      <c r="Z170" s="33">
        <v>2</v>
      </c>
      <c r="AA170" s="33">
        <v>2</v>
      </c>
      <c r="AD170" s="504">
        <v>0.03</v>
      </c>
      <c r="AE170" s="33">
        <v>24000</v>
      </c>
      <c r="AF170" s="33">
        <v>39000</v>
      </c>
      <c r="AG170" s="33"/>
    </row>
    <row r="171" spans="1:37" ht="13.5" customHeight="1">
      <c r="A171" s="182" t="s">
        <v>3545</v>
      </c>
      <c r="C171" s="196" t="s">
        <v>40</v>
      </c>
      <c r="D171" s="33" t="s">
        <v>896</v>
      </c>
      <c r="E171" s="33" t="s">
        <v>3097</v>
      </c>
      <c r="F171" s="33">
        <v>1598</v>
      </c>
      <c r="G171" s="33">
        <v>1600</v>
      </c>
      <c r="H171" s="33" t="s">
        <v>1628</v>
      </c>
      <c r="I171" s="33">
        <v>5</v>
      </c>
      <c r="J171" s="33" t="s">
        <v>3108</v>
      </c>
      <c r="P171" s="196">
        <v>1</v>
      </c>
      <c r="Q171" s="33" t="s">
        <v>1743</v>
      </c>
      <c r="R171" s="33" t="s">
        <v>1805</v>
      </c>
      <c r="S171" s="33" t="s">
        <v>3270</v>
      </c>
      <c r="T171" s="33">
        <v>1</v>
      </c>
      <c r="U171" s="33" t="s">
        <v>3116</v>
      </c>
      <c r="V171" s="33">
        <v>3</v>
      </c>
      <c r="W171" s="752" t="s">
        <v>3617</v>
      </c>
      <c r="X171" s="33" t="s">
        <v>2914</v>
      </c>
      <c r="Y171" s="713" t="s">
        <v>1666</v>
      </c>
      <c r="Z171" s="33">
        <v>2</v>
      </c>
      <c r="AA171" s="33">
        <v>1</v>
      </c>
      <c r="AD171" s="504">
        <v>0.04</v>
      </c>
      <c r="AE171" s="33">
        <v>24000</v>
      </c>
      <c r="AF171" s="33">
        <v>39000</v>
      </c>
      <c r="AG171" s="33">
        <v>2024</v>
      </c>
    </row>
    <row r="172" spans="1:37" ht="13.5" customHeight="1">
      <c r="A172" s="182" t="s">
        <v>3543</v>
      </c>
      <c r="C172" s="196" t="s">
        <v>40</v>
      </c>
      <c r="D172" s="33" t="s">
        <v>896</v>
      </c>
      <c r="E172" s="33" t="s">
        <v>3097</v>
      </c>
      <c r="F172" s="33">
        <v>1598</v>
      </c>
      <c r="G172" s="33">
        <v>1600</v>
      </c>
      <c r="H172" s="33" t="s">
        <v>1628</v>
      </c>
      <c r="I172" s="33">
        <v>5</v>
      </c>
      <c r="J172" s="33" t="s">
        <v>3108</v>
      </c>
      <c r="P172" s="196">
        <v>1</v>
      </c>
      <c r="Q172" s="33" t="s">
        <v>1743</v>
      </c>
      <c r="R172" s="33" t="s">
        <v>1805</v>
      </c>
      <c r="S172" s="33" t="s">
        <v>3270</v>
      </c>
      <c r="T172" s="33">
        <v>1</v>
      </c>
      <c r="U172" s="33" t="s">
        <v>3116</v>
      </c>
      <c r="V172" s="33">
        <v>3</v>
      </c>
      <c r="W172" s="752" t="s">
        <v>3617</v>
      </c>
      <c r="X172" s="33" t="s">
        <v>2914</v>
      </c>
      <c r="Y172" s="713" t="s">
        <v>1666</v>
      </c>
      <c r="Z172" s="33">
        <v>2</v>
      </c>
      <c r="AA172" s="33">
        <v>1</v>
      </c>
      <c r="AD172" s="504">
        <v>0.04</v>
      </c>
      <c r="AE172" s="33">
        <v>24000</v>
      </c>
      <c r="AF172" s="33">
        <v>39000</v>
      </c>
      <c r="AG172" s="33">
        <v>2024</v>
      </c>
    </row>
    <row r="173" spans="1:37" ht="13.5" customHeight="1">
      <c r="A173" s="182" t="s">
        <v>3544</v>
      </c>
      <c r="C173" s="196" t="s">
        <v>40</v>
      </c>
      <c r="D173" s="33" t="s">
        <v>896</v>
      </c>
      <c r="E173" s="33" t="s">
        <v>3097</v>
      </c>
      <c r="F173" s="33">
        <v>1598</v>
      </c>
      <c r="G173" s="33">
        <v>1600</v>
      </c>
      <c r="H173" s="33" t="s">
        <v>1628</v>
      </c>
      <c r="I173" s="33">
        <v>5</v>
      </c>
      <c r="J173" s="33" t="s">
        <v>3108</v>
      </c>
      <c r="P173" s="196">
        <v>1</v>
      </c>
      <c r="Q173" s="33" t="s">
        <v>1743</v>
      </c>
      <c r="R173" s="33" t="s">
        <v>1805</v>
      </c>
      <c r="S173" s="33" t="s">
        <v>3270</v>
      </c>
      <c r="T173" s="33">
        <v>1</v>
      </c>
      <c r="U173" s="33" t="s">
        <v>3116</v>
      </c>
      <c r="V173" s="33">
        <v>3</v>
      </c>
      <c r="W173" s="752" t="s">
        <v>3617</v>
      </c>
      <c r="X173" s="33" t="s">
        <v>2914</v>
      </c>
      <c r="Y173" s="713" t="s">
        <v>1666</v>
      </c>
      <c r="Z173" s="33">
        <v>2</v>
      </c>
      <c r="AA173" s="33">
        <v>1</v>
      </c>
      <c r="AD173" s="504">
        <v>0.04</v>
      </c>
      <c r="AE173" s="33">
        <v>24000</v>
      </c>
      <c r="AF173" s="33">
        <v>39000</v>
      </c>
      <c r="AG173" s="33">
        <v>2024</v>
      </c>
    </row>
    <row r="174" spans="1:37" ht="13.5" customHeight="1">
      <c r="A174" s="182" t="s">
        <v>1955</v>
      </c>
      <c r="C174" s="196" t="s">
        <v>40</v>
      </c>
      <c r="D174" s="33" t="s">
        <v>997</v>
      </c>
      <c r="E174" s="33" t="s">
        <v>997</v>
      </c>
      <c r="F174" s="33">
        <v>1598</v>
      </c>
      <c r="G174" s="33">
        <v>1600</v>
      </c>
      <c r="H174" s="33" t="s">
        <v>62</v>
      </c>
      <c r="I174" s="33">
        <v>5</v>
      </c>
      <c r="J174" s="33" t="s">
        <v>1956</v>
      </c>
      <c r="P174" s="196">
        <v>1</v>
      </c>
      <c r="Q174" s="33" t="s">
        <v>1743</v>
      </c>
      <c r="R174" s="33" t="s">
        <v>1805</v>
      </c>
      <c r="S174" s="33" t="s">
        <v>3270</v>
      </c>
      <c r="T174" s="33">
        <v>1</v>
      </c>
      <c r="U174" s="33" t="s">
        <v>1636</v>
      </c>
      <c r="V174" s="33">
        <v>11</v>
      </c>
      <c r="W174" s="752" t="s">
        <v>3620</v>
      </c>
      <c r="X174" s="33" t="s">
        <v>2914</v>
      </c>
      <c r="Y174" s="33">
        <v>8</v>
      </c>
      <c r="Z174" s="33">
        <v>14</v>
      </c>
      <c r="AA174" s="33">
        <v>5</v>
      </c>
      <c r="AB174" s="33">
        <v>6</v>
      </c>
      <c r="AD174" s="504">
        <v>2.5000000000000001E-2</v>
      </c>
      <c r="AE174" s="33">
        <v>13000</v>
      </c>
      <c r="AF174" s="33">
        <v>22000</v>
      </c>
      <c r="AG174" s="33"/>
    </row>
    <row r="175" spans="1:37" ht="13.5" customHeight="1">
      <c r="A175" s="182" t="s">
        <v>2350</v>
      </c>
      <c r="C175" s="196" t="s">
        <v>40</v>
      </c>
      <c r="D175" s="33" t="s">
        <v>997</v>
      </c>
      <c r="E175" s="33" t="s">
        <v>997</v>
      </c>
      <c r="F175" s="33">
        <v>1598</v>
      </c>
      <c r="G175" s="33">
        <v>1600</v>
      </c>
      <c r="H175" s="33" t="s">
        <v>62</v>
      </c>
      <c r="I175" s="33">
        <v>5</v>
      </c>
      <c r="J175" s="33" t="s">
        <v>1954</v>
      </c>
      <c r="P175" s="196">
        <v>1</v>
      </c>
      <c r="Q175" s="33" t="s">
        <v>1743</v>
      </c>
      <c r="R175" s="33" t="s">
        <v>1805</v>
      </c>
      <c r="S175" s="33" t="s">
        <v>3270</v>
      </c>
      <c r="T175" s="33">
        <v>1</v>
      </c>
      <c r="U175" s="33" t="s">
        <v>1636</v>
      </c>
      <c r="V175" s="33">
        <v>11</v>
      </c>
      <c r="W175" s="752" t="s">
        <v>3620</v>
      </c>
      <c r="X175" s="33" t="s">
        <v>2914</v>
      </c>
      <c r="Y175" s="33">
        <v>8</v>
      </c>
      <c r="Z175" s="33">
        <v>14</v>
      </c>
      <c r="AA175" s="33">
        <v>5</v>
      </c>
      <c r="AB175" s="33">
        <v>6</v>
      </c>
      <c r="AD175" s="504">
        <v>2.5000000000000001E-2</v>
      </c>
      <c r="AE175" s="33">
        <v>13000</v>
      </c>
      <c r="AF175" s="33">
        <v>22000</v>
      </c>
      <c r="AG175" s="33"/>
    </row>
    <row r="176" spans="1:37" ht="13.5" customHeight="1">
      <c r="A176" s="182" t="s">
        <v>1977</v>
      </c>
      <c r="C176" s="196" t="s">
        <v>40</v>
      </c>
      <c r="D176" s="33" t="s">
        <v>1634</v>
      </c>
      <c r="E176" s="33" t="s">
        <v>1634</v>
      </c>
      <c r="F176" s="33">
        <v>2151</v>
      </c>
      <c r="G176" s="33">
        <v>2200</v>
      </c>
      <c r="H176" s="33" t="s">
        <v>55</v>
      </c>
      <c r="I176" s="33">
        <v>7</v>
      </c>
      <c r="J176" s="33" t="s">
        <v>1978</v>
      </c>
      <c r="P176" s="196">
        <v>1</v>
      </c>
      <c r="Q176" s="33" t="s">
        <v>1814</v>
      </c>
      <c r="R176" s="33" t="s">
        <v>1875</v>
      </c>
      <c r="S176" s="33" t="s">
        <v>3270</v>
      </c>
      <c r="T176" s="33">
        <v>1</v>
      </c>
      <c r="U176" s="33" t="s">
        <v>1637</v>
      </c>
      <c r="V176" s="33">
        <v>9</v>
      </c>
      <c r="W176" s="752" t="s">
        <v>3627</v>
      </c>
      <c r="X176" s="708" t="s">
        <v>3448</v>
      </c>
      <c r="Y176" s="713">
        <v>6</v>
      </c>
      <c r="Z176" s="33">
        <v>4</v>
      </c>
      <c r="AA176" s="33">
        <v>8</v>
      </c>
      <c r="AB176" s="33">
        <v>8</v>
      </c>
      <c r="AD176" s="504">
        <v>2.5000000000000001E-2</v>
      </c>
      <c r="AE176" s="33">
        <v>19000</v>
      </c>
      <c r="AF176" s="33">
        <v>31000</v>
      </c>
      <c r="AK176" s="33" t="s">
        <v>2913</v>
      </c>
    </row>
    <row r="177" spans="1:37" ht="13.5" customHeight="1">
      <c r="A177" s="182" t="s">
        <v>1979</v>
      </c>
      <c r="C177" s="196" t="s">
        <v>40</v>
      </c>
      <c r="D177" s="33" t="s">
        <v>1634</v>
      </c>
      <c r="E177" s="33" t="s">
        <v>1634</v>
      </c>
      <c r="F177" s="33">
        <v>2151</v>
      </c>
      <c r="G177" s="33">
        <v>2200</v>
      </c>
      <c r="H177" s="33" t="s">
        <v>55</v>
      </c>
      <c r="I177" s="33">
        <v>7</v>
      </c>
      <c r="J177" s="33" t="s">
        <v>1980</v>
      </c>
      <c r="P177" s="196">
        <v>1</v>
      </c>
      <c r="Q177" s="33" t="s">
        <v>1814</v>
      </c>
      <c r="R177" s="33" t="s">
        <v>1875</v>
      </c>
      <c r="S177" s="33" t="s">
        <v>3270</v>
      </c>
      <c r="T177" s="33">
        <v>1</v>
      </c>
      <c r="U177" s="33" t="s">
        <v>1637</v>
      </c>
      <c r="V177" s="33">
        <v>9</v>
      </c>
      <c r="W177" s="752" t="s">
        <v>3627</v>
      </c>
      <c r="X177" s="708" t="s">
        <v>3448</v>
      </c>
      <c r="Y177" s="713">
        <v>6</v>
      </c>
      <c r="Z177" s="33">
        <v>4</v>
      </c>
      <c r="AA177" s="33">
        <v>8</v>
      </c>
      <c r="AB177" s="33">
        <v>8</v>
      </c>
      <c r="AD177" s="504">
        <v>2.5000000000000001E-2</v>
      </c>
      <c r="AE177" s="33">
        <v>19000</v>
      </c>
      <c r="AF177" s="33">
        <v>31000</v>
      </c>
      <c r="AK177" s="33" t="s">
        <v>2913</v>
      </c>
    </row>
    <row r="178" spans="1:37" ht="13.5" customHeight="1">
      <c r="A178" s="182" t="s">
        <v>1971</v>
      </c>
      <c r="C178" s="196" t="s">
        <v>40</v>
      </c>
      <c r="D178" s="33" t="s">
        <v>1634</v>
      </c>
      <c r="E178" s="33" t="s">
        <v>1634</v>
      </c>
      <c r="F178" s="33">
        <v>2151</v>
      </c>
      <c r="G178" s="33">
        <v>2200</v>
      </c>
      <c r="H178" s="33" t="s">
        <v>55</v>
      </c>
      <c r="I178" s="33">
        <v>9</v>
      </c>
      <c r="J178" s="33" t="s">
        <v>1972</v>
      </c>
      <c r="P178" s="196">
        <v>0</v>
      </c>
      <c r="Q178" s="33" t="s">
        <v>1814</v>
      </c>
      <c r="R178" s="33" t="s">
        <v>1875</v>
      </c>
      <c r="S178" s="33" t="s">
        <v>3270</v>
      </c>
      <c r="T178" s="33">
        <v>1</v>
      </c>
      <c r="U178" s="33" t="s">
        <v>1637</v>
      </c>
      <c r="V178" s="33">
        <v>9</v>
      </c>
      <c r="W178" s="752" t="s">
        <v>3627</v>
      </c>
      <c r="X178" s="708" t="s">
        <v>3448</v>
      </c>
      <c r="Y178" s="713">
        <v>6</v>
      </c>
      <c r="Z178" s="33">
        <v>4</v>
      </c>
      <c r="AA178" s="33">
        <v>8</v>
      </c>
      <c r="AB178" s="33">
        <v>8</v>
      </c>
      <c r="AD178" s="504">
        <v>2.5000000000000001E-2</v>
      </c>
      <c r="AE178" s="33">
        <v>19000</v>
      </c>
      <c r="AF178" s="33">
        <v>31000</v>
      </c>
      <c r="AK178" s="33" t="s">
        <v>2913</v>
      </c>
    </row>
    <row r="179" spans="1:37" ht="13.5" customHeight="1">
      <c r="A179" s="182" t="s">
        <v>1969</v>
      </c>
      <c r="C179" s="196" t="s">
        <v>40</v>
      </c>
      <c r="D179" s="33" t="s">
        <v>1634</v>
      </c>
      <c r="E179" s="33" t="s">
        <v>1634</v>
      </c>
      <c r="F179" s="33">
        <v>2151</v>
      </c>
      <c r="G179" s="33">
        <v>2200</v>
      </c>
      <c r="H179" s="33" t="s">
        <v>55</v>
      </c>
      <c r="I179" s="33">
        <v>9</v>
      </c>
      <c r="J179" s="33" t="s">
        <v>1970</v>
      </c>
      <c r="P179" s="196">
        <v>0</v>
      </c>
      <c r="Q179" s="33" t="s">
        <v>1814</v>
      </c>
      <c r="R179" s="33" t="s">
        <v>1875</v>
      </c>
      <c r="S179" s="33" t="s">
        <v>3270</v>
      </c>
      <c r="T179" s="33">
        <v>1</v>
      </c>
      <c r="U179" s="33" t="s">
        <v>1637</v>
      </c>
      <c r="V179" s="33">
        <v>9</v>
      </c>
      <c r="W179" s="752" t="s">
        <v>3627</v>
      </c>
      <c r="X179" s="708" t="s">
        <v>3448</v>
      </c>
      <c r="Y179" s="713">
        <v>6</v>
      </c>
      <c r="Z179" s="33">
        <v>4</v>
      </c>
      <c r="AA179" s="33">
        <v>8</v>
      </c>
      <c r="AB179" s="33">
        <v>8</v>
      </c>
      <c r="AD179" s="504">
        <v>2.5000000000000001E-2</v>
      </c>
      <c r="AE179" s="33">
        <v>19000</v>
      </c>
      <c r="AF179" s="33">
        <v>31000</v>
      </c>
      <c r="AK179" s="33" t="s">
        <v>2913</v>
      </c>
    </row>
    <row r="180" spans="1:37" ht="13.5" customHeight="1">
      <c r="A180" s="182" t="s">
        <v>1975</v>
      </c>
      <c r="C180" s="196" t="s">
        <v>40</v>
      </c>
      <c r="D180" s="33" t="s">
        <v>1634</v>
      </c>
      <c r="E180" s="33" t="s">
        <v>1634</v>
      </c>
      <c r="F180" s="33">
        <v>2151</v>
      </c>
      <c r="G180" s="33">
        <v>2200</v>
      </c>
      <c r="H180" s="33" t="s">
        <v>55</v>
      </c>
      <c r="I180" s="33">
        <v>9</v>
      </c>
      <c r="J180" s="33" t="s">
        <v>1976</v>
      </c>
      <c r="P180" s="196">
        <v>0</v>
      </c>
      <c r="Q180" s="33" t="s">
        <v>1814</v>
      </c>
      <c r="R180" s="33" t="s">
        <v>1875</v>
      </c>
      <c r="S180" s="33" t="s">
        <v>3270</v>
      </c>
      <c r="T180" s="33">
        <v>1</v>
      </c>
      <c r="U180" s="33" t="s">
        <v>1637</v>
      </c>
      <c r="V180" s="33">
        <v>9</v>
      </c>
      <c r="W180" s="752" t="s">
        <v>3627</v>
      </c>
      <c r="X180" s="708" t="s">
        <v>3448</v>
      </c>
      <c r="Y180" s="713">
        <v>6</v>
      </c>
      <c r="Z180" s="33">
        <v>4</v>
      </c>
      <c r="AA180" s="33">
        <v>8</v>
      </c>
      <c r="AB180" s="33">
        <v>8</v>
      </c>
      <c r="AD180" s="504">
        <v>2.5000000000000001E-2</v>
      </c>
      <c r="AE180" s="33">
        <v>19000</v>
      </c>
      <c r="AF180" s="33">
        <v>31000</v>
      </c>
      <c r="AK180" s="33" t="s">
        <v>2913</v>
      </c>
    </row>
    <row r="181" spans="1:37" ht="13.5" customHeight="1">
      <c r="A181" s="182" t="s">
        <v>1973</v>
      </c>
      <c r="C181" s="196" t="s">
        <v>40</v>
      </c>
      <c r="D181" s="33" t="s">
        <v>1634</v>
      </c>
      <c r="E181" s="33" t="s">
        <v>1634</v>
      </c>
      <c r="F181" s="33">
        <v>2151</v>
      </c>
      <c r="G181" s="33">
        <v>2200</v>
      </c>
      <c r="H181" s="33" t="s">
        <v>55</v>
      </c>
      <c r="I181" s="33">
        <v>9</v>
      </c>
      <c r="J181" s="33" t="s">
        <v>1974</v>
      </c>
      <c r="P181" s="196">
        <v>0</v>
      </c>
      <c r="Q181" s="33" t="s">
        <v>1814</v>
      </c>
      <c r="R181" s="33" t="s">
        <v>1875</v>
      </c>
      <c r="S181" s="33" t="s">
        <v>3270</v>
      </c>
      <c r="T181" s="33">
        <v>1</v>
      </c>
      <c r="U181" s="33" t="s">
        <v>1637</v>
      </c>
      <c r="V181" s="33">
        <v>9</v>
      </c>
      <c r="W181" s="752" t="s">
        <v>3627</v>
      </c>
      <c r="X181" s="708" t="s">
        <v>3448</v>
      </c>
      <c r="Y181" s="713">
        <v>6</v>
      </c>
      <c r="Z181" s="33">
        <v>4</v>
      </c>
      <c r="AA181" s="33">
        <v>8</v>
      </c>
      <c r="AB181" s="33">
        <v>8</v>
      </c>
      <c r="AD181" s="504">
        <v>2.5000000000000001E-2</v>
      </c>
      <c r="AE181" s="33">
        <v>19000</v>
      </c>
      <c r="AF181" s="33">
        <v>31000</v>
      </c>
      <c r="AK181" s="33" t="s">
        <v>2913</v>
      </c>
    </row>
    <row r="182" spans="1:37" ht="13.5" customHeight="1">
      <c r="A182" s="182" t="s">
        <v>1959</v>
      </c>
      <c r="C182" s="196" t="s">
        <v>40</v>
      </c>
      <c r="D182" s="33" t="s">
        <v>1634</v>
      </c>
      <c r="E182" s="33" t="s">
        <v>1634</v>
      </c>
      <c r="F182" s="33">
        <v>2151</v>
      </c>
      <c r="G182" s="33">
        <v>2200</v>
      </c>
      <c r="H182" s="33" t="s">
        <v>55</v>
      </c>
      <c r="I182" s="33">
        <v>11</v>
      </c>
      <c r="J182" s="33" t="s">
        <v>1960</v>
      </c>
      <c r="P182" s="196">
        <v>0</v>
      </c>
      <c r="Q182" s="33" t="s">
        <v>1875</v>
      </c>
      <c r="R182" s="33" t="s">
        <v>1875</v>
      </c>
      <c r="S182" s="33" t="s">
        <v>3270</v>
      </c>
      <c r="T182" s="33">
        <v>1</v>
      </c>
      <c r="U182" s="33" t="s">
        <v>1637</v>
      </c>
      <c r="V182" s="33">
        <v>9</v>
      </c>
      <c r="W182" s="752" t="s">
        <v>3555</v>
      </c>
      <c r="X182" s="708" t="s">
        <v>3448</v>
      </c>
      <c r="Y182" s="713">
        <v>6</v>
      </c>
      <c r="Z182" s="33">
        <v>4</v>
      </c>
      <c r="AA182" s="33">
        <v>5</v>
      </c>
      <c r="AB182" s="33">
        <v>7</v>
      </c>
      <c r="AD182" s="504">
        <v>2.5000000000000001E-2</v>
      </c>
      <c r="AE182" s="33">
        <v>20000</v>
      </c>
      <c r="AF182" s="33">
        <v>34000</v>
      </c>
      <c r="AJ182" s="33" t="s">
        <v>3321</v>
      </c>
      <c r="AK182" s="33" t="s">
        <v>2913</v>
      </c>
    </row>
    <row r="183" spans="1:37" ht="13.5" customHeight="1">
      <c r="A183" s="182" t="s">
        <v>1957</v>
      </c>
      <c r="C183" s="196" t="s">
        <v>40</v>
      </c>
      <c r="D183" s="33" t="s">
        <v>1634</v>
      </c>
      <c r="E183" s="33" t="s">
        <v>1634</v>
      </c>
      <c r="F183" s="33">
        <v>2151</v>
      </c>
      <c r="G183" s="33">
        <v>2200</v>
      </c>
      <c r="H183" s="33" t="s">
        <v>55</v>
      </c>
      <c r="I183" s="33">
        <v>11</v>
      </c>
      <c r="J183" s="33" t="s">
        <v>1958</v>
      </c>
      <c r="P183" s="196">
        <v>0</v>
      </c>
      <c r="Q183" s="33" t="s">
        <v>1875</v>
      </c>
      <c r="R183" s="33" t="s">
        <v>1875</v>
      </c>
      <c r="S183" s="33" t="s">
        <v>3270</v>
      </c>
      <c r="T183" s="33">
        <v>1</v>
      </c>
      <c r="U183" s="33" t="s">
        <v>1637</v>
      </c>
      <c r="V183" s="33">
        <v>9</v>
      </c>
      <c r="W183" s="752" t="s">
        <v>3555</v>
      </c>
      <c r="X183" s="708" t="s">
        <v>3448</v>
      </c>
      <c r="Y183" s="713">
        <v>6</v>
      </c>
      <c r="Z183" s="33">
        <v>4</v>
      </c>
      <c r="AA183" s="33">
        <v>5</v>
      </c>
      <c r="AB183" s="33">
        <v>7</v>
      </c>
      <c r="AD183" s="504">
        <v>2.5000000000000001E-2</v>
      </c>
      <c r="AE183" s="33">
        <v>20000</v>
      </c>
      <c r="AF183" s="33">
        <v>34000</v>
      </c>
      <c r="AJ183" s="33" t="s">
        <v>3321</v>
      </c>
      <c r="AK183" s="33" t="s">
        <v>2913</v>
      </c>
    </row>
    <row r="184" spans="1:37" ht="13.5" customHeight="1">
      <c r="A184" s="182" t="s">
        <v>1963</v>
      </c>
      <c r="C184" s="196" t="s">
        <v>40</v>
      </c>
      <c r="D184" s="33" t="s">
        <v>1634</v>
      </c>
      <c r="E184" s="33" t="s">
        <v>1634</v>
      </c>
      <c r="F184" s="33">
        <v>2151</v>
      </c>
      <c r="G184" s="33">
        <v>2200</v>
      </c>
      <c r="H184" s="33" t="s">
        <v>55</v>
      </c>
      <c r="I184" s="33">
        <v>11</v>
      </c>
      <c r="J184" s="33" t="s">
        <v>1964</v>
      </c>
      <c r="P184" s="196">
        <v>0</v>
      </c>
      <c r="Q184" s="33" t="s">
        <v>1875</v>
      </c>
      <c r="R184" s="33" t="s">
        <v>1875</v>
      </c>
      <c r="S184" s="33" t="s">
        <v>3270</v>
      </c>
      <c r="T184" s="33">
        <v>1</v>
      </c>
      <c r="U184" s="33" t="s">
        <v>1637</v>
      </c>
      <c r="V184" s="33">
        <v>9</v>
      </c>
      <c r="W184" s="752" t="s">
        <v>3555</v>
      </c>
      <c r="X184" s="708" t="s">
        <v>3448</v>
      </c>
      <c r="Y184" s="713">
        <v>6</v>
      </c>
      <c r="Z184" s="33">
        <v>4</v>
      </c>
      <c r="AA184" s="33">
        <v>5</v>
      </c>
      <c r="AB184" s="33">
        <v>7</v>
      </c>
      <c r="AD184" s="504">
        <v>2.5000000000000001E-2</v>
      </c>
      <c r="AE184" s="33">
        <v>20000</v>
      </c>
      <c r="AF184" s="33">
        <v>34000</v>
      </c>
      <c r="AJ184" s="33" t="s">
        <v>3321</v>
      </c>
      <c r="AK184" s="33" t="s">
        <v>2913</v>
      </c>
    </row>
    <row r="185" spans="1:37" ht="13.5" customHeight="1">
      <c r="A185" s="182" t="s">
        <v>1961</v>
      </c>
      <c r="C185" s="196" t="s">
        <v>40</v>
      </c>
      <c r="D185" s="33" t="s">
        <v>1634</v>
      </c>
      <c r="E185" s="33" t="s">
        <v>1634</v>
      </c>
      <c r="F185" s="33">
        <v>2151</v>
      </c>
      <c r="G185" s="33">
        <v>2200</v>
      </c>
      <c r="H185" s="33" t="s">
        <v>55</v>
      </c>
      <c r="I185" s="33">
        <v>11</v>
      </c>
      <c r="J185" s="33" t="s">
        <v>1962</v>
      </c>
      <c r="P185" s="196">
        <v>0</v>
      </c>
      <c r="Q185" s="33" t="s">
        <v>1875</v>
      </c>
      <c r="R185" s="33" t="s">
        <v>1875</v>
      </c>
      <c r="S185" s="33" t="s">
        <v>3270</v>
      </c>
      <c r="T185" s="33">
        <v>1</v>
      </c>
      <c r="U185" s="33" t="s">
        <v>1637</v>
      </c>
      <c r="V185" s="33">
        <v>9</v>
      </c>
      <c r="W185" s="752" t="s">
        <v>3555</v>
      </c>
      <c r="X185" s="708" t="s">
        <v>3448</v>
      </c>
      <c r="Y185" s="713">
        <v>6</v>
      </c>
      <c r="Z185" s="33">
        <v>4</v>
      </c>
      <c r="AA185" s="33">
        <v>5</v>
      </c>
      <c r="AB185" s="33">
        <v>7</v>
      </c>
      <c r="AD185" s="504">
        <v>2.5000000000000001E-2</v>
      </c>
      <c r="AE185" s="33">
        <v>20000</v>
      </c>
      <c r="AF185" s="33">
        <v>34000</v>
      </c>
      <c r="AJ185" s="33" t="s">
        <v>3321</v>
      </c>
      <c r="AK185" s="33" t="s">
        <v>2913</v>
      </c>
    </row>
    <row r="186" spans="1:37" ht="13.5" customHeight="1">
      <c r="A186" s="182" t="s">
        <v>1965</v>
      </c>
      <c r="C186" s="196" t="s">
        <v>40</v>
      </c>
      <c r="D186" s="33" t="s">
        <v>1634</v>
      </c>
      <c r="E186" s="33" t="s">
        <v>1634</v>
      </c>
      <c r="F186" s="33">
        <v>2151</v>
      </c>
      <c r="G186" s="33">
        <v>2200</v>
      </c>
      <c r="H186" s="33" t="s">
        <v>55</v>
      </c>
      <c r="I186" s="33">
        <v>9</v>
      </c>
      <c r="J186" s="33" t="s">
        <v>1966</v>
      </c>
      <c r="P186" s="196">
        <v>0</v>
      </c>
      <c r="Q186" s="33" t="s">
        <v>2086</v>
      </c>
      <c r="R186" s="33" t="s">
        <v>1875</v>
      </c>
      <c r="S186" s="33" t="s">
        <v>3270</v>
      </c>
      <c r="T186" s="33">
        <v>1</v>
      </c>
      <c r="U186" s="33" t="s">
        <v>1637</v>
      </c>
      <c r="V186" s="33">
        <v>9</v>
      </c>
      <c r="W186" s="752" t="s">
        <v>3555</v>
      </c>
      <c r="X186" s="708" t="s">
        <v>3448</v>
      </c>
      <c r="Y186" s="713">
        <v>6</v>
      </c>
      <c r="Z186" s="33">
        <v>4</v>
      </c>
      <c r="AA186" s="33">
        <v>5</v>
      </c>
      <c r="AB186" s="33">
        <v>7</v>
      </c>
      <c r="AD186" s="504">
        <v>2.5000000000000001E-2</v>
      </c>
      <c r="AE186" s="33">
        <v>19000</v>
      </c>
      <c r="AF186" s="33">
        <v>31000</v>
      </c>
      <c r="AJ186" s="33" t="s">
        <v>3321</v>
      </c>
      <c r="AK186" s="33" t="s">
        <v>2913</v>
      </c>
    </row>
    <row r="187" spans="1:37" ht="13.5" customHeight="1">
      <c r="A187" s="182" t="s">
        <v>1967</v>
      </c>
      <c r="C187" s="196" t="s">
        <v>40</v>
      </c>
      <c r="D187" s="33" t="s">
        <v>1634</v>
      </c>
      <c r="E187" s="33" t="s">
        <v>1634</v>
      </c>
      <c r="F187" s="33">
        <v>2151</v>
      </c>
      <c r="G187" s="33">
        <v>2200</v>
      </c>
      <c r="H187" s="33" t="s">
        <v>55</v>
      </c>
      <c r="I187" s="33">
        <v>9</v>
      </c>
      <c r="J187" s="33" t="s">
        <v>1968</v>
      </c>
      <c r="P187" s="196">
        <v>0</v>
      </c>
      <c r="Q187" s="33" t="s">
        <v>1814</v>
      </c>
      <c r="R187" s="33" t="s">
        <v>1875</v>
      </c>
      <c r="S187" s="33" t="s">
        <v>3270</v>
      </c>
      <c r="T187" s="33">
        <v>1</v>
      </c>
      <c r="U187" s="33" t="s">
        <v>1637</v>
      </c>
      <c r="V187" s="33">
        <v>9</v>
      </c>
      <c r="W187" s="752" t="s">
        <v>3555</v>
      </c>
      <c r="X187" s="708" t="s">
        <v>3448</v>
      </c>
      <c r="Y187" s="713">
        <v>6</v>
      </c>
      <c r="Z187" s="33">
        <v>4</v>
      </c>
      <c r="AA187" s="33">
        <v>5</v>
      </c>
      <c r="AB187" s="33">
        <v>7</v>
      </c>
      <c r="AD187" s="504">
        <v>2.5000000000000001E-2</v>
      </c>
      <c r="AE187" s="33">
        <v>19000</v>
      </c>
      <c r="AF187" s="33">
        <v>31000</v>
      </c>
      <c r="AJ187" s="33" t="s">
        <v>3321</v>
      </c>
      <c r="AK187" s="33" t="s">
        <v>2913</v>
      </c>
    </row>
    <row r="188" spans="1:37" ht="13.5" customHeight="1">
      <c r="A188" s="182" t="s">
        <v>1989</v>
      </c>
      <c r="C188" s="196" t="s">
        <v>40</v>
      </c>
      <c r="D188" s="33" t="s">
        <v>1634</v>
      </c>
      <c r="E188" s="33" t="s">
        <v>1634</v>
      </c>
      <c r="F188" s="33">
        <v>3470</v>
      </c>
      <c r="G188" s="33">
        <v>3500</v>
      </c>
      <c r="H188" s="33" t="s">
        <v>165</v>
      </c>
      <c r="I188" s="33">
        <v>7</v>
      </c>
      <c r="J188" s="33" t="s">
        <v>1990</v>
      </c>
      <c r="P188" s="196">
        <v>1</v>
      </c>
      <c r="Q188" s="33" t="s">
        <v>1814</v>
      </c>
      <c r="R188" s="33" t="s">
        <v>1875</v>
      </c>
      <c r="S188" s="33" t="s">
        <v>3270</v>
      </c>
      <c r="T188" s="33">
        <v>1</v>
      </c>
      <c r="U188" s="33" t="s">
        <v>1637</v>
      </c>
      <c r="V188" s="33">
        <v>9</v>
      </c>
      <c r="W188" s="752" t="s">
        <v>3627</v>
      </c>
      <c r="X188" s="708" t="s">
        <v>3448</v>
      </c>
      <c r="Y188" s="713">
        <v>6</v>
      </c>
      <c r="Z188" s="33">
        <v>6</v>
      </c>
      <c r="AA188" s="33">
        <v>9</v>
      </c>
      <c r="AD188" s="504">
        <v>2.5000000000000001E-2</v>
      </c>
      <c r="AE188" s="33">
        <v>19000</v>
      </c>
      <c r="AF188" s="33">
        <v>31000</v>
      </c>
      <c r="AK188" s="33" t="s">
        <v>2913</v>
      </c>
    </row>
    <row r="189" spans="1:37" ht="13.5" customHeight="1">
      <c r="A189" s="182" t="s">
        <v>1987</v>
      </c>
      <c r="C189" s="196" t="s">
        <v>40</v>
      </c>
      <c r="D189" s="33" t="s">
        <v>1634</v>
      </c>
      <c r="E189" s="33" t="s">
        <v>1634</v>
      </c>
      <c r="F189" s="33">
        <v>3470</v>
      </c>
      <c r="G189" s="33">
        <v>3500</v>
      </c>
      <c r="H189" s="33" t="s">
        <v>165</v>
      </c>
      <c r="I189" s="33">
        <v>9</v>
      </c>
      <c r="J189" s="33" t="s">
        <v>1988</v>
      </c>
      <c r="P189" s="196">
        <v>0</v>
      </c>
      <c r="Q189" s="33" t="s">
        <v>1814</v>
      </c>
      <c r="R189" s="33" t="s">
        <v>1875</v>
      </c>
      <c r="S189" s="33" t="s">
        <v>3270</v>
      </c>
      <c r="T189" s="33">
        <v>1</v>
      </c>
      <c r="U189" s="33" t="s">
        <v>1637</v>
      </c>
      <c r="V189" s="33">
        <v>9</v>
      </c>
      <c r="W189" s="752" t="s">
        <v>3627</v>
      </c>
      <c r="X189" s="708" t="s">
        <v>3448</v>
      </c>
      <c r="Y189" s="713">
        <v>6</v>
      </c>
      <c r="Z189" s="33">
        <v>6</v>
      </c>
      <c r="AA189" s="33">
        <v>9</v>
      </c>
      <c r="AD189" s="504">
        <v>2.5000000000000001E-2</v>
      </c>
      <c r="AE189" s="33">
        <v>19000</v>
      </c>
      <c r="AF189" s="33">
        <v>31000</v>
      </c>
      <c r="AK189" s="33" t="s">
        <v>2913</v>
      </c>
    </row>
    <row r="190" spans="1:37" ht="13.5" customHeight="1">
      <c r="A190" s="182" t="s">
        <v>1985</v>
      </c>
      <c r="C190" s="196" t="s">
        <v>40</v>
      </c>
      <c r="D190" s="33" t="s">
        <v>1634</v>
      </c>
      <c r="E190" s="33" t="s">
        <v>1634</v>
      </c>
      <c r="F190" s="33">
        <v>3470</v>
      </c>
      <c r="G190" s="33">
        <v>3500</v>
      </c>
      <c r="H190" s="33" t="s">
        <v>165</v>
      </c>
      <c r="I190" s="33">
        <v>9</v>
      </c>
      <c r="J190" s="33" t="s">
        <v>1986</v>
      </c>
      <c r="P190" s="196">
        <v>0</v>
      </c>
      <c r="Q190" s="33" t="s">
        <v>2086</v>
      </c>
      <c r="R190" s="33" t="s">
        <v>1875</v>
      </c>
      <c r="S190" s="33" t="s">
        <v>3270</v>
      </c>
      <c r="T190" s="33">
        <v>1</v>
      </c>
      <c r="U190" s="33" t="s">
        <v>1637</v>
      </c>
      <c r="V190" s="33">
        <v>9</v>
      </c>
      <c r="W190" s="752" t="s">
        <v>3627</v>
      </c>
      <c r="X190" s="708" t="s">
        <v>3448</v>
      </c>
      <c r="Y190" s="713">
        <v>6</v>
      </c>
      <c r="Z190" s="33">
        <v>6</v>
      </c>
      <c r="AA190" s="33">
        <v>9</v>
      </c>
      <c r="AD190" s="504">
        <v>2.5000000000000001E-2</v>
      </c>
      <c r="AE190" s="33">
        <v>19000</v>
      </c>
      <c r="AF190" s="33">
        <v>31000</v>
      </c>
      <c r="AK190" s="33" t="s">
        <v>2913</v>
      </c>
    </row>
    <row r="191" spans="1:37" ht="13.5" customHeight="1">
      <c r="A191" s="182" t="s">
        <v>1981</v>
      </c>
      <c r="C191" s="196" t="s">
        <v>40</v>
      </c>
      <c r="D191" s="33" t="s">
        <v>1634</v>
      </c>
      <c r="E191" s="33" t="s">
        <v>1634</v>
      </c>
      <c r="F191" s="33">
        <v>3470</v>
      </c>
      <c r="G191" s="33">
        <v>3500</v>
      </c>
      <c r="H191" s="33" t="s">
        <v>165</v>
      </c>
      <c r="I191" s="33">
        <v>11</v>
      </c>
      <c r="J191" s="33" t="s">
        <v>1982</v>
      </c>
      <c r="P191" s="196">
        <v>0</v>
      </c>
      <c r="Q191" s="33" t="s">
        <v>1875</v>
      </c>
      <c r="R191" s="33" t="s">
        <v>1875</v>
      </c>
      <c r="S191" s="33" t="s">
        <v>3270</v>
      </c>
      <c r="T191" s="33">
        <v>1</v>
      </c>
      <c r="U191" s="33" t="s">
        <v>1637</v>
      </c>
      <c r="V191" s="33">
        <v>9</v>
      </c>
      <c r="W191" s="752" t="s">
        <v>3555</v>
      </c>
      <c r="X191" s="708" t="s">
        <v>3448</v>
      </c>
      <c r="Y191" s="713">
        <v>6</v>
      </c>
      <c r="Z191" s="33">
        <v>6</v>
      </c>
      <c r="AA191" s="33">
        <v>7</v>
      </c>
      <c r="AD191" s="504">
        <v>2.5000000000000001E-2</v>
      </c>
      <c r="AE191" s="33">
        <v>20000</v>
      </c>
      <c r="AF191" s="33">
        <v>34000</v>
      </c>
      <c r="AG191" s="33"/>
      <c r="AK191" s="33" t="s">
        <v>2913</v>
      </c>
    </row>
    <row r="192" spans="1:37" ht="13.5" customHeight="1">
      <c r="A192" s="182" t="s">
        <v>1983</v>
      </c>
      <c r="C192" s="196" t="s">
        <v>40</v>
      </c>
      <c r="D192" s="33" t="s">
        <v>1634</v>
      </c>
      <c r="E192" s="33" t="s">
        <v>1634</v>
      </c>
      <c r="F192" s="33">
        <v>3470</v>
      </c>
      <c r="G192" s="33">
        <v>3500</v>
      </c>
      <c r="H192" s="33" t="s">
        <v>165</v>
      </c>
      <c r="I192" s="33">
        <v>9</v>
      </c>
      <c r="J192" s="33" t="s">
        <v>1984</v>
      </c>
      <c r="P192" s="196">
        <v>0</v>
      </c>
      <c r="Q192" s="33" t="s">
        <v>2086</v>
      </c>
      <c r="R192" s="33" t="s">
        <v>1875</v>
      </c>
      <c r="S192" s="33" t="s">
        <v>3270</v>
      </c>
      <c r="T192" s="33">
        <v>1</v>
      </c>
      <c r="U192" s="33" t="s">
        <v>1637</v>
      </c>
      <c r="V192" s="33">
        <v>9</v>
      </c>
      <c r="W192" s="752" t="s">
        <v>3555</v>
      </c>
      <c r="X192" s="708" t="s">
        <v>3448</v>
      </c>
      <c r="Y192" s="713">
        <v>6</v>
      </c>
      <c r="Z192" s="33">
        <v>6</v>
      </c>
      <c r="AA192" s="33">
        <v>7</v>
      </c>
      <c r="AD192" s="504">
        <v>2.5000000000000001E-2</v>
      </c>
      <c r="AE192" s="33">
        <v>19000</v>
      </c>
      <c r="AF192" s="33">
        <v>31000</v>
      </c>
      <c r="AG192" s="33"/>
      <c r="AK192" s="33" t="s">
        <v>2913</v>
      </c>
    </row>
    <row r="193" spans="1:37" ht="13.5" customHeight="1">
      <c r="A193" s="182" t="s">
        <v>3186</v>
      </c>
      <c r="C193" s="196" t="s">
        <v>40</v>
      </c>
      <c r="D193" s="33" t="s">
        <v>1634</v>
      </c>
      <c r="E193" s="33" t="s">
        <v>3180</v>
      </c>
      <c r="F193" s="33">
        <v>1598</v>
      </c>
      <c r="G193" s="33">
        <v>1600</v>
      </c>
      <c r="H193" s="33" t="s">
        <v>3205</v>
      </c>
      <c r="I193" s="33">
        <v>11</v>
      </c>
      <c r="J193" s="33" t="s">
        <v>3181</v>
      </c>
      <c r="P193" s="196">
        <v>0</v>
      </c>
      <c r="Q193" s="33" t="s">
        <v>1875</v>
      </c>
      <c r="R193" s="33" t="s">
        <v>1875</v>
      </c>
      <c r="S193" s="33" t="s">
        <v>3270</v>
      </c>
      <c r="T193" s="33">
        <v>1</v>
      </c>
      <c r="V193" s="33">
        <v>7</v>
      </c>
      <c r="W193" s="752" t="s">
        <v>3555</v>
      </c>
      <c r="X193" s="708" t="s">
        <v>3448</v>
      </c>
      <c r="Y193" s="713">
        <v>6</v>
      </c>
      <c r="AA193" s="33">
        <v>6</v>
      </c>
      <c r="AD193" s="504">
        <v>2.5000000000000001E-2</v>
      </c>
      <c r="AE193" s="33">
        <v>20000</v>
      </c>
      <c r="AF193" s="33">
        <v>34000</v>
      </c>
      <c r="AG193" s="33"/>
      <c r="AK193" s="33" t="s">
        <v>2912</v>
      </c>
    </row>
    <row r="194" spans="1:37" ht="13.5" customHeight="1">
      <c r="A194" s="182" t="s">
        <v>3187</v>
      </c>
      <c r="C194" s="196" t="s">
        <v>40</v>
      </c>
      <c r="D194" s="33" t="s">
        <v>1634</v>
      </c>
      <c r="E194" s="33" t="s">
        <v>3179</v>
      </c>
      <c r="F194" s="33">
        <v>1598</v>
      </c>
      <c r="G194" s="33">
        <v>1600</v>
      </c>
      <c r="H194" s="33" t="s">
        <v>3205</v>
      </c>
      <c r="I194" s="33">
        <v>9</v>
      </c>
      <c r="J194" s="33" t="s">
        <v>3182</v>
      </c>
      <c r="P194" s="196">
        <v>0</v>
      </c>
      <c r="Q194" s="33" t="s">
        <v>118</v>
      </c>
      <c r="R194" s="33" t="s">
        <v>1875</v>
      </c>
      <c r="S194" s="33" t="s">
        <v>3270</v>
      </c>
      <c r="T194" s="33">
        <v>1</v>
      </c>
      <c r="V194" s="33">
        <v>7</v>
      </c>
      <c r="W194" s="752" t="s">
        <v>3555</v>
      </c>
      <c r="X194" s="708" t="s">
        <v>3448</v>
      </c>
      <c r="Y194" s="713">
        <v>6</v>
      </c>
      <c r="AA194" s="33">
        <v>6</v>
      </c>
      <c r="AD194" s="504">
        <v>2.5000000000000001E-2</v>
      </c>
      <c r="AE194" s="33">
        <v>19000</v>
      </c>
      <c r="AF194" s="33">
        <v>31000</v>
      </c>
      <c r="AG194" s="33"/>
      <c r="AK194" s="33" t="s">
        <v>2912</v>
      </c>
    </row>
    <row r="195" spans="1:37" ht="13.5" customHeight="1">
      <c r="A195" s="182" t="s">
        <v>3188</v>
      </c>
      <c r="C195" s="196" t="s">
        <v>40</v>
      </c>
      <c r="D195" s="33" t="s">
        <v>1634</v>
      </c>
      <c r="E195" s="33" t="s">
        <v>3179</v>
      </c>
      <c r="F195" s="33">
        <v>1598</v>
      </c>
      <c r="G195" s="33">
        <v>1600</v>
      </c>
      <c r="H195" s="33" t="s">
        <v>3205</v>
      </c>
      <c r="I195" s="33">
        <v>9</v>
      </c>
      <c r="J195" s="33" t="s">
        <v>3183</v>
      </c>
      <c r="P195" s="196">
        <v>0</v>
      </c>
      <c r="Q195" s="33" t="s">
        <v>118</v>
      </c>
      <c r="R195" s="33" t="s">
        <v>1875</v>
      </c>
      <c r="S195" s="33" t="s">
        <v>3270</v>
      </c>
      <c r="T195" s="33">
        <v>1</v>
      </c>
      <c r="V195" s="33">
        <v>7</v>
      </c>
      <c r="W195" s="752" t="s">
        <v>3627</v>
      </c>
      <c r="X195" s="708" t="s">
        <v>3448</v>
      </c>
      <c r="Y195" s="713">
        <v>6</v>
      </c>
      <c r="AA195" s="33">
        <v>9</v>
      </c>
      <c r="AD195" s="504">
        <v>2.5000000000000001E-2</v>
      </c>
      <c r="AE195" s="33">
        <v>19000</v>
      </c>
      <c r="AF195" s="33">
        <v>31000</v>
      </c>
      <c r="AG195" s="33"/>
      <c r="AK195" s="33" t="s">
        <v>2912</v>
      </c>
    </row>
    <row r="196" spans="1:37" ht="13.5" customHeight="1">
      <c r="A196" s="182" t="s">
        <v>3189</v>
      </c>
      <c r="C196" s="196" t="s">
        <v>40</v>
      </c>
      <c r="D196" s="33" t="s">
        <v>1634</v>
      </c>
      <c r="E196" s="33" t="s">
        <v>3179</v>
      </c>
      <c r="F196" s="33">
        <v>1598</v>
      </c>
      <c r="G196" s="33">
        <v>1600</v>
      </c>
      <c r="H196" s="33" t="s">
        <v>3205</v>
      </c>
      <c r="I196" s="33">
        <v>9</v>
      </c>
      <c r="J196" s="33" t="s">
        <v>3184</v>
      </c>
      <c r="P196" s="196">
        <v>0</v>
      </c>
      <c r="Q196" s="33" t="s">
        <v>118</v>
      </c>
      <c r="R196" s="33" t="s">
        <v>1875</v>
      </c>
      <c r="S196" s="33" t="s">
        <v>3270</v>
      </c>
      <c r="T196" s="33">
        <v>1</v>
      </c>
      <c r="V196" s="33">
        <v>7</v>
      </c>
      <c r="W196" s="752" t="s">
        <v>3627</v>
      </c>
      <c r="X196" s="708" t="s">
        <v>3448</v>
      </c>
      <c r="Y196" s="713">
        <v>6</v>
      </c>
      <c r="AA196" s="33">
        <v>9</v>
      </c>
      <c r="AD196" s="504">
        <v>2.5000000000000001E-2</v>
      </c>
      <c r="AE196" s="33">
        <v>19000</v>
      </c>
      <c r="AF196" s="33">
        <v>31000</v>
      </c>
      <c r="AG196" s="33"/>
      <c r="AK196" s="33" t="s">
        <v>2912</v>
      </c>
    </row>
    <row r="197" spans="1:37" ht="13.5" customHeight="1">
      <c r="A197" s="182" t="s">
        <v>3190</v>
      </c>
      <c r="C197" s="196" t="s">
        <v>40</v>
      </c>
      <c r="D197" s="33" t="s">
        <v>1634</v>
      </c>
      <c r="E197" s="33" t="s">
        <v>3179</v>
      </c>
      <c r="F197" s="33">
        <v>1598</v>
      </c>
      <c r="G197" s="33">
        <v>1600</v>
      </c>
      <c r="H197" s="33" t="s">
        <v>3205</v>
      </c>
      <c r="I197" s="33">
        <v>7</v>
      </c>
      <c r="J197" s="33" t="s">
        <v>3185</v>
      </c>
      <c r="P197" s="196">
        <v>1</v>
      </c>
      <c r="Q197" s="33" t="s">
        <v>1814</v>
      </c>
      <c r="R197" s="33" t="s">
        <v>1875</v>
      </c>
      <c r="S197" s="33" t="s">
        <v>3270</v>
      </c>
      <c r="T197" s="33">
        <v>1</v>
      </c>
      <c r="V197" s="33">
        <v>7</v>
      </c>
      <c r="W197" s="752" t="s">
        <v>3627</v>
      </c>
      <c r="X197" s="708" t="s">
        <v>3448</v>
      </c>
      <c r="Y197" s="713">
        <v>6</v>
      </c>
      <c r="AA197" s="33">
        <v>9</v>
      </c>
      <c r="AD197" s="504">
        <v>2.5000000000000001E-2</v>
      </c>
      <c r="AE197" s="33">
        <v>19000</v>
      </c>
      <c r="AF197" s="33">
        <v>31000</v>
      </c>
      <c r="AG197" s="33"/>
      <c r="AK197" s="33" t="s">
        <v>2912</v>
      </c>
    </row>
    <row r="198" spans="1:37" ht="13.5" customHeight="1">
      <c r="A198" s="182" t="s">
        <v>2288</v>
      </c>
      <c r="C198" s="196" t="s">
        <v>40</v>
      </c>
      <c r="D198" s="33" t="s">
        <v>211</v>
      </c>
      <c r="E198" s="33" t="s">
        <v>2301</v>
      </c>
      <c r="F198" s="33">
        <v>2497</v>
      </c>
      <c r="G198" s="33">
        <v>2500</v>
      </c>
      <c r="H198" s="33" t="s">
        <v>62</v>
      </c>
      <c r="I198" s="33">
        <v>5</v>
      </c>
      <c r="J198" s="33" t="s">
        <v>2291</v>
      </c>
      <c r="P198" s="196">
        <v>1</v>
      </c>
      <c r="Q198" s="33" t="s">
        <v>1743</v>
      </c>
      <c r="R198" s="33" t="s">
        <v>1757</v>
      </c>
      <c r="S198" s="33" t="s">
        <v>1942</v>
      </c>
      <c r="T198" s="33">
        <v>1</v>
      </c>
      <c r="U198" s="33" t="s">
        <v>1668</v>
      </c>
      <c r="V198" s="33">
        <v>16</v>
      </c>
      <c r="X198" s="33" t="s">
        <v>2913</v>
      </c>
      <c r="Y198" s="33">
        <v>16</v>
      </c>
      <c r="Z198" s="33">
        <v>12</v>
      </c>
      <c r="AD198" s="504">
        <v>0.03</v>
      </c>
      <c r="AE198" s="33">
        <v>17000</v>
      </c>
      <c r="AF198" s="33">
        <v>32000</v>
      </c>
      <c r="AG198" s="33"/>
    </row>
    <row r="199" spans="1:37" ht="13.5" customHeight="1">
      <c r="A199" s="182" t="s">
        <v>2289</v>
      </c>
      <c r="C199" s="196" t="s">
        <v>40</v>
      </c>
      <c r="D199" s="33" t="s">
        <v>211</v>
      </c>
      <c r="E199" s="33" t="s">
        <v>2301</v>
      </c>
      <c r="F199" s="33">
        <v>1999</v>
      </c>
      <c r="G199" s="33">
        <v>2000</v>
      </c>
      <c r="H199" s="33" t="s">
        <v>62</v>
      </c>
      <c r="I199" s="33">
        <v>5</v>
      </c>
      <c r="J199" s="33" t="s">
        <v>2292</v>
      </c>
      <c r="P199" s="196">
        <v>1</v>
      </c>
      <c r="Q199" s="33" t="s">
        <v>1743</v>
      </c>
      <c r="R199" s="33" t="s">
        <v>1746</v>
      </c>
      <c r="S199" s="33" t="s">
        <v>1942</v>
      </c>
      <c r="T199" s="33">
        <v>1</v>
      </c>
      <c r="U199" s="33" t="s">
        <v>1668</v>
      </c>
      <c r="V199" s="33">
        <v>8</v>
      </c>
      <c r="X199" s="33" t="s">
        <v>2913</v>
      </c>
      <c r="Y199" s="715">
        <v>9</v>
      </c>
      <c r="Z199" s="33">
        <v>11</v>
      </c>
      <c r="AA199" s="33">
        <v>11</v>
      </c>
      <c r="AD199" s="504">
        <v>0.03</v>
      </c>
      <c r="AE199" s="33">
        <v>17000</v>
      </c>
      <c r="AF199" s="33">
        <v>32000</v>
      </c>
      <c r="AG199" s="33"/>
    </row>
    <row r="200" spans="1:37" ht="13.5" customHeight="1">
      <c r="A200" s="182" t="s">
        <v>2290</v>
      </c>
      <c r="C200" s="196" t="s">
        <v>40</v>
      </c>
      <c r="D200" s="33" t="s">
        <v>211</v>
      </c>
      <c r="E200" s="33" t="s">
        <v>2301</v>
      </c>
      <c r="F200" s="33">
        <v>1598</v>
      </c>
      <c r="G200" s="33">
        <v>1600</v>
      </c>
      <c r="H200" s="33" t="s">
        <v>62</v>
      </c>
      <c r="I200" s="33">
        <v>5</v>
      </c>
      <c r="J200" s="33" t="s">
        <v>2293</v>
      </c>
      <c r="P200" s="196">
        <v>1</v>
      </c>
      <c r="Q200" s="33" t="s">
        <v>1743</v>
      </c>
      <c r="R200" s="33" t="s">
        <v>1744</v>
      </c>
      <c r="S200" s="33" t="s">
        <v>1942</v>
      </c>
      <c r="T200" s="33">
        <v>1</v>
      </c>
      <c r="U200" s="33" t="s">
        <v>1668</v>
      </c>
      <c r="V200" s="33">
        <v>7</v>
      </c>
      <c r="X200" s="33" t="s">
        <v>2913</v>
      </c>
      <c r="Y200" s="715">
        <v>9</v>
      </c>
      <c r="Z200" s="33">
        <v>11</v>
      </c>
      <c r="AA200" s="33">
        <v>10</v>
      </c>
      <c r="AD200" s="504">
        <v>0.03</v>
      </c>
      <c r="AE200" s="33">
        <v>17000</v>
      </c>
      <c r="AF200" s="33">
        <v>32000</v>
      </c>
    </row>
    <row r="201" spans="1:37" s="345" customFormat="1" ht="13.5" customHeight="1">
      <c r="A201" s="344" t="s">
        <v>2575</v>
      </c>
      <c r="C201" s="346" t="s">
        <v>40</v>
      </c>
      <c r="D201" s="345" t="s">
        <v>211</v>
      </c>
      <c r="E201" s="345" t="s">
        <v>1991</v>
      </c>
      <c r="F201" s="345">
        <v>1999</v>
      </c>
      <c r="G201" s="345">
        <v>2000</v>
      </c>
      <c r="H201" s="345" t="s">
        <v>1628</v>
      </c>
      <c r="I201" s="345">
        <v>5</v>
      </c>
      <c r="J201" s="345" t="s">
        <v>2578</v>
      </c>
      <c r="P201" s="346">
        <v>1</v>
      </c>
      <c r="Q201" s="345" t="s">
        <v>1743</v>
      </c>
      <c r="R201" s="345" t="s">
        <v>1746</v>
      </c>
      <c r="S201" s="345" t="s">
        <v>1942</v>
      </c>
      <c r="T201" s="345">
        <v>1</v>
      </c>
      <c r="U201" s="345" t="s">
        <v>1678</v>
      </c>
      <c r="V201" s="345">
        <v>6</v>
      </c>
      <c r="W201" s="754" t="s">
        <v>3620</v>
      </c>
      <c r="X201" s="345" t="s">
        <v>2909</v>
      </c>
      <c r="Y201" s="714">
        <v>7</v>
      </c>
      <c r="Z201" s="345">
        <v>12</v>
      </c>
      <c r="AA201" s="345">
        <v>6</v>
      </c>
      <c r="AD201" s="504">
        <v>0.03</v>
      </c>
      <c r="AE201" s="345">
        <v>24000</v>
      </c>
      <c r="AF201" s="345">
        <v>39000</v>
      </c>
    </row>
    <row r="202" spans="1:37" s="345" customFormat="1" ht="13.5" customHeight="1">
      <c r="A202" s="344" t="s">
        <v>2576</v>
      </c>
      <c r="C202" s="346" t="s">
        <v>40</v>
      </c>
      <c r="D202" s="345" t="s">
        <v>211</v>
      </c>
      <c r="E202" s="345" t="s">
        <v>1991</v>
      </c>
      <c r="F202" s="345">
        <v>1999</v>
      </c>
      <c r="G202" s="345">
        <v>2000</v>
      </c>
      <c r="H202" s="345" t="s">
        <v>1628</v>
      </c>
      <c r="I202" s="345">
        <v>5</v>
      </c>
      <c r="J202" s="345" t="s">
        <v>2579</v>
      </c>
      <c r="P202" s="346">
        <v>1</v>
      </c>
      <c r="Q202" s="345" t="s">
        <v>1743</v>
      </c>
      <c r="R202" s="345" t="s">
        <v>1746</v>
      </c>
      <c r="S202" s="345" t="s">
        <v>1942</v>
      </c>
      <c r="T202" s="345">
        <v>1</v>
      </c>
      <c r="U202" s="345" t="s">
        <v>1678</v>
      </c>
      <c r="V202" s="345">
        <v>6</v>
      </c>
      <c r="W202" s="754" t="s">
        <v>3620</v>
      </c>
      <c r="X202" s="345" t="s">
        <v>2909</v>
      </c>
      <c r="Y202" s="714">
        <v>7</v>
      </c>
      <c r="Z202" s="345">
        <v>12</v>
      </c>
      <c r="AA202" s="345">
        <v>6</v>
      </c>
      <c r="AD202" s="504">
        <v>0.03</v>
      </c>
      <c r="AE202" s="345">
        <v>24000</v>
      </c>
      <c r="AF202" s="345">
        <v>39000</v>
      </c>
    </row>
    <row r="203" spans="1:37" s="345" customFormat="1" ht="13.5" customHeight="1">
      <c r="A203" s="344" t="s">
        <v>2577</v>
      </c>
      <c r="C203" s="346" t="s">
        <v>40</v>
      </c>
      <c r="D203" s="345" t="s">
        <v>211</v>
      </c>
      <c r="E203" s="345" t="s">
        <v>1991</v>
      </c>
      <c r="F203" s="345">
        <v>1999</v>
      </c>
      <c r="G203" s="345">
        <v>2000</v>
      </c>
      <c r="H203" s="345" t="s">
        <v>1628</v>
      </c>
      <c r="I203" s="345">
        <v>5</v>
      </c>
      <c r="J203" s="345" t="s">
        <v>2580</v>
      </c>
      <c r="P203" s="346">
        <v>1</v>
      </c>
      <c r="Q203" s="345" t="s">
        <v>1743</v>
      </c>
      <c r="R203" s="345" t="s">
        <v>3139</v>
      </c>
      <c r="S203" s="345" t="s">
        <v>1942</v>
      </c>
      <c r="T203" s="345">
        <v>1</v>
      </c>
      <c r="U203" s="345" t="s">
        <v>1678</v>
      </c>
      <c r="V203" s="345">
        <v>6</v>
      </c>
      <c r="W203" s="754" t="s">
        <v>3620</v>
      </c>
      <c r="X203" s="345" t="s">
        <v>2909</v>
      </c>
      <c r="Y203" s="714">
        <v>7</v>
      </c>
      <c r="Z203" s="345">
        <v>12</v>
      </c>
      <c r="AA203" s="345">
        <v>6</v>
      </c>
      <c r="AD203" s="504">
        <v>0.03</v>
      </c>
      <c r="AE203" s="345">
        <v>24000</v>
      </c>
      <c r="AF203" s="345">
        <v>39000</v>
      </c>
    </row>
    <row r="204" spans="1:37" ht="13.5" customHeight="1">
      <c r="A204" s="182" t="s">
        <v>2285</v>
      </c>
      <c r="C204" s="196" t="s">
        <v>40</v>
      </c>
      <c r="D204" s="33" t="s">
        <v>211</v>
      </c>
      <c r="E204" s="33" t="s">
        <v>2300</v>
      </c>
      <c r="F204" s="33">
        <v>1598</v>
      </c>
      <c r="G204" s="33">
        <v>1600</v>
      </c>
      <c r="H204" s="33" t="s">
        <v>62</v>
      </c>
      <c r="I204" s="33">
        <v>5</v>
      </c>
      <c r="J204" s="33" t="s">
        <v>2294</v>
      </c>
      <c r="P204" s="196">
        <v>1</v>
      </c>
      <c r="Q204" s="33" t="s">
        <v>1743</v>
      </c>
      <c r="R204" s="33" t="s">
        <v>1744</v>
      </c>
      <c r="S204" s="33" t="s">
        <v>1942</v>
      </c>
      <c r="T204" s="33">
        <v>1</v>
      </c>
      <c r="U204" s="33" t="s">
        <v>1668</v>
      </c>
      <c r="V204" s="33">
        <v>7</v>
      </c>
      <c r="W204" s="752" t="s">
        <v>3627</v>
      </c>
      <c r="X204" s="33" t="s">
        <v>2912</v>
      </c>
      <c r="Y204" s="715">
        <v>9</v>
      </c>
      <c r="Z204" s="33">
        <v>11</v>
      </c>
      <c r="AA204" s="33">
        <v>7</v>
      </c>
      <c r="AD204" s="504">
        <v>0.03</v>
      </c>
      <c r="AE204" s="33">
        <v>15000</v>
      </c>
      <c r="AF204" s="33">
        <v>28000</v>
      </c>
    </row>
    <row r="205" spans="1:37" ht="13.5" customHeight="1">
      <c r="A205" s="182" t="s">
        <v>2286</v>
      </c>
      <c r="C205" s="196" t="s">
        <v>40</v>
      </c>
      <c r="D205" s="33" t="s">
        <v>211</v>
      </c>
      <c r="E205" s="33" t="s">
        <v>2300</v>
      </c>
      <c r="F205" s="33">
        <v>1598</v>
      </c>
      <c r="G205" s="33">
        <v>1600</v>
      </c>
      <c r="H205" s="33" t="s">
        <v>62</v>
      </c>
      <c r="I205" s="33">
        <v>5</v>
      </c>
      <c r="J205" s="33" t="s">
        <v>2295</v>
      </c>
      <c r="P205" s="196">
        <v>1</v>
      </c>
      <c r="Q205" s="33" t="s">
        <v>1743</v>
      </c>
      <c r="R205" s="33" t="s">
        <v>1744</v>
      </c>
      <c r="S205" s="33" t="s">
        <v>1942</v>
      </c>
      <c r="T205" s="33">
        <v>1</v>
      </c>
      <c r="U205" s="33" t="s">
        <v>1668</v>
      </c>
      <c r="V205" s="33">
        <v>7</v>
      </c>
      <c r="W205" s="752" t="s">
        <v>3627</v>
      </c>
      <c r="X205" s="33" t="s">
        <v>2912</v>
      </c>
      <c r="Y205" s="715">
        <v>9</v>
      </c>
      <c r="Z205" s="33">
        <v>11</v>
      </c>
      <c r="AA205" s="33">
        <v>7</v>
      </c>
      <c r="AD205" s="504">
        <v>0.03</v>
      </c>
      <c r="AE205" s="33">
        <v>15000</v>
      </c>
      <c r="AF205" s="33">
        <v>28000</v>
      </c>
    </row>
    <row r="206" spans="1:37" ht="13.5" customHeight="1">
      <c r="A206" s="182" t="s">
        <v>2287</v>
      </c>
      <c r="C206" s="196" t="s">
        <v>40</v>
      </c>
      <c r="D206" s="33" t="s">
        <v>211</v>
      </c>
      <c r="E206" s="33" t="s">
        <v>2300</v>
      </c>
      <c r="F206" s="33">
        <v>1598</v>
      </c>
      <c r="G206" s="33">
        <v>1600</v>
      </c>
      <c r="H206" s="33" t="s">
        <v>62</v>
      </c>
      <c r="I206" s="33">
        <v>5</v>
      </c>
      <c r="J206" s="33" t="s">
        <v>2296</v>
      </c>
      <c r="P206" s="196">
        <v>1</v>
      </c>
      <c r="Q206" s="33" t="s">
        <v>1743</v>
      </c>
      <c r="R206" s="33" t="s">
        <v>1744</v>
      </c>
      <c r="S206" s="33" t="s">
        <v>1942</v>
      </c>
      <c r="T206" s="33">
        <v>1</v>
      </c>
      <c r="U206" s="33" t="s">
        <v>1668</v>
      </c>
      <c r="V206" s="33">
        <v>7</v>
      </c>
      <c r="W206" s="752" t="s">
        <v>3627</v>
      </c>
      <c r="X206" s="33" t="s">
        <v>2912</v>
      </c>
      <c r="Y206" s="715">
        <v>9</v>
      </c>
      <c r="Z206" s="33">
        <v>11</v>
      </c>
      <c r="AA206" s="33">
        <v>7</v>
      </c>
      <c r="AD206" s="504">
        <v>0.03</v>
      </c>
      <c r="AE206" s="33">
        <v>15000</v>
      </c>
      <c r="AF206" s="33">
        <v>28000</v>
      </c>
    </row>
    <row r="207" spans="1:37" ht="13.5" customHeight="1">
      <c r="A207" s="182" t="s">
        <v>2302</v>
      </c>
      <c r="C207" s="196" t="s">
        <v>40</v>
      </c>
      <c r="D207" s="33" t="s">
        <v>211</v>
      </c>
      <c r="E207" s="33" t="s">
        <v>2300</v>
      </c>
      <c r="F207" s="33">
        <v>1999</v>
      </c>
      <c r="G207" s="33">
        <v>2000</v>
      </c>
      <c r="H207" s="33" t="s">
        <v>165</v>
      </c>
      <c r="I207" s="33">
        <v>5</v>
      </c>
      <c r="J207" s="33" t="s">
        <v>2305</v>
      </c>
      <c r="P207" s="196">
        <v>1</v>
      </c>
      <c r="Q207" s="33" t="s">
        <v>1743</v>
      </c>
      <c r="R207" s="33" t="s">
        <v>1746</v>
      </c>
      <c r="S207" s="33" t="s">
        <v>1942</v>
      </c>
      <c r="T207" s="33">
        <v>1</v>
      </c>
      <c r="U207" s="33" t="s">
        <v>1680</v>
      </c>
      <c r="V207" s="33">
        <v>10</v>
      </c>
      <c r="W207" s="752" t="s">
        <v>3622</v>
      </c>
      <c r="X207" s="33" t="s">
        <v>2913</v>
      </c>
      <c r="Y207" s="33">
        <v>7</v>
      </c>
      <c r="Z207" s="33">
        <v>12</v>
      </c>
      <c r="AA207" s="33">
        <v>6</v>
      </c>
      <c r="AB207" s="33">
        <v>8</v>
      </c>
      <c r="AD207" s="504">
        <v>0.03</v>
      </c>
      <c r="AE207" s="33">
        <v>17000</v>
      </c>
      <c r="AF207" s="33">
        <v>30000</v>
      </c>
      <c r="AG207" s="33"/>
      <c r="AJ207" s="33" t="s">
        <v>3320</v>
      </c>
    </row>
    <row r="208" spans="1:37" ht="13.5" customHeight="1">
      <c r="A208" s="182" t="s">
        <v>2303</v>
      </c>
      <c r="C208" s="196" t="s">
        <v>40</v>
      </c>
      <c r="D208" s="33" t="s">
        <v>211</v>
      </c>
      <c r="E208" s="33" t="s">
        <v>2300</v>
      </c>
      <c r="F208" s="33">
        <v>1999</v>
      </c>
      <c r="G208" s="33">
        <v>2000</v>
      </c>
      <c r="H208" s="33" t="s">
        <v>165</v>
      </c>
      <c r="I208" s="33">
        <v>5</v>
      </c>
      <c r="J208" s="33" t="s">
        <v>2306</v>
      </c>
      <c r="P208" s="196">
        <v>1</v>
      </c>
      <c r="Q208" s="33" t="s">
        <v>1743</v>
      </c>
      <c r="R208" s="33" t="s">
        <v>1746</v>
      </c>
      <c r="S208" s="33" t="s">
        <v>1942</v>
      </c>
      <c r="T208" s="33">
        <v>1</v>
      </c>
      <c r="U208" s="33" t="s">
        <v>1680</v>
      </c>
      <c r="V208" s="33">
        <v>10</v>
      </c>
      <c r="W208" s="752" t="s">
        <v>3622</v>
      </c>
      <c r="X208" s="33" t="s">
        <v>2913</v>
      </c>
      <c r="Y208" s="33">
        <v>7</v>
      </c>
      <c r="Z208" s="33">
        <v>12</v>
      </c>
      <c r="AA208" s="33">
        <v>6</v>
      </c>
      <c r="AB208" s="33">
        <v>8</v>
      </c>
      <c r="AD208" s="504">
        <v>0.03</v>
      </c>
      <c r="AE208" s="33">
        <v>17000</v>
      </c>
      <c r="AF208" s="33">
        <v>30000</v>
      </c>
      <c r="AG208" s="33"/>
      <c r="AJ208" s="33" t="s">
        <v>3320</v>
      </c>
    </row>
    <row r="209" spans="1:37" ht="13.5" customHeight="1">
      <c r="A209" s="182" t="s">
        <v>2304</v>
      </c>
      <c r="C209" s="196" t="s">
        <v>40</v>
      </c>
      <c r="D209" s="33" t="s">
        <v>211</v>
      </c>
      <c r="E209" s="33" t="s">
        <v>2300</v>
      </c>
      <c r="F209" s="33">
        <v>1999</v>
      </c>
      <c r="G209" s="33">
        <v>2000</v>
      </c>
      <c r="H209" s="33" t="s">
        <v>165</v>
      </c>
      <c r="I209" s="33">
        <v>5</v>
      </c>
      <c r="J209" s="33" t="s">
        <v>2307</v>
      </c>
      <c r="P209" s="196">
        <v>1</v>
      </c>
      <c r="Q209" s="33" t="s">
        <v>1743</v>
      </c>
      <c r="R209" s="33" t="s">
        <v>1746</v>
      </c>
      <c r="S209" s="33" t="s">
        <v>1942</v>
      </c>
      <c r="T209" s="33">
        <v>1</v>
      </c>
      <c r="U209" s="33" t="s">
        <v>1680</v>
      </c>
      <c r="V209" s="33">
        <v>10</v>
      </c>
      <c r="W209" s="752" t="s">
        <v>3622</v>
      </c>
      <c r="X209" s="33" t="s">
        <v>2913</v>
      </c>
      <c r="Y209" s="33">
        <v>7</v>
      </c>
      <c r="Z209" s="33">
        <v>12</v>
      </c>
      <c r="AA209" s="33">
        <v>6</v>
      </c>
      <c r="AB209" s="33">
        <v>8</v>
      </c>
      <c r="AD209" s="504">
        <v>0.03</v>
      </c>
      <c r="AE209" s="33">
        <v>17000</v>
      </c>
      <c r="AF209" s="33">
        <v>30000</v>
      </c>
      <c r="AG209" s="33"/>
      <c r="AJ209" s="33" t="s">
        <v>3320</v>
      </c>
    </row>
    <row r="210" spans="1:37" ht="13.5" customHeight="1">
      <c r="A210" s="182" t="s">
        <v>2282</v>
      </c>
      <c r="C210" s="196" t="s">
        <v>40</v>
      </c>
      <c r="D210" s="33" t="s">
        <v>211</v>
      </c>
      <c r="E210" s="33" t="s">
        <v>2300</v>
      </c>
      <c r="F210" s="33">
        <v>1999</v>
      </c>
      <c r="G210" s="33">
        <v>2000</v>
      </c>
      <c r="H210" s="33" t="s">
        <v>62</v>
      </c>
      <c r="I210" s="33">
        <v>5</v>
      </c>
      <c r="J210" s="33" t="s">
        <v>2298</v>
      </c>
      <c r="P210" s="196">
        <v>1</v>
      </c>
      <c r="Q210" s="33" t="s">
        <v>1743</v>
      </c>
      <c r="R210" s="33" t="s">
        <v>1746</v>
      </c>
      <c r="S210" s="33" t="s">
        <v>1942</v>
      </c>
      <c r="T210" s="33">
        <v>1</v>
      </c>
      <c r="U210" s="33" t="s">
        <v>1678</v>
      </c>
      <c r="V210" s="33">
        <v>8</v>
      </c>
      <c r="W210" s="752" t="s">
        <v>3621</v>
      </c>
      <c r="X210" s="33" t="s">
        <v>2909</v>
      </c>
      <c r="Y210" s="715">
        <v>9</v>
      </c>
      <c r="Z210" s="33">
        <v>11</v>
      </c>
      <c r="AA210" s="33">
        <v>7</v>
      </c>
      <c r="AD210" s="504">
        <v>0.03</v>
      </c>
      <c r="AE210" s="33">
        <v>15000</v>
      </c>
      <c r="AF210" s="33">
        <v>27000</v>
      </c>
    </row>
    <row r="211" spans="1:37" ht="13.5" customHeight="1">
      <c r="A211" s="182" t="s">
        <v>2283</v>
      </c>
      <c r="C211" s="196" t="s">
        <v>40</v>
      </c>
      <c r="D211" s="33" t="s">
        <v>211</v>
      </c>
      <c r="E211" s="33" t="s">
        <v>2300</v>
      </c>
      <c r="F211" s="33">
        <v>1999</v>
      </c>
      <c r="G211" s="33">
        <v>2000</v>
      </c>
      <c r="H211" s="33" t="s">
        <v>62</v>
      </c>
      <c r="I211" s="33">
        <v>5</v>
      </c>
      <c r="J211" s="33" t="s">
        <v>2299</v>
      </c>
      <c r="P211" s="196">
        <v>1</v>
      </c>
      <c r="Q211" s="33" t="s">
        <v>1743</v>
      </c>
      <c r="R211" s="33" t="s">
        <v>1746</v>
      </c>
      <c r="S211" s="33" t="s">
        <v>1942</v>
      </c>
      <c r="T211" s="33">
        <v>1</v>
      </c>
      <c r="U211" s="33" t="s">
        <v>1678</v>
      </c>
      <c r="V211" s="33">
        <v>8</v>
      </c>
      <c r="W211" s="752" t="s">
        <v>3621</v>
      </c>
      <c r="X211" s="33" t="s">
        <v>2909</v>
      </c>
      <c r="Y211" s="715">
        <v>9</v>
      </c>
      <c r="Z211" s="33">
        <v>11</v>
      </c>
      <c r="AA211" s="33">
        <v>7</v>
      </c>
      <c r="AD211" s="504">
        <v>0.03</v>
      </c>
      <c r="AE211" s="33">
        <v>15000</v>
      </c>
      <c r="AF211" s="33">
        <v>27000</v>
      </c>
    </row>
    <row r="212" spans="1:37" ht="13.5" customHeight="1">
      <c r="A212" s="182" t="s">
        <v>2284</v>
      </c>
      <c r="C212" s="196" t="s">
        <v>40</v>
      </c>
      <c r="D212" s="33" t="s">
        <v>211</v>
      </c>
      <c r="E212" s="33" t="s">
        <v>2300</v>
      </c>
      <c r="F212" s="33">
        <v>1999</v>
      </c>
      <c r="G212" s="33">
        <v>2000</v>
      </c>
      <c r="H212" s="33" t="s">
        <v>62</v>
      </c>
      <c r="I212" s="33">
        <v>5</v>
      </c>
      <c r="J212" s="33" t="s">
        <v>2297</v>
      </c>
      <c r="P212" s="196">
        <v>1</v>
      </c>
      <c r="Q212" s="33" t="s">
        <v>1743</v>
      </c>
      <c r="R212" s="33" t="s">
        <v>1746</v>
      </c>
      <c r="S212" s="33" t="s">
        <v>1942</v>
      </c>
      <c r="T212" s="33">
        <v>1</v>
      </c>
      <c r="U212" s="33" t="s">
        <v>1678</v>
      </c>
      <c r="V212" s="33">
        <v>8</v>
      </c>
      <c r="W212" s="752" t="s">
        <v>3621</v>
      </c>
      <c r="X212" s="33" t="s">
        <v>2909</v>
      </c>
      <c r="Y212" s="715">
        <v>9</v>
      </c>
      <c r="Z212" s="33">
        <v>11</v>
      </c>
      <c r="AA212" s="33">
        <v>7</v>
      </c>
      <c r="AD212" s="504">
        <v>0.03</v>
      </c>
      <c r="AE212" s="33">
        <v>15000</v>
      </c>
      <c r="AF212" s="33">
        <v>27000</v>
      </c>
    </row>
    <row r="213" spans="1:37" ht="13.5" customHeight="1">
      <c r="A213" s="182" t="s">
        <v>2252</v>
      </c>
      <c r="C213" s="196" t="s">
        <v>40</v>
      </c>
      <c r="D213" s="33" t="s">
        <v>224</v>
      </c>
      <c r="E213" s="33" t="s">
        <v>1993</v>
      </c>
      <c r="F213" s="33">
        <v>1598</v>
      </c>
      <c r="G213" s="33">
        <v>1600</v>
      </c>
      <c r="H213" s="33" t="s">
        <v>1628</v>
      </c>
      <c r="I213" s="33">
        <v>5</v>
      </c>
      <c r="J213" s="33" t="s">
        <v>2255</v>
      </c>
      <c r="P213" s="196">
        <v>1</v>
      </c>
      <c r="Q213" s="33" t="s">
        <v>1743</v>
      </c>
      <c r="R213" s="33" t="s">
        <v>1744</v>
      </c>
      <c r="S213" s="33" t="s">
        <v>3270</v>
      </c>
      <c r="T213" s="33">
        <v>1</v>
      </c>
      <c r="U213" s="33" t="s">
        <v>2588</v>
      </c>
      <c r="V213" s="33">
        <v>4</v>
      </c>
      <c r="W213" s="752" t="s">
        <v>2913</v>
      </c>
      <c r="X213" s="33" t="s">
        <v>2908</v>
      </c>
      <c r="Y213" s="713" t="s">
        <v>3476</v>
      </c>
      <c r="Z213" s="33">
        <v>3</v>
      </c>
      <c r="AA213" s="33">
        <v>5</v>
      </c>
      <c r="AD213" s="504">
        <v>3.5000000000000003E-2</v>
      </c>
      <c r="AE213" s="33">
        <v>21000</v>
      </c>
      <c r="AF213" s="33">
        <v>33000</v>
      </c>
    </row>
    <row r="214" spans="1:37" ht="13.5" customHeight="1">
      <c r="A214" s="182" t="s">
        <v>2253</v>
      </c>
      <c r="C214" s="196" t="s">
        <v>40</v>
      </c>
      <c r="D214" s="33" t="s">
        <v>224</v>
      </c>
      <c r="E214" s="33" t="s">
        <v>1993</v>
      </c>
      <c r="F214" s="33">
        <v>1598</v>
      </c>
      <c r="G214" s="33">
        <v>1600</v>
      </c>
      <c r="H214" s="33" t="s">
        <v>1628</v>
      </c>
      <c r="I214" s="33">
        <v>5</v>
      </c>
      <c r="J214" s="33" t="s">
        <v>2256</v>
      </c>
      <c r="P214" s="196">
        <v>1</v>
      </c>
      <c r="Q214" s="33" t="s">
        <v>1743</v>
      </c>
      <c r="R214" s="33" t="s">
        <v>1744</v>
      </c>
      <c r="S214" s="33" t="s">
        <v>3270</v>
      </c>
      <c r="T214" s="33">
        <v>1</v>
      </c>
      <c r="U214" s="33" t="s">
        <v>2588</v>
      </c>
      <c r="V214" s="33">
        <v>4</v>
      </c>
      <c r="W214" s="752" t="s">
        <v>2913</v>
      </c>
      <c r="X214" s="33" t="s">
        <v>2908</v>
      </c>
      <c r="Y214" s="713" t="s">
        <v>3476</v>
      </c>
      <c r="Z214" s="33">
        <v>3</v>
      </c>
      <c r="AA214" s="33">
        <v>5</v>
      </c>
      <c r="AD214" s="504">
        <v>3.5000000000000003E-2</v>
      </c>
      <c r="AE214" s="33">
        <v>21000</v>
      </c>
      <c r="AF214" s="33">
        <v>33000</v>
      </c>
    </row>
    <row r="215" spans="1:37" ht="13.5" customHeight="1">
      <c r="A215" s="182" t="s">
        <v>2254</v>
      </c>
      <c r="C215" s="196" t="s">
        <v>40</v>
      </c>
      <c r="D215" s="33" t="s">
        <v>224</v>
      </c>
      <c r="E215" s="33" t="s">
        <v>1993</v>
      </c>
      <c r="F215" s="33">
        <v>1598</v>
      </c>
      <c r="G215" s="33">
        <v>1600</v>
      </c>
      <c r="H215" s="33" t="s">
        <v>1628</v>
      </c>
      <c r="I215" s="33">
        <v>5</v>
      </c>
      <c r="J215" s="33" t="s">
        <v>1992</v>
      </c>
      <c r="P215" s="196">
        <v>1</v>
      </c>
      <c r="Q215" s="33" t="s">
        <v>1743</v>
      </c>
      <c r="R215" s="33" t="s">
        <v>1744</v>
      </c>
      <c r="S215" s="33" t="s">
        <v>3270</v>
      </c>
      <c r="T215" s="33">
        <v>1</v>
      </c>
      <c r="U215" s="33" t="s">
        <v>2588</v>
      </c>
      <c r="V215" s="33">
        <v>4</v>
      </c>
      <c r="W215" s="752" t="s">
        <v>2913</v>
      </c>
      <c r="X215" s="33" t="s">
        <v>2908</v>
      </c>
      <c r="Y215" s="713" t="s">
        <v>3476</v>
      </c>
      <c r="Z215" s="33">
        <v>3</v>
      </c>
      <c r="AA215" s="33">
        <v>5</v>
      </c>
      <c r="AD215" s="504">
        <v>3.5000000000000003E-2</v>
      </c>
      <c r="AE215" s="33">
        <v>21000</v>
      </c>
      <c r="AF215" s="33">
        <v>33000</v>
      </c>
    </row>
    <row r="216" spans="1:37" ht="13.5" customHeight="1">
      <c r="A216" s="182" t="s">
        <v>2247</v>
      </c>
      <c r="C216" s="196" t="s">
        <v>40</v>
      </c>
      <c r="D216" s="33" t="s">
        <v>224</v>
      </c>
      <c r="E216" s="33" t="s">
        <v>3117</v>
      </c>
      <c r="F216" s="33">
        <v>1598</v>
      </c>
      <c r="G216" s="33">
        <v>1600</v>
      </c>
      <c r="H216" s="33" t="s">
        <v>62</v>
      </c>
      <c r="I216" s="33">
        <v>5</v>
      </c>
      <c r="J216" s="33" t="s">
        <v>2250</v>
      </c>
      <c r="P216" s="196">
        <v>1</v>
      </c>
      <c r="Q216" s="33" t="s">
        <v>1743</v>
      </c>
      <c r="R216" s="33" t="s">
        <v>1744</v>
      </c>
      <c r="S216" s="33" t="s">
        <v>3270</v>
      </c>
      <c r="T216" s="33">
        <v>1</v>
      </c>
      <c r="U216" s="33" t="s">
        <v>1666</v>
      </c>
      <c r="V216" s="33">
        <v>4</v>
      </c>
      <c r="W216" s="752" t="s">
        <v>3565</v>
      </c>
      <c r="X216" s="708" t="s">
        <v>3445</v>
      </c>
      <c r="Y216" s="713" t="s">
        <v>3476</v>
      </c>
      <c r="Z216" s="33">
        <v>11</v>
      </c>
      <c r="AA216" s="33">
        <v>2</v>
      </c>
      <c r="AB216" s="33">
        <v>3</v>
      </c>
      <c r="AD216" s="504">
        <v>3.5000000000000003E-2</v>
      </c>
      <c r="AE216" s="33">
        <v>12000</v>
      </c>
      <c r="AF216" s="33">
        <v>21000</v>
      </c>
      <c r="AK216" s="33" t="s">
        <v>2908</v>
      </c>
    </row>
    <row r="217" spans="1:37" ht="13.5" customHeight="1">
      <c r="A217" s="182" t="s">
        <v>2248</v>
      </c>
      <c r="C217" s="196" t="s">
        <v>40</v>
      </c>
      <c r="D217" s="33" t="s">
        <v>224</v>
      </c>
      <c r="E217" s="33" t="s">
        <v>3117</v>
      </c>
      <c r="F217" s="33">
        <v>1598</v>
      </c>
      <c r="G217" s="33">
        <v>1600</v>
      </c>
      <c r="H217" s="33" t="s">
        <v>62</v>
      </c>
      <c r="I217" s="33">
        <v>5</v>
      </c>
      <c r="J217" s="33" t="s">
        <v>2251</v>
      </c>
      <c r="P217" s="196">
        <v>1</v>
      </c>
      <c r="Q217" s="33" t="s">
        <v>1743</v>
      </c>
      <c r="R217" s="33" t="s">
        <v>1744</v>
      </c>
      <c r="S217" s="33" t="s">
        <v>3270</v>
      </c>
      <c r="T217" s="33">
        <v>1</v>
      </c>
      <c r="U217" s="33" t="s">
        <v>1666</v>
      </c>
      <c r="V217" s="33">
        <v>4</v>
      </c>
      <c r="W217" s="752" t="s">
        <v>3565</v>
      </c>
      <c r="X217" s="708" t="s">
        <v>3445</v>
      </c>
      <c r="Y217" s="713" t="s">
        <v>3476</v>
      </c>
      <c r="Z217" s="33">
        <v>11</v>
      </c>
      <c r="AA217" s="33">
        <v>2</v>
      </c>
      <c r="AB217" s="33">
        <v>3</v>
      </c>
      <c r="AD217" s="504">
        <v>3.5000000000000003E-2</v>
      </c>
      <c r="AE217" s="33">
        <v>12000</v>
      </c>
      <c r="AF217" s="33">
        <v>21000</v>
      </c>
      <c r="AK217" s="33" t="s">
        <v>2908</v>
      </c>
    </row>
    <row r="218" spans="1:37" ht="13.5" customHeight="1">
      <c r="A218" s="182" t="s">
        <v>2249</v>
      </c>
      <c r="C218" s="196" t="s">
        <v>40</v>
      </c>
      <c r="D218" s="33" t="s">
        <v>224</v>
      </c>
      <c r="E218" s="33" t="s">
        <v>3117</v>
      </c>
      <c r="F218" s="33">
        <v>1598</v>
      </c>
      <c r="G218" s="33">
        <v>1600</v>
      </c>
      <c r="H218" s="33" t="s">
        <v>62</v>
      </c>
      <c r="I218" s="33">
        <v>5</v>
      </c>
      <c r="J218" s="33" t="s">
        <v>1994</v>
      </c>
      <c r="P218" s="196">
        <v>1</v>
      </c>
      <c r="Q218" s="33" t="s">
        <v>1743</v>
      </c>
      <c r="R218" s="33" t="s">
        <v>1744</v>
      </c>
      <c r="S218" s="33" t="s">
        <v>3270</v>
      </c>
      <c r="T218" s="33">
        <v>1</v>
      </c>
      <c r="U218" s="33" t="s">
        <v>1666</v>
      </c>
      <c r="V218" s="33">
        <v>4</v>
      </c>
      <c r="W218" s="752" t="s">
        <v>3565</v>
      </c>
      <c r="X218" s="708" t="s">
        <v>3445</v>
      </c>
      <c r="Y218" s="713" t="s">
        <v>3476</v>
      </c>
      <c r="Z218" s="33">
        <v>11</v>
      </c>
      <c r="AA218" s="33">
        <v>2</v>
      </c>
      <c r="AB218" s="33">
        <v>3</v>
      </c>
      <c r="AD218" s="504">
        <v>3.5000000000000003E-2</v>
      </c>
      <c r="AE218" s="33">
        <v>12000</v>
      </c>
      <c r="AF218" s="33">
        <v>21000</v>
      </c>
      <c r="AK218" s="33" t="s">
        <v>2908</v>
      </c>
    </row>
    <row r="219" spans="1:37" ht="13.5" customHeight="1">
      <c r="A219" s="182" t="s">
        <v>3118</v>
      </c>
      <c r="C219" s="196" t="s">
        <v>40</v>
      </c>
      <c r="D219" s="33" t="s">
        <v>224</v>
      </c>
      <c r="E219" s="33" t="s">
        <v>3117</v>
      </c>
      <c r="F219" s="33">
        <v>1999</v>
      </c>
      <c r="G219" s="33">
        <v>2000</v>
      </c>
      <c r="H219" s="33" t="s">
        <v>62</v>
      </c>
      <c r="I219" s="33">
        <v>5</v>
      </c>
      <c r="J219" s="33" t="s">
        <v>3126</v>
      </c>
      <c r="P219" s="196">
        <v>1</v>
      </c>
      <c r="Q219" s="33" t="s">
        <v>1743</v>
      </c>
      <c r="R219" s="33" t="s">
        <v>1746</v>
      </c>
      <c r="S219" s="33" t="s">
        <v>3270</v>
      </c>
      <c r="T219" s="33">
        <v>1</v>
      </c>
      <c r="V219" s="33">
        <v>14</v>
      </c>
      <c r="X219" s="33" t="s">
        <v>2920</v>
      </c>
      <c r="Y219" s="33">
        <v>15</v>
      </c>
      <c r="Z219" s="33">
        <v>12</v>
      </c>
      <c r="AA219" s="33">
        <v>17</v>
      </c>
      <c r="AD219" s="504">
        <v>3.5000000000000003E-2</v>
      </c>
      <c r="AE219" s="33">
        <v>12000</v>
      </c>
      <c r="AF219" s="33">
        <v>21000</v>
      </c>
      <c r="AG219" s="33"/>
    </row>
    <row r="220" spans="1:37" ht="13.5" customHeight="1">
      <c r="A220" s="182" t="s">
        <v>3119</v>
      </c>
      <c r="C220" s="196" t="s">
        <v>40</v>
      </c>
      <c r="D220" s="33" t="s">
        <v>224</v>
      </c>
      <c r="E220" s="33" t="s">
        <v>3117</v>
      </c>
      <c r="F220" s="33">
        <v>1598</v>
      </c>
      <c r="G220" s="33">
        <v>1600</v>
      </c>
      <c r="H220" s="33" t="s">
        <v>1628</v>
      </c>
      <c r="I220" s="33">
        <v>5</v>
      </c>
      <c r="J220" s="33" t="s">
        <v>3127</v>
      </c>
      <c r="P220" s="196">
        <v>1</v>
      </c>
      <c r="Q220" s="33" t="s">
        <v>1743</v>
      </c>
      <c r="R220" s="33" t="s">
        <v>1744</v>
      </c>
      <c r="S220" s="33" t="s">
        <v>3270</v>
      </c>
      <c r="T220" s="33">
        <v>1</v>
      </c>
      <c r="V220" s="33">
        <v>4</v>
      </c>
      <c r="X220" s="33" t="s">
        <v>2910</v>
      </c>
      <c r="Y220" s="713" t="s">
        <v>3476</v>
      </c>
      <c r="Z220" s="33">
        <v>3</v>
      </c>
      <c r="AA220" s="33">
        <v>6</v>
      </c>
      <c r="AD220" s="504">
        <v>3.5000000000000003E-2</v>
      </c>
      <c r="AE220" s="33">
        <v>21000</v>
      </c>
      <c r="AF220" s="33">
        <v>33000</v>
      </c>
    </row>
    <row r="221" spans="1:37" ht="13.5" customHeight="1">
      <c r="A221" s="182" t="s">
        <v>3120</v>
      </c>
      <c r="C221" s="196" t="s">
        <v>40</v>
      </c>
      <c r="D221" s="33" t="s">
        <v>224</v>
      </c>
      <c r="E221" s="33" t="s">
        <v>3117</v>
      </c>
      <c r="F221" s="33">
        <v>1598</v>
      </c>
      <c r="G221" s="33">
        <v>1600</v>
      </c>
      <c r="H221" s="33" t="s">
        <v>1628</v>
      </c>
      <c r="I221" s="33">
        <v>5</v>
      </c>
      <c r="J221" s="33" t="s">
        <v>3128</v>
      </c>
      <c r="P221" s="196">
        <v>1</v>
      </c>
      <c r="Q221" s="33" t="s">
        <v>1743</v>
      </c>
      <c r="R221" s="33" t="s">
        <v>1744</v>
      </c>
      <c r="S221" s="33" t="s">
        <v>3270</v>
      </c>
      <c r="T221" s="33">
        <v>1</v>
      </c>
      <c r="V221" s="33">
        <v>4</v>
      </c>
      <c r="X221" s="33" t="s">
        <v>2910</v>
      </c>
      <c r="Y221" s="713" t="s">
        <v>3476</v>
      </c>
      <c r="Z221" s="33">
        <v>3</v>
      </c>
      <c r="AA221" s="33">
        <v>6</v>
      </c>
      <c r="AD221" s="504">
        <v>3.5000000000000003E-2</v>
      </c>
      <c r="AE221" s="33">
        <v>21000</v>
      </c>
      <c r="AF221" s="33">
        <v>33000</v>
      </c>
    </row>
    <row r="222" spans="1:37" ht="13.5" customHeight="1">
      <c r="A222" s="182" t="s">
        <v>3121</v>
      </c>
      <c r="C222" s="196" t="s">
        <v>40</v>
      </c>
      <c r="D222" s="33" t="s">
        <v>224</v>
      </c>
      <c r="E222" s="33" t="s">
        <v>3117</v>
      </c>
      <c r="F222" s="33">
        <v>1598</v>
      </c>
      <c r="G222" s="33">
        <v>1600</v>
      </c>
      <c r="H222" s="33" t="s">
        <v>62</v>
      </c>
      <c r="I222" s="33">
        <v>5</v>
      </c>
      <c r="J222" s="33" t="s">
        <v>3129</v>
      </c>
      <c r="P222" s="196">
        <v>1</v>
      </c>
      <c r="Q222" s="33" t="s">
        <v>1743</v>
      </c>
      <c r="R222" s="33" t="s">
        <v>1744</v>
      </c>
      <c r="S222" s="33" t="s">
        <v>3270</v>
      </c>
      <c r="T222" s="33">
        <v>1</v>
      </c>
      <c r="V222" s="33">
        <v>4</v>
      </c>
      <c r="X222" s="33" t="s">
        <v>2910</v>
      </c>
      <c r="Y222" s="713" t="s">
        <v>3476</v>
      </c>
      <c r="Z222" s="33">
        <v>11</v>
      </c>
      <c r="AA222" s="33">
        <v>4</v>
      </c>
      <c r="AD222" s="504">
        <v>3.5000000000000003E-2</v>
      </c>
      <c r="AE222" s="33">
        <v>12000</v>
      </c>
      <c r="AF222" s="33">
        <v>21000</v>
      </c>
    </row>
    <row r="223" spans="1:37" ht="13.5" customHeight="1">
      <c r="A223" s="182" t="s">
        <v>3122</v>
      </c>
      <c r="C223" s="196" t="s">
        <v>40</v>
      </c>
      <c r="D223" s="33" t="s">
        <v>224</v>
      </c>
      <c r="E223" s="33" t="s">
        <v>3117</v>
      </c>
      <c r="F223" s="33">
        <v>1598</v>
      </c>
      <c r="G223" s="33">
        <v>1600</v>
      </c>
      <c r="H223" s="33" t="s">
        <v>62</v>
      </c>
      <c r="I223" s="33">
        <v>5</v>
      </c>
      <c r="J223" s="33" t="s">
        <v>3130</v>
      </c>
      <c r="P223" s="196">
        <v>1</v>
      </c>
      <c r="Q223" s="33" t="s">
        <v>1743</v>
      </c>
      <c r="R223" s="33" t="s">
        <v>1744</v>
      </c>
      <c r="S223" s="33" t="s">
        <v>3270</v>
      </c>
      <c r="T223" s="33">
        <v>1</v>
      </c>
      <c r="V223" s="33">
        <v>4</v>
      </c>
      <c r="X223" s="33" t="s">
        <v>2910</v>
      </c>
      <c r="Y223" s="713" t="s">
        <v>3476</v>
      </c>
      <c r="Z223" s="33">
        <v>11</v>
      </c>
      <c r="AA223" s="33">
        <v>4</v>
      </c>
      <c r="AD223" s="504">
        <v>3.5000000000000003E-2</v>
      </c>
      <c r="AE223" s="33">
        <v>12000</v>
      </c>
      <c r="AF223" s="33">
        <v>21000</v>
      </c>
    </row>
    <row r="224" spans="1:37" ht="13.5" customHeight="1">
      <c r="A224" s="182" t="s">
        <v>3123</v>
      </c>
      <c r="C224" s="196" t="s">
        <v>40</v>
      </c>
      <c r="D224" s="33" t="s">
        <v>224</v>
      </c>
      <c r="E224" s="33" t="s">
        <v>3117</v>
      </c>
      <c r="F224" s="33">
        <v>1598</v>
      </c>
      <c r="G224" s="33">
        <v>1600</v>
      </c>
      <c r="H224" s="33" t="s">
        <v>3283</v>
      </c>
      <c r="I224" s="33">
        <v>5</v>
      </c>
      <c r="J224" s="33" t="s">
        <v>3131</v>
      </c>
      <c r="P224" s="196">
        <v>1</v>
      </c>
      <c r="Q224" s="33" t="s">
        <v>1743</v>
      </c>
      <c r="R224" s="33" t="s">
        <v>1744</v>
      </c>
      <c r="S224" s="33" t="s">
        <v>3270</v>
      </c>
      <c r="T224" s="33">
        <v>1</v>
      </c>
      <c r="V224" s="33">
        <v>14</v>
      </c>
      <c r="W224" s="752" t="s">
        <v>3625</v>
      </c>
      <c r="X224" s="33" t="s">
        <v>2927</v>
      </c>
      <c r="Y224" s="33">
        <v>4</v>
      </c>
      <c r="Z224" s="33">
        <v>10</v>
      </c>
      <c r="AA224" s="33">
        <v>9</v>
      </c>
      <c r="AD224" s="504">
        <v>3.5000000000000003E-2</v>
      </c>
      <c r="AE224" s="33">
        <v>15000</v>
      </c>
      <c r="AF224" s="33">
        <v>26000</v>
      </c>
      <c r="AG224" s="33"/>
    </row>
    <row r="225" spans="1:33" ht="13.5" customHeight="1">
      <c r="A225" s="182" t="s">
        <v>3124</v>
      </c>
      <c r="C225" s="196" t="s">
        <v>40</v>
      </c>
      <c r="D225" s="33" t="s">
        <v>224</v>
      </c>
      <c r="E225" s="33" t="s">
        <v>3117</v>
      </c>
      <c r="F225" s="33">
        <v>1598</v>
      </c>
      <c r="G225" s="33">
        <v>1600</v>
      </c>
      <c r="H225" s="33" t="s">
        <v>3283</v>
      </c>
      <c r="I225" s="33">
        <v>5</v>
      </c>
      <c r="J225" s="33" t="s">
        <v>3132</v>
      </c>
      <c r="P225" s="196">
        <v>1</v>
      </c>
      <c r="Q225" s="33" t="s">
        <v>1743</v>
      </c>
      <c r="R225" s="33" t="s">
        <v>1744</v>
      </c>
      <c r="S225" s="33" t="s">
        <v>3270</v>
      </c>
      <c r="T225" s="33">
        <v>1</v>
      </c>
      <c r="V225" s="33">
        <v>14</v>
      </c>
      <c r="W225" s="752" t="s">
        <v>3625</v>
      </c>
      <c r="X225" s="33" t="s">
        <v>2927</v>
      </c>
      <c r="Y225" s="33">
        <v>4</v>
      </c>
      <c r="Z225" s="33">
        <v>10</v>
      </c>
      <c r="AA225" s="33">
        <v>9</v>
      </c>
      <c r="AD225" s="504">
        <v>3.5000000000000003E-2</v>
      </c>
      <c r="AE225" s="33">
        <v>15000</v>
      </c>
      <c r="AF225" s="33">
        <v>26000</v>
      </c>
      <c r="AG225" s="33"/>
    </row>
    <row r="226" spans="1:33" ht="13.5" customHeight="1">
      <c r="A226" s="182" t="s">
        <v>3125</v>
      </c>
      <c r="C226" s="196" t="s">
        <v>40</v>
      </c>
      <c r="D226" s="33" t="s">
        <v>224</v>
      </c>
      <c r="E226" s="33" t="s">
        <v>3117</v>
      </c>
      <c r="F226" s="33">
        <v>1598</v>
      </c>
      <c r="G226" s="33">
        <v>1600</v>
      </c>
      <c r="H226" s="33" t="s">
        <v>3283</v>
      </c>
      <c r="I226" s="33">
        <v>5</v>
      </c>
      <c r="J226" s="33" t="s">
        <v>3133</v>
      </c>
      <c r="P226" s="196">
        <v>1</v>
      </c>
      <c r="Q226" s="33" t="s">
        <v>1743</v>
      </c>
      <c r="R226" s="33" t="s">
        <v>1744</v>
      </c>
      <c r="S226" s="33" t="s">
        <v>3270</v>
      </c>
      <c r="T226" s="33">
        <v>1</v>
      </c>
      <c r="V226" s="33">
        <v>14</v>
      </c>
      <c r="W226" s="752" t="s">
        <v>3625</v>
      </c>
      <c r="X226" s="33" t="s">
        <v>2927</v>
      </c>
      <c r="Y226" s="33">
        <v>4</v>
      </c>
      <c r="Z226" s="33">
        <v>10</v>
      </c>
      <c r="AA226" s="33">
        <v>9</v>
      </c>
      <c r="AD226" s="504">
        <v>3.5000000000000003E-2</v>
      </c>
      <c r="AE226" s="33">
        <v>15000</v>
      </c>
      <c r="AF226" s="33">
        <v>26000</v>
      </c>
      <c r="AG226" s="33"/>
    </row>
    <row r="227" spans="1:33" s="769" customFormat="1" ht="13.5" customHeight="1">
      <c r="A227" s="768" t="s">
        <v>3566</v>
      </c>
      <c r="C227" s="770" t="s">
        <v>40</v>
      </c>
      <c r="D227" s="769" t="s">
        <v>623</v>
      </c>
      <c r="E227" s="769" t="s">
        <v>3590</v>
      </c>
      <c r="F227" s="769">
        <v>2497</v>
      </c>
      <c r="G227" s="769">
        <v>2500</v>
      </c>
      <c r="H227" s="769" t="s">
        <v>62</v>
      </c>
      <c r="I227" s="769">
        <v>7</v>
      </c>
      <c r="J227" s="769" t="s">
        <v>3591</v>
      </c>
      <c r="P227" s="770">
        <v>1</v>
      </c>
      <c r="Q227" s="769" t="s">
        <v>1814</v>
      </c>
      <c r="R227" s="769" t="s">
        <v>1813</v>
      </c>
      <c r="S227" s="769" t="s">
        <v>3270</v>
      </c>
      <c r="T227" s="769">
        <v>1</v>
      </c>
      <c r="U227" s="769" t="s">
        <v>2218</v>
      </c>
      <c r="V227" s="769">
        <v>1</v>
      </c>
      <c r="W227" s="752" t="s">
        <v>3565</v>
      </c>
      <c r="X227" s="769" t="s">
        <v>3617</v>
      </c>
      <c r="AD227" s="771">
        <v>0.03</v>
      </c>
      <c r="AE227" s="769">
        <v>25000</v>
      </c>
      <c r="AF227" s="769">
        <v>40000</v>
      </c>
    </row>
    <row r="228" spans="1:33" s="769" customFormat="1" ht="13.5" customHeight="1">
      <c r="A228" s="768" t="s">
        <v>3567</v>
      </c>
      <c r="C228" s="770" t="s">
        <v>40</v>
      </c>
      <c r="D228" s="769" t="s">
        <v>623</v>
      </c>
      <c r="E228" s="769" t="s">
        <v>3590</v>
      </c>
      <c r="F228" s="769">
        <v>2497</v>
      </c>
      <c r="G228" s="769">
        <v>2500</v>
      </c>
      <c r="H228" s="769" t="s">
        <v>62</v>
      </c>
      <c r="I228" s="769">
        <v>7</v>
      </c>
      <c r="J228" s="769" t="s">
        <v>3592</v>
      </c>
      <c r="P228" s="770">
        <v>1</v>
      </c>
      <c r="Q228" s="769" t="s">
        <v>1814</v>
      </c>
      <c r="R228" s="769" t="s">
        <v>1813</v>
      </c>
      <c r="S228" s="769" t="s">
        <v>3270</v>
      </c>
      <c r="T228" s="769">
        <v>1</v>
      </c>
      <c r="U228" s="769" t="s">
        <v>2218</v>
      </c>
      <c r="V228" s="769">
        <v>1</v>
      </c>
      <c r="W228" s="752" t="s">
        <v>3565</v>
      </c>
      <c r="X228" s="769" t="s">
        <v>2911</v>
      </c>
      <c r="AD228" s="771">
        <v>0.03</v>
      </c>
      <c r="AE228" s="769">
        <v>25000</v>
      </c>
      <c r="AF228" s="769">
        <v>40000</v>
      </c>
    </row>
    <row r="229" spans="1:33" s="769" customFormat="1" ht="13.5" customHeight="1">
      <c r="A229" s="768" t="s">
        <v>3568</v>
      </c>
      <c r="C229" s="770" t="s">
        <v>40</v>
      </c>
      <c r="D229" s="769" t="s">
        <v>623</v>
      </c>
      <c r="E229" s="769" t="s">
        <v>3590</v>
      </c>
      <c r="F229" s="769">
        <v>2497</v>
      </c>
      <c r="G229" s="769">
        <v>2500</v>
      </c>
      <c r="H229" s="769" t="s">
        <v>62</v>
      </c>
      <c r="I229" s="769">
        <v>7</v>
      </c>
      <c r="J229" s="769" t="s">
        <v>3593</v>
      </c>
      <c r="P229" s="770">
        <v>1</v>
      </c>
      <c r="Q229" s="769" t="s">
        <v>1814</v>
      </c>
      <c r="R229" s="769" t="s">
        <v>1813</v>
      </c>
      <c r="S229" s="769" t="s">
        <v>3270</v>
      </c>
      <c r="T229" s="769">
        <v>1</v>
      </c>
      <c r="U229" s="769" t="s">
        <v>2218</v>
      </c>
      <c r="V229" s="769">
        <v>1</v>
      </c>
      <c r="W229" s="752" t="s">
        <v>3565</v>
      </c>
      <c r="X229" s="769" t="s">
        <v>2911</v>
      </c>
      <c r="AD229" s="771">
        <v>0.03</v>
      </c>
      <c r="AE229" s="769">
        <v>25000</v>
      </c>
      <c r="AF229" s="769">
        <v>40000</v>
      </c>
    </row>
    <row r="230" spans="1:33" s="769" customFormat="1" ht="13.5" customHeight="1">
      <c r="A230" s="768" t="s">
        <v>3569</v>
      </c>
      <c r="C230" s="770" t="s">
        <v>40</v>
      </c>
      <c r="D230" s="769" t="s">
        <v>623</v>
      </c>
      <c r="E230" s="769" t="s">
        <v>3590</v>
      </c>
      <c r="F230" s="769">
        <v>2497</v>
      </c>
      <c r="G230" s="769">
        <v>2500</v>
      </c>
      <c r="H230" s="769" t="s">
        <v>62</v>
      </c>
      <c r="I230" s="769">
        <v>9</v>
      </c>
      <c r="J230" s="769" t="s">
        <v>3594</v>
      </c>
      <c r="P230" s="770">
        <v>0</v>
      </c>
      <c r="Q230" s="769" t="s">
        <v>1814</v>
      </c>
      <c r="R230" s="769" t="s">
        <v>1813</v>
      </c>
      <c r="S230" s="769" t="s">
        <v>3270</v>
      </c>
      <c r="T230" s="769">
        <v>1</v>
      </c>
      <c r="U230" s="769" t="s">
        <v>2218</v>
      </c>
      <c r="V230" s="769">
        <v>1</v>
      </c>
      <c r="W230" s="752" t="s">
        <v>3616</v>
      </c>
      <c r="X230" s="769" t="s">
        <v>2911</v>
      </c>
      <c r="AD230" s="771">
        <v>0.03</v>
      </c>
      <c r="AE230" s="769">
        <v>25000</v>
      </c>
      <c r="AF230" s="769">
        <v>40000</v>
      </c>
    </row>
    <row r="231" spans="1:33" s="769" customFormat="1" ht="13.5" customHeight="1">
      <c r="A231" s="768" t="s">
        <v>3570</v>
      </c>
      <c r="C231" s="770" t="s">
        <v>40</v>
      </c>
      <c r="D231" s="769" t="s">
        <v>623</v>
      </c>
      <c r="E231" s="769" t="s">
        <v>3590</v>
      </c>
      <c r="F231" s="769">
        <v>2497</v>
      </c>
      <c r="G231" s="769">
        <v>2500</v>
      </c>
      <c r="H231" s="769" t="s">
        <v>62</v>
      </c>
      <c r="I231" s="769">
        <v>9</v>
      </c>
      <c r="J231" s="769" t="s">
        <v>3595</v>
      </c>
      <c r="P231" s="770">
        <v>0</v>
      </c>
      <c r="Q231" s="769" t="s">
        <v>1814</v>
      </c>
      <c r="R231" s="769" t="s">
        <v>1813</v>
      </c>
      <c r="S231" s="769" t="s">
        <v>3270</v>
      </c>
      <c r="T231" s="769">
        <v>1</v>
      </c>
      <c r="U231" s="769" t="s">
        <v>2218</v>
      </c>
      <c r="V231" s="769">
        <v>1</v>
      </c>
      <c r="W231" s="752" t="s">
        <v>3616</v>
      </c>
      <c r="X231" s="769" t="s">
        <v>2911</v>
      </c>
      <c r="AD231" s="771">
        <v>0.03</v>
      </c>
      <c r="AE231" s="769">
        <v>25000</v>
      </c>
      <c r="AF231" s="769">
        <v>40000</v>
      </c>
    </row>
    <row r="232" spans="1:33" s="769" customFormat="1" ht="13.5" customHeight="1">
      <c r="A232" s="768" t="s">
        <v>3571</v>
      </c>
      <c r="C232" s="770" t="s">
        <v>40</v>
      </c>
      <c r="D232" s="769" t="s">
        <v>623</v>
      </c>
      <c r="E232" s="769" t="s">
        <v>3590</v>
      </c>
      <c r="F232" s="769">
        <v>2497</v>
      </c>
      <c r="G232" s="769">
        <v>2500</v>
      </c>
      <c r="H232" s="769" t="s">
        <v>62</v>
      </c>
      <c r="I232" s="769">
        <v>9</v>
      </c>
      <c r="J232" s="769" t="s">
        <v>3596</v>
      </c>
      <c r="P232" s="770">
        <v>0</v>
      </c>
      <c r="Q232" s="769" t="s">
        <v>1814</v>
      </c>
      <c r="R232" s="769" t="s">
        <v>1813</v>
      </c>
      <c r="S232" s="769" t="s">
        <v>3270</v>
      </c>
      <c r="T232" s="769">
        <v>1</v>
      </c>
      <c r="U232" s="769" t="s">
        <v>2218</v>
      </c>
      <c r="V232" s="769">
        <v>1</v>
      </c>
      <c r="W232" s="752" t="s">
        <v>3616</v>
      </c>
      <c r="X232" s="769" t="s">
        <v>2911</v>
      </c>
      <c r="AD232" s="771">
        <v>0.03</v>
      </c>
      <c r="AE232" s="769">
        <v>25000</v>
      </c>
      <c r="AF232" s="769">
        <v>40000</v>
      </c>
    </row>
    <row r="233" spans="1:33" s="769" customFormat="1" ht="13.5" customHeight="1">
      <c r="A233" s="768" t="s">
        <v>3572</v>
      </c>
      <c r="C233" s="770" t="s">
        <v>40</v>
      </c>
      <c r="D233" s="769" t="s">
        <v>623</v>
      </c>
      <c r="E233" s="769" t="s">
        <v>3590</v>
      </c>
      <c r="F233" s="769">
        <v>2497</v>
      </c>
      <c r="G233" s="769">
        <v>2500</v>
      </c>
      <c r="H233" s="769" t="s">
        <v>62</v>
      </c>
      <c r="I233" s="769">
        <v>7</v>
      </c>
      <c r="J233" s="769" t="s">
        <v>3597</v>
      </c>
      <c r="P233" s="770">
        <v>1</v>
      </c>
      <c r="Q233" s="769" t="s">
        <v>1814</v>
      </c>
      <c r="R233" s="769" t="s">
        <v>1813</v>
      </c>
      <c r="S233" s="769" t="s">
        <v>3270</v>
      </c>
      <c r="T233" s="769">
        <v>1</v>
      </c>
      <c r="U233" s="769" t="s">
        <v>2218</v>
      </c>
      <c r="V233" s="769">
        <v>1</v>
      </c>
      <c r="W233" s="752" t="s">
        <v>3565</v>
      </c>
      <c r="X233" s="769" t="s">
        <v>2911</v>
      </c>
      <c r="AD233" s="771">
        <v>0.03</v>
      </c>
      <c r="AE233" s="769">
        <v>25000</v>
      </c>
      <c r="AF233" s="769">
        <v>40000</v>
      </c>
    </row>
    <row r="234" spans="1:33" s="769" customFormat="1" ht="13.5" customHeight="1">
      <c r="A234" s="768" t="s">
        <v>3573</v>
      </c>
      <c r="C234" s="770" t="s">
        <v>40</v>
      </c>
      <c r="D234" s="769" t="s">
        <v>623</v>
      </c>
      <c r="E234" s="769" t="s">
        <v>3590</v>
      </c>
      <c r="F234" s="769">
        <v>2497</v>
      </c>
      <c r="G234" s="769">
        <v>2500</v>
      </c>
      <c r="H234" s="769" t="s">
        <v>62</v>
      </c>
      <c r="I234" s="769">
        <v>7</v>
      </c>
      <c r="J234" s="769" t="s">
        <v>3598</v>
      </c>
      <c r="P234" s="770">
        <v>1</v>
      </c>
      <c r="Q234" s="769" t="s">
        <v>1814</v>
      </c>
      <c r="R234" s="769" t="s">
        <v>1813</v>
      </c>
      <c r="S234" s="769" t="s">
        <v>3270</v>
      </c>
      <c r="T234" s="769">
        <v>1</v>
      </c>
      <c r="U234" s="769" t="s">
        <v>1667</v>
      </c>
      <c r="V234" s="769">
        <v>1</v>
      </c>
      <c r="W234" s="752" t="s">
        <v>3565</v>
      </c>
      <c r="X234" s="769" t="s">
        <v>2911</v>
      </c>
      <c r="AD234" s="771">
        <v>0.03</v>
      </c>
      <c r="AE234" s="769">
        <v>25000</v>
      </c>
      <c r="AF234" s="769">
        <v>40000</v>
      </c>
    </row>
    <row r="235" spans="1:33" s="715" customFormat="1" ht="13.5" customHeight="1">
      <c r="A235" s="772" t="s">
        <v>3574</v>
      </c>
      <c r="C235" s="773" t="s">
        <v>40</v>
      </c>
      <c r="D235" s="715" t="s">
        <v>623</v>
      </c>
      <c r="E235" s="715" t="s">
        <v>3590</v>
      </c>
      <c r="F235" s="715">
        <v>2497</v>
      </c>
      <c r="G235" s="715">
        <v>2500</v>
      </c>
      <c r="H235" s="715" t="s">
        <v>3615</v>
      </c>
      <c r="I235" s="715">
        <v>7</v>
      </c>
      <c r="J235" s="715" t="s">
        <v>3599</v>
      </c>
      <c r="P235" s="773">
        <v>1</v>
      </c>
      <c r="Q235" s="715" t="s">
        <v>1814</v>
      </c>
      <c r="R235" s="715" t="s">
        <v>1813</v>
      </c>
      <c r="S235" s="715" t="s">
        <v>3270</v>
      </c>
      <c r="T235" s="715">
        <v>1</v>
      </c>
      <c r="U235" s="715" t="s">
        <v>1667</v>
      </c>
      <c r="V235" s="769">
        <v>1</v>
      </c>
      <c r="W235" s="752" t="s">
        <v>3565</v>
      </c>
      <c r="X235" s="715" t="s">
        <v>2911</v>
      </c>
      <c r="AD235" s="774">
        <v>0.03</v>
      </c>
      <c r="AE235" s="715">
        <v>25000</v>
      </c>
      <c r="AF235" s="715">
        <v>40000</v>
      </c>
    </row>
    <row r="236" spans="1:33" s="769" customFormat="1" ht="13.5" customHeight="1">
      <c r="A236" s="768" t="s">
        <v>3575</v>
      </c>
      <c r="C236" s="770" t="s">
        <v>40</v>
      </c>
      <c r="D236" s="769" t="s">
        <v>623</v>
      </c>
      <c r="E236" s="769" t="s">
        <v>3590</v>
      </c>
      <c r="F236" s="769">
        <v>2497</v>
      </c>
      <c r="G236" s="769">
        <v>2500</v>
      </c>
      <c r="H236" s="769" t="s">
        <v>62</v>
      </c>
      <c r="I236" s="769">
        <v>9</v>
      </c>
      <c r="J236" s="769" t="s">
        <v>3600</v>
      </c>
      <c r="P236" s="770">
        <v>0</v>
      </c>
      <c r="Q236" s="769" t="s">
        <v>1814</v>
      </c>
      <c r="R236" s="769" t="s">
        <v>1813</v>
      </c>
      <c r="S236" s="769" t="s">
        <v>3270</v>
      </c>
      <c r="T236" s="769">
        <v>1</v>
      </c>
      <c r="U236" s="769" t="s">
        <v>1638</v>
      </c>
      <c r="V236" s="769">
        <v>1</v>
      </c>
      <c r="W236" s="752" t="s">
        <v>3616</v>
      </c>
      <c r="X236" s="769" t="s">
        <v>2911</v>
      </c>
      <c r="AD236" s="771">
        <v>0.03</v>
      </c>
      <c r="AE236" s="769">
        <v>25000</v>
      </c>
      <c r="AF236" s="769">
        <v>40000</v>
      </c>
    </row>
    <row r="237" spans="1:33" s="769" customFormat="1" ht="13.5" customHeight="1">
      <c r="A237" s="768" t="s">
        <v>3576</v>
      </c>
      <c r="C237" s="770" t="s">
        <v>40</v>
      </c>
      <c r="D237" s="769" t="s">
        <v>623</v>
      </c>
      <c r="E237" s="769" t="s">
        <v>3590</v>
      </c>
      <c r="F237" s="769">
        <v>2497</v>
      </c>
      <c r="G237" s="769">
        <v>2500</v>
      </c>
      <c r="H237" s="769" t="s">
        <v>62</v>
      </c>
      <c r="I237" s="769">
        <v>9</v>
      </c>
      <c r="J237" s="769" t="s">
        <v>3601</v>
      </c>
      <c r="P237" s="770">
        <v>0</v>
      </c>
      <c r="Q237" s="769" t="s">
        <v>1814</v>
      </c>
      <c r="R237" s="769" t="s">
        <v>1813</v>
      </c>
      <c r="S237" s="769" t="s">
        <v>3270</v>
      </c>
      <c r="T237" s="769">
        <v>1</v>
      </c>
      <c r="U237" s="769" t="s">
        <v>1638</v>
      </c>
      <c r="V237" s="769">
        <v>1</v>
      </c>
      <c r="W237" s="752" t="s">
        <v>3616</v>
      </c>
      <c r="X237" s="769" t="s">
        <v>2911</v>
      </c>
      <c r="AD237" s="771">
        <v>0.03</v>
      </c>
      <c r="AE237" s="769">
        <v>25000</v>
      </c>
      <c r="AF237" s="769">
        <v>40000</v>
      </c>
    </row>
    <row r="238" spans="1:33" s="769" customFormat="1" ht="13.5" customHeight="1">
      <c r="A238" s="768" t="s">
        <v>3577</v>
      </c>
      <c r="C238" s="770" t="s">
        <v>40</v>
      </c>
      <c r="D238" s="769" t="s">
        <v>623</v>
      </c>
      <c r="E238" s="769" t="s">
        <v>3590</v>
      </c>
      <c r="F238" s="769">
        <v>2497</v>
      </c>
      <c r="G238" s="769">
        <v>2500</v>
      </c>
      <c r="H238" s="769" t="s">
        <v>62</v>
      </c>
      <c r="I238" s="769">
        <v>9</v>
      </c>
      <c r="J238" s="769" t="s">
        <v>3602</v>
      </c>
      <c r="P238" s="770">
        <v>0</v>
      </c>
      <c r="Q238" s="769" t="s">
        <v>1814</v>
      </c>
      <c r="R238" s="769" t="s">
        <v>1813</v>
      </c>
      <c r="S238" s="769" t="s">
        <v>3270</v>
      </c>
      <c r="T238" s="769">
        <v>1</v>
      </c>
      <c r="U238" s="769" t="s">
        <v>2218</v>
      </c>
      <c r="V238" s="769">
        <v>1</v>
      </c>
      <c r="W238" s="752" t="s">
        <v>3616</v>
      </c>
      <c r="X238" s="769" t="s">
        <v>2911</v>
      </c>
      <c r="AD238" s="771">
        <v>0.03</v>
      </c>
      <c r="AE238" s="769">
        <v>25000</v>
      </c>
      <c r="AF238" s="769">
        <v>40000</v>
      </c>
    </row>
    <row r="239" spans="1:33" s="713" customFormat="1" ht="13.5" customHeight="1">
      <c r="A239" s="765" t="s">
        <v>3578</v>
      </c>
      <c r="B239" s="769"/>
      <c r="C239" s="766" t="s">
        <v>40</v>
      </c>
      <c r="D239" s="713" t="s">
        <v>623</v>
      </c>
      <c r="E239" s="713" t="s">
        <v>3590</v>
      </c>
      <c r="F239" s="769">
        <v>2497</v>
      </c>
      <c r="G239" s="769">
        <v>2500</v>
      </c>
      <c r="H239" s="713" t="s">
        <v>62</v>
      </c>
      <c r="I239" s="713">
        <v>7</v>
      </c>
      <c r="J239" s="713" t="s">
        <v>3603</v>
      </c>
      <c r="K239" s="769"/>
      <c r="L239" s="769"/>
      <c r="M239" s="769"/>
      <c r="N239" s="769"/>
      <c r="O239" s="769"/>
      <c r="P239" s="766">
        <v>1</v>
      </c>
      <c r="Q239" s="713" t="s">
        <v>1814</v>
      </c>
      <c r="R239" s="769" t="s">
        <v>1813</v>
      </c>
      <c r="S239" s="713" t="s">
        <v>3270</v>
      </c>
      <c r="T239" s="713">
        <v>1</v>
      </c>
      <c r="U239" s="769" t="s">
        <v>2218</v>
      </c>
      <c r="V239" s="778"/>
      <c r="W239" s="752" t="s">
        <v>3555</v>
      </c>
      <c r="X239" s="769" t="s">
        <v>3617</v>
      </c>
      <c r="Y239" s="769"/>
      <c r="Z239" s="769"/>
      <c r="AA239" s="713">
        <v>3</v>
      </c>
      <c r="AB239" s="713">
        <v>5</v>
      </c>
      <c r="AC239" s="713">
        <v>1.1000000000000001</v>
      </c>
      <c r="AD239" s="767">
        <v>0.03</v>
      </c>
      <c r="AE239" s="713">
        <v>22000</v>
      </c>
      <c r="AF239" s="713">
        <v>37000</v>
      </c>
    </row>
    <row r="240" spans="1:33" s="713" customFormat="1" ht="13.5" customHeight="1">
      <c r="A240" s="765" t="s">
        <v>3579</v>
      </c>
      <c r="B240" s="769"/>
      <c r="C240" s="766" t="s">
        <v>40</v>
      </c>
      <c r="D240" s="713" t="s">
        <v>623</v>
      </c>
      <c r="E240" s="713" t="s">
        <v>3590</v>
      </c>
      <c r="F240" s="769">
        <v>2497</v>
      </c>
      <c r="G240" s="769">
        <v>2500</v>
      </c>
      <c r="H240" s="713" t="s">
        <v>62</v>
      </c>
      <c r="I240" s="713">
        <v>7</v>
      </c>
      <c r="J240" s="713" t="s">
        <v>3604</v>
      </c>
      <c r="K240" s="769"/>
      <c r="L240" s="769"/>
      <c r="M240" s="769"/>
      <c r="N240" s="769"/>
      <c r="O240" s="769"/>
      <c r="P240" s="766">
        <v>1</v>
      </c>
      <c r="Q240" s="713" t="s">
        <v>1814</v>
      </c>
      <c r="R240" s="769" t="s">
        <v>1813</v>
      </c>
      <c r="S240" s="713" t="s">
        <v>3270</v>
      </c>
      <c r="T240" s="713">
        <v>1</v>
      </c>
      <c r="U240" s="769" t="s">
        <v>2218</v>
      </c>
      <c r="V240" s="778"/>
      <c r="W240" s="752" t="s">
        <v>3555</v>
      </c>
      <c r="X240" s="769" t="s">
        <v>3617</v>
      </c>
      <c r="Y240" s="769"/>
      <c r="Z240" s="769"/>
      <c r="AA240" s="713">
        <v>3</v>
      </c>
      <c r="AB240" s="713">
        <v>5</v>
      </c>
      <c r="AC240" s="713">
        <v>1.1000000000000001</v>
      </c>
      <c r="AD240" s="767">
        <v>0.03</v>
      </c>
      <c r="AE240" s="713">
        <v>22000</v>
      </c>
      <c r="AF240" s="713">
        <v>37000</v>
      </c>
    </row>
    <row r="241" spans="1:37" s="713" customFormat="1" ht="13.5" customHeight="1">
      <c r="A241" s="765" t="s">
        <v>3580</v>
      </c>
      <c r="B241" s="769"/>
      <c r="C241" s="766" t="s">
        <v>40</v>
      </c>
      <c r="D241" s="713" t="s">
        <v>623</v>
      </c>
      <c r="E241" s="713" t="s">
        <v>3590</v>
      </c>
      <c r="F241" s="769">
        <v>2497</v>
      </c>
      <c r="G241" s="769">
        <v>2500</v>
      </c>
      <c r="H241" s="713" t="s">
        <v>62</v>
      </c>
      <c r="I241" s="713">
        <v>7</v>
      </c>
      <c r="J241" s="713" t="s">
        <v>3605</v>
      </c>
      <c r="K241" s="769"/>
      <c r="L241" s="769"/>
      <c r="M241" s="769"/>
      <c r="N241" s="769"/>
      <c r="O241" s="769"/>
      <c r="P241" s="766">
        <v>1</v>
      </c>
      <c r="Q241" s="713" t="s">
        <v>1814</v>
      </c>
      <c r="R241" s="769" t="s">
        <v>1813</v>
      </c>
      <c r="S241" s="713" t="s">
        <v>3270</v>
      </c>
      <c r="T241" s="713">
        <v>1</v>
      </c>
      <c r="U241" s="769" t="s">
        <v>2218</v>
      </c>
      <c r="V241" s="769">
        <v>1</v>
      </c>
      <c r="W241" s="752" t="s">
        <v>3555</v>
      </c>
      <c r="X241" s="769" t="s">
        <v>3617</v>
      </c>
      <c r="Y241" s="769"/>
      <c r="Z241" s="769"/>
      <c r="AA241" s="713">
        <v>3</v>
      </c>
      <c r="AB241" s="713">
        <v>5</v>
      </c>
      <c r="AD241" s="767">
        <v>0.03</v>
      </c>
      <c r="AE241" s="713">
        <v>22000</v>
      </c>
      <c r="AF241" s="713">
        <v>37000</v>
      </c>
    </row>
    <row r="242" spans="1:37" s="713" customFormat="1" ht="13.5" customHeight="1">
      <c r="A242" s="765" t="s">
        <v>3581</v>
      </c>
      <c r="B242" s="769"/>
      <c r="C242" s="766" t="s">
        <v>40</v>
      </c>
      <c r="D242" s="713" t="s">
        <v>623</v>
      </c>
      <c r="E242" s="713" t="s">
        <v>3590</v>
      </c>
      <c r="F242" s="769">
        <v>2497</v>
      </c>
      <c r="G242" s="769">
        <v>2500</v>
      </c>
      <c r="H242" s="713" t="s">
        <v>62</v>
      </c>
      <c r="I242" s="713">
        <v>9</v>
      </c>
      <c r="J242" s="713" t="s">
        <v>3606</v>
      </c>
      <c r="K242" s="769"/>
      <c r="L242" s="769"/>
      <c r="M242" s="769"/>
      <c r="N242" s="769"/>
      <c r="O242" s="769"/>
      <c r="P242" s="766">
        <v>0</v>
      </c>
      <c r="Q242" s="713" t="s">
        <v>1814</v>
      </c>
      <c r="R242" s="769" t="s">
        <v>1813</v>
      </c>
      <c r="S242" s="713" t="s">
        <v>3270</v>
      </c>
      <c r="T242" s="713">
        <v>1</v>
      </c>
      <c r="U242" s="769" t="s">
        <v>2218</v>
      </c>
      <c r="V242" s="769">
        <v>1</v>
      </c>
      <c r="W242" s="752" t="s">
        <v>3565</v>
      </c>
      <c r="X242" s="769" t="s">
        <v>3617</v>
      </c>
      <c r="Y242" s="769"/>
      <c r="Z242" s="769"/>
      <c r="AA242" s="713">
        <v>4</v>
      </c>
      <c r="AB242" s="713">
        <v>6</v>
      </c>
      <c r="AD242" s="767">
        <v>0.03</v>
      </c>
      <c r="AE242" s="713">
        <v>22000</v>
      </c>
      <c r="AF242" s="713">
        <v>37000</v>
      </c>
    </row>
    <row r="243" spans="1:37" s="713" customFormat="1" ht="13.5" customHeight="1">
      <c r="A243" s="765" t="s">
        <v>3582</v>
      </c>
      <c r="B243" s="769"/>
      <c r="C243" s="766" t="s">
        <v>40</v>
      </c>
      <c r="D243" s="713" t="s">
        <v>623</v>
      </c>
      <c r="E243" s="713" t="s">
        <v>3590</v>
      </c>
      <c r="F243" s="769">
        <v>2497</v>
      </c>
      <c r="G243" s="769">
        <v>2500</v>
      </c>
      <c r="H243" s="713" t="s">
        <v>62</v>
      </c>
      <c r="I243" s="713">
        <v>9</v>
      </c>
      <c r="J243" s="713" t="s">
        <v>3607</v>
      </c>
      <c r="K243" s="769"/>
      <c r="L243" s="769"/>
      <c r="M243" s="769"/>
      <c r="N243" s="769"/>
      <c r="O243" s="769"/>
      <c r="P243" s="766">
        <v>0</v>
      </c>
      <c r="Q243" s="713" t="s">
        <v>1814</v>
      </c>
      <c r="R243" s="769" t="s">
        <v>1813</v>
      </c>
      <c r="S243" s="713" t="s">
        <v>3270</v>
      </c>
      <c r="T243" s="713">
        <v>1</v>
      </c>
      <c r="U243" s="769" t="s">
        <v>2218</v>
      </c>
      <c r="V243" s="769">
        <v>1</v>
      </c>
      <c r="W243" s="752" t="s">
        <v>3565</v>
      </c>
      <c r="X243" s="769" t="s">
        <v>3617</v>
      </c>
      <c r="Y243" s="769"/>
      <c r="Z243" s="769"/>
      <c r="AA243" s="713">
        <v>4</v>
      </c>
      <c r="AB243" s="713">
        <v>6</v>
      </c>
      <c r="AD243" s="767">
        <v>0.03</v>
      </c>
      <c r="AE243" s="713">
        <v>22000</v>
      </c>
      <c r="AF243" s="713">
        <v>37000</v>
      </c>
    </row>
    <row r="244" spans="1:37" s="713" customFormat="1" ht="13.5" customHeight="1">
      <c r="A244" s="765" t="s">
        <v>3583</v>
      </c>
      <c r="B244" s="769"/>
      <c r="C244" s="766" t="s">
        <v>40</v>
      </c>
      <c r="D244" s="713" t="s">
        <v>623</v>
      </c>
      <c r="E244" s="713" t="s">
        <v>3590</v>
      </c>
      <c r="F244" s="769">
        <v>2497</v>
      </c>
      <c r="G244" s="769">
        <v>2500</v>
      </c>
      <c r="H244" s="713" t="s">
        <v>62</v>
      </c>
      <c r="I244" s="713">
        <v>9</v>
      </c>
      <c r="J244" s="713" t="s">
        <v>3608</v>
      </c>
      <c r="K244" s="769"/>
      <c r="L244" s="769"/>
      <c r="M244" s="769"/>
      <c r="N244" s="769"/>
      <c r="O244" s="769"/>
      <c r="P244" s="766">
        <v>0</v>
      </c>
      <c r="Q244" s="713" t="s">
        <v>1814</v>
      </c>
      <c r="R244" s="769" t="s">
        <v>1813</v>
      </c>
      <c r="S244" s="713" t="s">
        <v>3270</v>
      </c>
      <c r="T244" s="713">
        <v>1</v>
      </c>
      <c r="U244" s="769" t="s">
        <v>2218</v>
      </c>
      <c r="V244" s="769">
        <v>1</v>
      </c>
      <c r="W244" s="752" t="s">
        <v>3565</v>
      </c>
      <c r="X244" s="769" t="s">
        <v>3617</v>
      </c>
      <c r="Y244" s="769"/>
      <c r="Z244" s="769"/>
      <c r="AA244" s="713">
        <v>4</v>
      </c>
      <c r="AB244" s="713">
        <v>6</v>
      </c>
      <c r="AD244" s="767">
        <v>0.03</v>
      </c>
      <c r="AE244" s="713">
        <v>22000</v>
      </c>
      <c r="AF244" s="713">
        <v>37000</v>
      </c>
    </row>
    <row r="245" spans="1:37" s="713" customFormat="1" ht="13.5" customHeight="1">
      <c r="A245" s="765" t="s">
        <v>3584</v>
      </c>
      <c r="B245" s="769"/>
      <c r="C245" s="766" t="s">
        <v>40</v>
      </c>
      <c r="D245" s="713" t="s">
        <v>623</v>
      </c>
      <c r="E245" s="713" t="s">
        <v>3590</v>
      </c>
      <c r="F245" s="769">
        <v>2497</v>
      </c>
      <c r="G245" s="769">
        <v>2500</v>
      </c>
      <c r="H245" s="713" t="s">
        <v>62</v>
      </c>
      <c r="I245" s="713">
        <v>7</v>
      </c>
      <c r="J245" s="713" t="s">
        <v>3609</v>
      </c>
      <c r="K245" s="769"/>
      <c r="L245" s="769"/>
      <c r="M245" s="769"/>
      <c r="N245" s="769"/>
      <c r="O245" s="769"/>
      <c r="P245" s="766">
        <v>1</v>
      </c>
      <c r="Q245" s="713" t="s">
        <v>1814</v>
      </c>
      <c r="R245" s="769" t="s">
        <v>1813</v>
      </c>
      <c r="S245" s="713" t="s">
        <v>3270</v>
      </c>
      <c r="T245" s="713">
        <v>1</v>
      </c>
      <c r="U245" s="769" t="s">
        <v>1667</v>
      </c>
      <c r="V245" s="769">
        <v>1</v>
      </c>
      <c r="W245" s="752" t="s">
        <v>3555</v>
      </c>
      <c r="X245" s="769" t="s">
        <v>3617</v>
      </c>
      <c r="Y245" s="769"/>
      <c r="Z245" s="769"/>
      <c r="AA245" s="713">
        <v>6</v>
      </c>
      <c r="AB245" s="713">
        <v>8</v>
      </c>
      <c r="AD245" s="767">
        <v>0.03</v>
      </c>
      <c r="AE245" s="713">
        <v>22000</v>
      </c>
      <c r="AF245" s="713">
        <v>37000</v>
      </c>
    </row>
    <row r="246" spans="1:37" s="713" customFormat="1" ht="13.5" customHeight="1">
      <c r="A246" s="765" t="s">
        <v>3585</v>
      </c>
      <c r="B246" s="769"/>
      <c r="C246" s="766" t="s">
        <v>40</v>
      </c>
      <c r="D246" s="713" t="s">
        <v>623</v>
      </c>
      <c r="E246" s="713" t="s">
        <v>3590</v>
      </c>
      <c r="F246" s="769">
        <v>2497</v>
      </c>
      <c r="G246" s="769">
        <v>2500</v>
      </c>
      <c r="H246" s="713" t="s">
        <v>62</v>
      </c>
      <c r="I246" s="713">
        <v>7</v>
      </c>
      <c r="J246" s="713" t="s">
        <v>3610</v>
      </c>
      <c r="K246" s="769"/>
      <c r="L246" s="769"/>
      <c r="M246" s="769"/>
      <c r="N246" s="769"/>
      <c r="O246" s="769"/>
      <c r="P246" s="766">
        <v>1</v>
      </c>
      <c r="Q246" s="713" t="s">
        <v>1814</v>
      </c>
      <c r="R246" s="769" t="s">
        <v>1813</v>
      </c>
      <c r="S246" s="713" t="s">
        <v>3270</v>
      </c>
      <c r="T246" s="713">
        <v>1</v>
      </c>
      <c r="U246" s="769" t="s">
        <v>1667</v>
      </c>
      <c r="V246" s="769">
        <v>1</v>
      </c>
      <c r="W246" s="752" t="s">
        <v>3555</v>
      </c>
      <c r="X246" s="769" t="s">
        <v>3617</v>
      </c>
      <c r="Y246" s="769"/>
      <c r="Z246" s="769"/>
      <c r="AA246" s="713">
        <v>6</v>
      </c>
      <c r="AB246" s="713">
        <v>8</v>
      </c>
      <c r="AD246" s="767">
        <v>0.03</v>
      </c>
      <c r="AE246" s="713">
        <v>22000</v>
      </c>
      <c r="AF246" s="713">
        <v>37000</v>
      </c>
    </row>
    <row r="247" spans="1:37" s="713" customFormat="1" ht="13.5" customHeight="1">
      <c r="A247" s="765" t="s">
        <v>3586</v>
      </c>
      <c r="B247" s="769"/>
      <c r="C247" s="766" t="s">
        <v>40</v>
      </c>
      <c r="D247" s="713" t="s">
        <v>623</v>
      </c>
      <c r="E247" s="713" t="s">
        <v>3590</v>
      </c>
      <c r="F247" s="769">
        <v>2497</v>
      </c>
      <c r="G247" s="769">
        <v>2500</v>
      </c>
      <c r="H247" s="713" t="s">
        <v>62</v>
      </c>
      <c r="I247" s="713">
        <v>7</v>
      </c>
      <c r="J247" s="713" t="s">
        <v>3611</v>
      </c>
      <c r="K247" s="769"/>
      <c r="L247" s="769"/>
      <c r="M247" s="769"/>
      <c r="N247" s="769"/>
      <c r="O247" s="769"/>
      <c r="P247" s="766">
        <v>1</v>
      </c>
      <c r="Q247" s="713" t="s">
        <v>1814</v>
      </c>
      <c r="R247" s="769" t="s">
        <v>1813</v>
      </c>
      <c r="S247" s="713" t="s">
        <v>3270</v>
      </c>
      <c r="T247" s="713">
        <v>1</v>
      </c>
      <c r="U247" s="769" t="s">
        <v>1638</v>
      </c>
      <c r="V247" s="769">
        <v>1</v>
      </c>
      <c r="W247" s="752" t="s">
        <v>3555</v>
      </c>
      <c r="X247" s="769" t="s">
        <v>3617</v>
      </c>
      <c r="Y247" s="769"/>
      <c r="Z247" s="769"/>
      <c r="AA247" s="713">
        <v>6</v>
      </c>
      <c r="AB247" s="713">
        <v>8</v>
      </c>
      <c r="AD247" s="767">
        <v>0.03</v>
      </c>
      <c r="AE247" s="713">
        <v>22000</v>
      </c>
      <c r="AF247" s="713">
        <v>37000</v>
      </c>
    </row>
    <row r="248" spans="1:37" s="713" customFormat="1" ht="13.5" customHeight="1">
      <c r="A248" s="765" t="s">
        <v>3587</v>
      </c>
      <c r="B248" s="769"/>
      <c r="C248" s="766" t="s">
        <v>40</v>
      </c>
      <c r="D248" s="713" t="s">
        <v>623</v>
      </c>
      <c r="E248" s="713" t="s">
        <v>3590</v>
      </c>
      <c r="F248" s="769">
        <v>2497</v>
      </c>
      <c r="G248" s="769">
        <v>2500</v>
      </c>
      <c r="H248" s="713" t="s">
        <v>62</v>
      </c>
      <c r="I248" s="713">
        <v>9</v>
      </c>
      <c r="J248" s="713" t="s">
        <v>3612</v>
      </c>
      <c r="K248" s="769"/>
      <c r="L248" s="769"/>
      <c r="M248" s="769"/>
      <c r="N248" s="769"/>
      <c r="O248" s="769"/>
      <c r="P248" s="766">
        <v>0</v>
      </c>
      <c r="Q248" s="713" t="s">
        <v>1814</v>
      </c>
      <c r="R248" s="769" t="s">
        <v>1813</v>
      </c>
      <c r="S248" s="713" t="s">
        <v>3270</v>
      </c>
      <c r="T248" s="713">
        <v>1</v>
      </c>
      <c r="U248" s="769" t="s">
        <v>1638</v>
      </c>
      <c r="V248" s="769">
        <v>1</v>
      </c>
      <c r="W248" s="752" t="s">
        <v>3565</v>
      </c>
      <c r="X248" s="769" t="s">
        <v>3617</v>
      </c>
      <c r="Y248" s="769"/>
      <c r="Z248" s="769"/>
      <c r="AA248" s="713">
        <v>6</v>
      </c>
      <c r="AB248" s="713">
        <v>8</v>
      </c>
      <c r="AD248" s="767">
        <v>0.03</v>
      </c>
      <c r="AE248" s="713">
        <v>22000</v>
      </c>
      <c r="AF248" s="713">
        <v>37000</v>
      </c>
    </row>
    <row r="249" spans="1:37" s="713" customFormat="1" ht="13.5" customHeight="1">
      <c r="A249" s="765" t="s">
        <v>3588</v>
      </c>
      <c r="B249" s="769"/>
      <c r="C249" s="766" t="s">
        <v>40</v>
      </c>
      <c r="D249" s="713" t="s">
        <v>623</v>
      </c>
      <c r="E249" s="713" t="s">
        <v>3590</v>
      </c>
      <c r="F249" s="769">
        <v>2497</v>
      </c>
      <c r="G249" s="769">
        <v>2500</v>
      </c>
      <c r="H249" s="713" t="s">
        <v>62</v>
      </c>
      <c r="I249" s="713">
        <v>9</v>
      </c>
      <c r="J249" s="713" t="s">
        <v>3613</v>
      </c>
      <c r="K249" s="769"/>
      <c r="L249" s="769"/>
      <c r="M249" s="769"/>
      <c r="N249" s="769"/>
      <c r="O249" s="769"/>
      <c r="P249" s="766">
        <v>0</v>
      </c>
      <c r="Q249" s="713" t="s">
        <v>1814</v>
      </c>
      <c r="R249" s="769" t="s">
        <v>1813</v>
      </c>
      <c r="S249" s="713" t="s">
        <v>3270</v>
      </c>
      <c r="T249" s="713">
        <v>1</v>
      </c>
      <c r="U249" s="769" t="s">
        <v>2267</v>
      </c>
      <c r="V249" s="769">
        <v>1</v>
      </c>
      <c r="W249" s="752" t="s">
        <v>3565</v>
      </c>
      <c r="X249" s="769" t="s">
        <v>3617</v>
      </c>
      <c r="Y249" s="769"/>
      <c r="Z249" s="769"/>
      <c r="AA249" s="713">
        <v>6</v>
      </c>
      <c r="AB249" s="713">
        <v>8</v>
      </c>
      <c r="AD249" s="767">
        <v>0.03</v>
      </c>
      <c r="AE249" s="713">
        <v>22000</v>
      </c>
      <c r="AF249" s="713">
        <v>37000</v>
      </c>
    </row>
    <row r="250" spans="1:37" s="713" customFormat="1" ht="13.5" customHeight="1">
      <c r="A250" s="765" t="s">
        <v>3589</v>
      </c>
      <c r="B250" s="769"/>
      <c r="C250" s="766" t="s">
        <v>40</v>
      </c>
      <c r="D250" s="713" t="s">
        <v>623</v>
      </c>
      <c r="E250" s="713" t="s">
        <v>3590</v>
      </c>
      <c r="F250" s="769">
        <v>2497</v>
      </c>
      <c r="G250" s="769">
        <v>2500</v>
      </c>
      <c r="H250" s="713" t="s">
        <v>62</v>
      </c>
      <c r="I250" s="713">
        <v>9</v>
      </c>
      <c r="J250" s="713" t="s">
        <v>3614</v>
      </c>
      <c r="K250" s="769"/>
      <c r="L250" s="769"/>
      <c r="M250" s="769"/>
      <c r="N250" s="769"/>
      <c r="O250" s="769"/>
      <c r="P250" s="766">
        <v>0</v>
      </c>
      <c r="Q250" s="713" t="s">
        <v>1814</v>
      </c>
      <c r="R250" s="769" t="s">
        <v>1813</v>
      </c>
      <c r="S250" s="713" t="s">
        <v>3270</v>
      </c>
      <c r="T250" s="713">
        <v>1</v>
      </c>
      <c r="U250" s="769" t="s">
        <v>2267</v>
      </c>
      <c r="V250" s="769">
        <v>1</v>
      </c>
      <c r="W250" s="752" t="s">
        <v>3565</v>
      </c>
      <c r="X250" s="769" t="s">
        <v>3617</v>
      </c>
      <c r="Y250" s="769"/>
      <c r="Z250" s="769"/>
      <c r="AA250" s="713">
        <v>6</v>
      </c>
      <c r="AB250" s="713">
        <v>8</v>
      </c>
      <c r="AD250" s="767">
        <v>0.03</v>
      </c>
      <c r="AE250" s="713">
        <v>22000</v>
      </c>
      <c r="AF250" s="713">
        <v>37000</v>
      </c>
    </row>
    <row r="251" spans="1:37" ht="13.5" customHeight="1">
      <c r="A251" s="182" t="s">
        <v>3482</v>
      </c>
      <c r="C251" s="196" t="s">
        <v>40</v>
      </c>
      <c r="D251" s="33" t="s">
        <v>2627</v>
      </c>
      <c r="E251" s="33" t="s">
        <v>2627</v>
      </c>
      <c r="F251" s="33">
        <v>998</v>
      </c>
      <c r="G251" s="33">
        <v>1000</v>
      </c>
      <c r="H251" s="33" t="s">
        <v>2633</v>
      </c>
      <c r="I251" s="33">
        <v>5</v>
      </c>
      <c r="J251" s="33" t="s">
        <v>2629</v>
      </c>
      <c r="L251" s="33" t="s">
        <v>3429</v>
      </c>
      <c r="P251" s="196">
        <v>0</v>
      </c>
      <c r="Q251" s="31" t="s">
        <v>1743</v>
      </c>
      <c r="R251" s="31" t="s">
        <v>1811</v>
      </c>
      <c r="S251" s="33" t="s">
        <v>2634</v>
      </c>
      <c r="T251" s="33">
        <v>1</v>
      </c>
      <c r="U251" s="33" t="s">
        <v>2635</v>
      </c>
      <c r="V251" s="33">
        <v>12</v>
      </c>
      <c r="W251" s="752" t="s">
        <v>3631</v>
      </c>
      <c r="X251" s="708" t="s">
        <v>3450</v>
      </c>
      <c r="Y251" s="713">
        <v>9</v>
      </c>
      <c r="Z251" s="33">
        <v>13</v>
      </c>
      <c r="AA251" s="33" t="s">
        <v>3540</v>
      </c>
      <c r="AD251" s="504">
        <v>2.5000000000000001E-2</v>
      </c>
      <c r="AE251" s="33">
        <v>11000</v>
      </c>
      <c r="AF251" s="33">
        <v>19000</v>
      </c>
      <c r="AG251" s="33"/>
      <c r="AK251" s="33" t="s">
        <v>2911</v>
      </c>
    </row>
    <row r="252" spans="1:37" ht="13.5" customHeight="1">
      <c r="A252" s="182" t="s">
        <v>3483</v>
      </c>
      <c r="C252" s="196" t="s">
        <v>40</v>
      </c>
      <c r="D252" s="33" t="s">
        <v>2627</v>
      </c>
      <c r="E252" s="33" t="s">
        <v>2627</v>
      </c>
      <c r="F252" s="33">
        <v>998</v>
      </c>
      <c r="G252" s="33">
        <v>1000</v>
      </c>
      <c r="H252" s="33" t="s">
        <v>2633</v>
      </c>
      <c r="I252" s="33">
        <v>5</v>
      </c>
      <c r="J252" s="33" t="s">
        <v>3488</v>
      </c>
      <c r="L252" s="33" t="s">
        <v>3429</v>
      </c>
      <c r="P252" s="196">
        <v>0</v>
      </c>
      <c r="Q252" s="31" t="s">
        <v>1743</v>
      </c>
      <c r="R252" s="31" t="s">
        <v>1811</v>
      </c>
      <c r="S252" s="33" t="s">
        <v>2634</v>
      </c>
      <c r="T252" s="33">
        <v>1</v>
      </c>
      <c r="U252" s="33" t="s">
        <v>2635</v>
      </c>
      <c r="V252" s="33">
        <v>12</v>
      </c>
      <c r="W252" s="752" t="s">
        <v>3631</v>
      </c>
      <c r="X252" s="708" t="s">
        <v>3450</v>
      </c>
      <c r="Y252" s="713">
        <v>9</v>
      </c>
      <c r="Z252" s="33">
        <v>13</v>
      </c>
      <c r="AA252" s="33" t="s">
        <v>3540</v>
      </c>
      <c r="AD252" s="504">
        <v>2.5000000000000001E-2</v>
      </c>
      <c r="AE252" s="33">
        <v>11000</v>
      </c>
      <c r="AF252" s="33">
        <v>19000</v>
      </c>
      <c r="AG252" s="33"/>
      <c r="AK252" s="33" t="s">
        <v>2911</v>
      </c>
    </row>
    <row r="253" spans="1:37" ht="13.5" customHeight="1">
      <c r="A253" s="182" t="s">
        <v>3484</v>
      </c>
      <c r="C253" s="196" t="s">
        <v>40</v>
      </c>
      <c r="D253" s="33" t="s">
        <v>2627</v>
      </c>
      <c r="E253" s="33" t="s">
        <v>2627</v>
      </c>
      <c r="F253" s="33">
        <v>998</v>
      </c>
      <c r="G253" s="33">
        <v>1000</v>
      </c>
      <c r="H253" s="33" t="s">
        <v>2633</v>
      </c>
      <c r="I253" s="33">
        <v>5</v>
      </c>
      <c r="J253" s="33" t="s">
        <v>2630</v>
      </c>
      <c r="L253" s="33" t="s">
        <v>3429</v>
      </c>
      <c r="P253" s="196">
        <v>0</v>
      </c>
      <c r="Q253" s="31" t="s">
        <v>1743</v>
      </c>
      <c r="R253" s="31" t="s">
        <v>1811</v>
      </c>
      <c r="S253" s="33" t="s">
        <v>2634</v>
      </c>
      <c r="T253" s="33">
        <v>1</v>
      </c>
      <c r="U253" s="33" t="s">
        <v>2635</v>
      </c>
      <c r="V253" s="33">
        <v>12</v>
      </c>
      <c r="W253" s="752" t="s">
        <v>3631</v>
      </c>
      <c r="X253" s="708" t="s">
        <v>3450</v>
      </c>
      <c r="Y253" s="713">
        <v>9</v>
      </c>
      <c r="Z253" s="33">
        <v>13</v>
      </c>
      <c r="AA253" s="33" t="s">
        <v>3540</v>
      </c>
      <c r="AD253" s="504">
        <v>2.5000000000000001E-2</v>
      </c>
      <c r="AE253" s="33">
        <v>11000</v>
      </c>
      <c r="AF253" s="33">
        <v>19000</v>
      </c>
      <c r="AG253" s="33"/>
      <c r="AK253" s="33" t="s">
        <v>2911</v>
      </c>
    </row>
    <row r="254" spans="1:37" ht="13.5" customHeight="1">
      <c r="A254" s="182" t="s">
        <v>3485</v>
      </c>
      <c r="C254" s="196" t="s">
        <v>40</v>
      </c>
      <c r="D254" s="33" t="s">
        <v>2627</v>
      </c>
      <c r="E254" s="33" t="s">
        <v>2627</v>
      </c>
      <c r="F254" s="33">
        <v>998</v>
      </c>
      <c r="G254" s="33">
        <v>1000</v>
      </c>
      <c r="H254" s="33" t="s">
        <v>2633</v>
      </c>
      <c r="I254" s="33">
        <v>5</v>
      </c>
      <c r="J254" s="33" t="s">
        <v>2631</v>
      </c>
      <c r="L254" s="33" t="s">
        <v>3429</v>
      </c>
      <c r="P254" s="196">
        <v>0</v>
      </c>
      <c r="Q254" s="31" t="s">
        <v>1743</v>
      </c>
      <c r="R254" s="31" t="s">
        <v>1811</v>
      </c>
      <c r="S254" s="33" t="s">
        <v>2634</v>
      </c>
      <c r="T254" s="33">
        <v>1</v>
      </c>
      <c r="U254" s="33" t="s">
        <v>2635</v>
      </c>
      <c r="V254" s="33">
        <v>12</v>
      </c>
      <c r="W254" s="752" t="s">
        <v>3631</v>
      </c>
      <c r="X254" s="708" t="s">
        <v>3450</v>
      </c>
      <c r="Y254" s="713">
        <v>9</v>
      </c>
      <c r="Z254" s="33">
        <v>13</v>
      </c>
      <c r="AA254" s="33" t="s">
        <v>3540</v>
      </c>
      <c r="AD254" s="504">
        <v>2.5000000000000001E-2</v>
      </c>
      <c r="AE254" s="33">
        <v>11000</v>
      </c>
      <c r="AF254" s="33">
        <v>19000</v>
      </c>
      <c r="AG254" s="33"/>
      <c r="AK254" s="33" t="s">
        <v>2911</v>
      </c>
    </row>
    <row r="255" spans="1:37" ht="13.5" customHeight="1">
      <c r="A255" s="182" t="s">
        <v>3486</v>
      </c>
      <c r="C255" s="196" t="s">
        <v>40</v>
      </c>
      <c r="D255" s="33" t="s">
        <v>2627</v>
      </c>
      <c r="E255" s="33" t="s">
        <v>2627</v>
      </c>
      <c r="F255" s="33">
        <v>998</v>
      </c>
      <c r="G255" s="33">
        <v>1000</v>
      </c>
      <c r="H255" s="33" t="s">
        <v>2633</v>
      </c>
      <c r="I255" s="33">
        <v>5</v>
      </c>
      <c r="J255" s="33" t="s">
        <v>2628</v>
      </c>
      <c r="L255" s="33" t="s">
        <v>3429</v>
      </c>
      <c r="P255" s="196">
        <v>0</v>
      </c>
      <c r="Q255" s="31" t="s">
        <v>1743</v>
      </c>
      <c r="R255" s="31" t="s">
        <v>1811</v>
      </c>
      <c r="S255" s="33" t="s">
        <v>2634</v>
      </c>
      <c r="T255" s="33">
        <v>1</v>
      </c>
      <c r="U255" s="33" t="s">
        <v>2635</v>
      </c>
      <c r="V255" s="33">
        <v>12</v>
      </c>
      <c r="W255" s="752" t="s">
        <v>3631</v>
      </c>
      <c r="X255" s="708" t="s">
        <v>3450</v>
      </c>
      <c r="Y255" s="713">
        <v>9</v>
      </c>
      <c r="Z255" s="33">
        <v>13</v>
      </c>
      <c r="AA255" s="33" t="s">
        <v>3540</v>
      </c>
      <c r="AD255" s="504">
        <v>2.5000000000000001E-2</v>
      </c>
      <c r="AE255" s="33">
        <v>11000</v>
      </c>
      <c r="AF255" s="33">
        <v>19000</v>
      </c>
      <c r="AG255" s="33"/>
      <c r="AK255" s="33" t="s">
        <v>2911</v>
      </c>
    </row>
    <row r="256" spans="1:37" ht="13.5" customHeight="1">
      <c r="A256" s="182" t="s">
        <v>3487</v>
      </c>
      <c r="C256" s="196" t="s">
        <v>40</v>
      </c>
      <c r="D256" s="33" t="s">
        <v>2627</v>
      </c>
      <c r="E256" s="33" t="s">
        <v>2627</v>
      </c>
      <c r="F256" s="33">
        <v>998</v>
      </c>
      <c r="G256" s="33">
        <v>1000</v>
      </c>
      <c r="H256" s="33" t="s">
        <v>2633</v>
      </c>
      <c r="I256" s="33">
        <v>5</v>
      </c>
      <c r="J256" s="33" t="s">
        <v>2632</v>
      </c>
      <c r="L256" s="33" t="s">
        <v>3429</v>
      </c>
      <c r="P256" s="196">
        <v>0</v>
      </c>
      <c r="Q256" s="31" t="s">
        <v>1743</v>
      </c>
      <c r="R256" s="31" t="s">
        <v>1811</v>
      </c>
      <c r="S256" s="33" t="s">
        <v>2634</v>
      </c>
      <c r="T256" s="33">
        <v>1</v>
      </c>
      <c r="U256" s="33" t="s">
        <v>2635</v>
      </c>
      <c r="V256" s="33">
        <v>12</v>
      </c>
      <c r="W256" s="752" t="s">
        <v>3631</v>
      </c>
      <c r="X256" s="708" t="s">
        <v>3450</v>
      </c>
      <c r="Y256" s="713">
        <v>9</v>
      </c>
      <c r="Z256" s="33">
        <v>13</v>
      </c>
      <c r="AA256" s="33" t="s">
        <v>3540</v>
      </c>
      <c r="AD256" s="504">
        <v>2.5000000000000001E-2</v>
      </c>
      <c r="AE256" s="33">
        <v>11000</v>
      </c>
      <c r="AF256" s="33">
        <v>19000</v>
      </c>
      <c r="AG256" s="33"/>
      <c r="AK256" s="33" t="s">
        <v>2911</v>
      </c>
    </row>
    <row r="257" spans="1:33" ht="13.5" customHeight="1">
      <c r="A257" s="182" t="s">
        <v>3525</v>
      </c>
      <c r="C257" s="196" t="s">
        <v>54</v>
      </c>
      <c r="D257" s="33" t="s">
        <v>1635</v>
      </c>
      <c r="E257" s="33" t="s">
        <v>1776</v>
      </c>
      <c r="F257" s="33">
        <v>1598</v>
      </c>
      <c r="G257" s="33">
        <v>1600</v>
      </c>
      <c r="H257" s="33" t="s">
        <v>1628</v>
      </c>
      <c r="I257" s="33">
        <v>5</v>
      </c>
      <c r="J257" s="33" t="s">
        <v>1753</v>
      </c>
      <c r="P257" s="197">
        <v>1</v>
      </c>
      <c r="Q257" s="31" t="s">
        <v>1743</v>
      </c>
      <c r="R257" s="31" t="s">
        <v>1746</v>
      </c>
      <c r="S257" s="31" t="s">
        <v>1745</v>
      </c>
      <c r="T257" s="31">
        <v>1</v>
      </c>
      <c r="U257" s="33" t="s">
        <v>2268</v>
      </c>
      <c r="V257" s="33">
        <v>6</v>
      </c>
      <c r="W257" s="752" t="s">
        <v>3629</v>
      </c>
      <c r="X257" s="33" t="s">
        <v>2916</v>
      </c>
      <c r="Y257" s="713">
        <v>4</v>
      </c>
      <c r="Z257" s="33">
        <v>9</v>
      </c>
      <c r="AA257" s="33">
        <v>8</v>
      </c>
      <c r="AD257" s="504">
        <v>4.4999999999999998E-2</v>
      </c>
      <c r="AE257" s="33">
        <v>22000</v>
      </c>
      <c r="AF257" s="33">
        <v>38000</v>
      </c>
      <c r="AG257" s="33"/>
    </row>
    <row r="258" spans="1:33" ht="13.5" customHeight="1">
      <c r="A258" s="182" t="s">
        <v>1775</v>
      </c>
      <c r="C258" s="196" t="s">
        <v>54</v>
      </c>
      <c r="D258" s="33" t="s">
        <v>1635</v>
      </c>
      <c r="E258" s="33" t="s">
        <v>1776</v>
      </c>
      <c r="F258" s="33">
        <v>1598</v>
      </c>
      <c r="G258" s="33">
        <v>1600</v>
      </c>
      <c r="H258" s="33" t="s">
        <v>1628</v>
      </c>
      <c r="I258" s="33">
        <v>5</v>
      </c>
      <c r="J258" s="33" t="s">
        <v>1777</v>
      </c>
      <c r="P258" s="197">
        <v>1</v>
      </c>
      <c r="Q258" s="31" t="s">
        <v>1743</v>
      </c>
      <c r="R258" s="31" t="s">
        <v>1746</v>
      </c>
      <c r="S258" s="31" t="s">
        <v>1745</v>
      </c>
      <c r="T258" s="31">
        <v>1</v>
      </c>
      <c r="U258" s="33" t="s">
        <v>2268</v>
      </c>
      <c r="V258" s="33">
        <v>6</v>
      </c>
      <c r="W258" s="752" t="s">
        <v>3629</v>
      </c>
      <c r="X258" s="33" t="s">
        <v>2916</v>
      </c>
      <c r="Y258" s="713">
        <v>4</v>
      </c>
      <c r="Z258" s="33">
        <v>9</v>
      </c>
      <c r="AA258" s="33">
        <v>8</v>
      </c>
      <c r="AD258" s="504">
        <v>4.4999999999999998E-2</v>
      </c>
      <c r="AE258" s="33">
        <v>22000</v>
      </c>
      <c r="AF258" s="33">
        <v>38000</v>
      </c>
      <c r="AG258" s="33"/>
    </row>
    <row r="259" spans="1:33" ht="13.5" customHeight="1">
      <c r="A259" s="182" t="s">
        <v>1779</v>
      </c>
      <c r="C259" s="196" t="s">
        <v>54</v>
      </c>
      <c r="D259" s="33" t="s">
        <v>1635</v>
      </c>
      <c r="E259" s="33" t="s">
        <v>1776</v>
      </c>
      <c r="F259" s="33">
        <v>1598</v>
      </c>
      <c r="G259" s="33">
        <v>1600</v>
      </c>
      <c r="H259" s="33" t="s">
        <v>1628</v>
      </c>
      <c r="I259" s="33">
        <v>5</v>
      </c>
      <c r="J259" s="33" t="s">
        <v>1754</v>
      </c>
      <c r="P259" s="197">
        <v>1</v>
      </c>
      <c r="Q259" s="31" t="s">
        <v>1743</v>
      </c>
      <c r="R259" s="31" t="s">
        <v>1746</v>
      </c>
      <c r="S259" s="31" t="s">
        <v>1745</v>
      </c>
      <c r="T259" s="31">
        <v>1</v>
      </c>
      <c r="U259" s="33" t="s">
        <v>2268</v>
      </c>
      <c r="V259" s="33">
        <v>6</v>
      </c>
      <c r="W259" s="752" t="s">
        <v>3629</v>
      </c>
      <c r="X259" s="33" t="s">
        <v>2916</v>
      </c>
      <c r="Y259" s="713">
        <v>4</v>
      </c>
      <c r="Z259" s="33">
        <v>9</v>
      </c>
      <c r="AA259" s="33">
        <v>8</v>
      </c>
      <c r="AD259" s="504">
        <v>4.4999999999999998E-2</v>
      </c>
      <c r="AE259" s="33">
        <v>22000</v>
      </c>
      <c r="AF259" s="33">
        <v>38000</v>
      </c>
      <c r="AG259" s="33"/>
    </row>
    <row r="260" spans="1:33" ht="13.5" customHeight="1">
      <c r="A260" s="182" t="s">
        <v>2561</v>
      </c>
      <c r="C260" s="196" t="s">
        <v>54</v>
      </c>
      <c r="D260" s="33" t="s">
        <v>1635</v>
      </c>
      <c r="E260" s="33" t="s">
        <v>1776</v>
      </c>
      <c r="F260" s="33">
        <v>1598</v>
      </c>
      <c r="G260" s="33">
        <v>1600</v>
      </c>
      <c r="H260" s="33" t="s">
        <v>1628</v>
      </c>
      <c r="I260" s="33">
        <v>5</v>
      </c>
      <c r="J260" s="33" t="s">
        <v>1754</v>
      </c>
      <c r="P260" s="197">
        <v>1</v>
      </c>
      <c r="Q260" s="31" t="s">
        <v>1743</v>
      </c>
      <c r="R260" s="31" t="s">
        <v>1746</v>
      </c>
      <c r="S260" s="31" t="s">
        <v>1745</v>
      </c>
      <c r="T260" s="31">
        <v>1</v>
      </c>
      <c r="U260" s="33" t="s">
        <v>1676</v>
      </c>
      <c r="V260" s="33">
        <v>6</v>
      </c>
      <c r="W260" s="752" t="s">
        <v>3629</v>
      </c>
      <c r="X260" s="33" t="s">
        <v>2916</v>
      </c>
      <c r="Y260" s="713">
        <v>4</v>
      </c>
      <c r="Z260" s="33">
        <v>9</v>
      </c>
      <c r="AA260" s="33">
        <v>8</v>
      </c>
      <c r="AD260" s="504">
        <v>4.4999999999999998E-2</v>
      </c>
      <c r="AE260" s="33">
        <v>22000</v>
      </c>
      <c r="AF260" s="33">
        <v>38000</v>
      </c>
      <c r="AG260" s="33"/>
    </row>
    <row r="261" spans="1:33" ht="13.5" customHeight="1">
      <c r="A261" s="182" t="s">
        <v>1758</v>
      </c>
      <c r="C261" s="196" t="s">
        <v>54</v>
      </c>
      <c r="D261" s="33" t="s">
        <v>1635</v>
      </c>
      <c r="E261" s="33" t="s">
        <v>1635</v>
      </c>
      <c r="F261" s="33">
        <v>2497</v>
      </c>
      <c r="G261" s="33">
        <v>2500</v>
      </c>
      <c r="H261" s="33" t="s">
        <v>62</v>
      </c>
      <c r="I261" s="33">
        <v>5</v>
      </c>
      <c r="J261" s="33" t="s">
        <v>1759</v>
      </c>
      <c r="P261" s="197">
        <v>1</v>
      </c>
      <c r="Q261" s="31" t="s">
        <v>1743</v>
      </c>
      <c r="R261" s="31" t="s">
        <v>1757</v>
      </c>
      <c r="S261" s="31" t="s">
        <v>1745</v>
      </c>
      <c r="T261" s="31">
        <v>1</v>
      </c>
      <c r="U261" s="33" t="s">
        <v>1638</v>
      </c>
      <c r="V261" s="33">
        <v>6</v>
      </c>
      <c r="W261" s="752" t="s">
        <v>3629</v>
      </c>
      <c r="X261" s="33" t="s">
        <v>2916</v>
      </c>
      <c r="Y261" s="713">
        <v>5</v>
      </c>
      <c r="Z261" s="33">
        <v>11</v>
      </c>
      <c r="AA261" s="33">
        <v>8</v>
      </c>
      <c r="AD261" s="504">
        <v>4.4999999999999998E-2</v>
      </c>
      <c r="AE261" s="33">
        <v>22000</v>
      </c>
      <c r="AF261" s="33">
        <v>38000</v>
      </c>
      <c r="AG261" s="33"/>
    </row>
    <row r="262" spans="1:33" ht="13.5" customHeight="1">
      <c r="A262" s="182" t="s">
        <v>1755</v>
      </c>
      <c r="C262" s="196" t="s">
        <v>54</v>
      </c>
      <c r="D262" s="33" t="s">
        <v>1635</v>
      </c>
      <c r="E262" s="33" t="s">
        <v>1635</v>
      </c>
      <c r="F262" s="33">
        <v>2497</v>
      </c>
      <c r="G262" s="33">
        <v>2500</v>
      </c>
      <c r="H262" s="33" t="s">
        <v>62</v>
      </c>
      <c r="I262" s="33">
        <v>5</v>
      </c>
      <c r="J262" s="33" t="s">
        <v>1756</v>
      </c>
      <c r="P262" s="197">
        <v>1</v>
      </c>
      <c r="Q262" s="31" t="s">
        <v>1743</v>
      </c>
      <c r="R262" s="31" t="s">
        <v>1757</v>
      </c>
      <c r="S262" s="31" t="s">
        <v>1745</v>
      </c>
      <c r="T262" s="31">
        <v>1</v>
      </c>
      <c r="U262" s="33" t="s">
        <v>1638</v>
      </c>
      <c r="V262" s="33">
        <v>6</v>
      </c>
      <c r="W262" s="752" t="s">
        <v>3629</v>
      </c>
      <c r="X262" s="33" t="s">
        <v>2916</v>
      </c>
      <c r="Y262" s="713">
        <v>5</v>
      </c>
      <c r="Z262" s="33">
        <v>11</v>
      </c>
      <c r="AA262" s="33">
        <v>8</v>
      </c>
      <c r="AD262" s="504">
        <v>4.4999999999999998E-2</v>
      </c>
      <c r="AE262" s="33">
        <v>22000</v>
      </c>
      <c r="AF262" s="33">
        <v>38000</v>
      </c>
      <c r="AG262" s="33"/>
    </row>
    <row r="263" spans="1:33" ht="13.5" customHeight="1">
      <c r="A263" s="182" t="s">
        <v>1760</v>
      </c>
      <c r="C263" s="196" t="s">
        <v>54</v>
      </c>
      <c r="D263" s="33" t="s">
        <v>1635</v>
      </c>
      <c r="E263" s="33" t="s">
        <v>1635</v>
      </c>
      <c r="F263" s="33">
        <v>2497</v>
      </c>
      <c r="G263" s="33">
        <v>2500</v>
      </c>
      <c r="H263" s="33" t="s">
        <v>62</v>
      </c>
      <c r="I263" s="33">
        <v>5</v>
      </c>
      <c r="J263" s="33" t="s">
        <v>1761</v>
      </c>
      <c r="P263" s="197">
        <v>1</v>
      </c>
      <c r="Q263" s="31" t="s">
        <v>1743</v>
      </c>
      <c r="R263" s="31" t="s">
        <v>1757</v>
      </c>
      <c r="S263" s="31" t="s">
        <v>1745</v>
      </c>
      <c r="T263" s="31">
        <v>1</v>
      </c>
      <c r="U263" s="33" t="s">
        <v>1638</v>
      </c>
      <c r="V263" s="33">
        <v>6</v>
      </c>
      <c r="W263" s="752" t="s">
        <v>3629</v>
      </c>
      <c r="X263" s="33" t="s">
        <v>2916</v>
      </c>
      <c r="Y263" s="713">
        <v>5</v>
      </c>
      <c r="Z263" s="33">
        <v>11</v>
      </c>
      <c r="AA263" s="33">
        <v>8</v>
      </c>
      <c r="AD263" s="504">
        <v>4.4999999999999998E-2</v>
      </c>
      <c r="AE263" s="33">
        <v>22000</v>
      </c>
      <c r="AF263" s="33">
        <v>38000</v>
      </c>
      <c r="AG263" s="33"/>
    </row>
    <row r="264" spans="1:33" ht="13.5" customHeight="1">
      <c r="A264" s="182" t="s">
        <v>2560</v>
      </c>
      <c r="C264" s="196" t="s">
        <v>54</v>
      </c>
      <c r="D264" s="33" t="s">
        <v>1635</v>
      </c>
      <c r="E264" s="33" t="s">
        <v>1635</v>
      </c>
      <c r="F264" s="33">
        <v>2497</v>
      </c>
      <c r="G264" s="33">
        <v>2500</v>
      </c>
      <c r="H264" s="33" t="s">
        <v>62</v>
      </c>
      <c r="I264" s="33">
        <v>5</v>
      </c>
      <c r="J264" s="33" t="s">
        <v>1761</v>
      </c>
      <c r="P264" s="197">
        <v>1</v>
      </c>
      <c r="Q264" s="31" t="s">
        <v>1743</v>
      </c>
      <c r="R264" s="31" t="s">
        <v>1757</v>
      </c>
      <c r="S264" s="31" t="s">
        <v>1745</v>
      </c>
      <c r="T264" s="31">
        <v>1</v>
      </c>
      <c r="U264" s="33" t="s">
        <v>1638</v>
      </c>
      <c r="V264" s="33">
        <v>6</v>
      </c>
      <c r="W264" s="752" t="s">
        <v>3629</v>
      </c>
      <c r="X264" s="33" t="s">
        <v>2916</v>
      </c>
      <c r="Y264" s="713">
        <v>5</v>
      </c>
      <c r="Z264" s="33">
        <v>11</v>
      </c>
      <c r="AA264" s="33">
        <v>8</v>
      </c>
      <c r="AD264" s="504">
        <v>4.4999999999999998E-2</v>
      </c>
      <c r="AE264" s="33">
        <v>22000</v>
      </c>
      <c r="AF264" s="33">
        <v>38000</v>
      </c>
      <c r="AG264" s="33"/>
    </row>
    <row r="265" spans="1:33" ht="13.5" customHeight="1">
      <c r="A265" s="182" t="s">
        <v>1765</v>
      </c>
      <c r="C265" s="196" t="s">
        <v>54</v>
      </c>
      <c r="D265" s="33" t="s">
        <v>1635</v>
      </c>
      <c r="E265" s="33" t="s">
        <v>1635</v>
      </c>
      <c r="F265" s="33">
        <v>3470</v>
      </c>
      <c r="G265" s="33">
        <v>3500</v>
      </c>
      <c r="H265" s="33" t="s">
        <v>62</v>
      </c>
      <c r="I265" s="33">
        <v>5</v>
      </c>
      <c r="J265" s="33" t="s">
        <v>1766</v>
      </c>
      <c r="P265" s="197">
        <v>1</v>
      </c>
      <c r="Q265" s="31" t="s">
        <v>1743</v>
      </c>
      <c r="R265" s="31" t="s">
        <v>1764</v>
      </c>
      <c r="S265" s="31" t="s">
        <v>1745</v>
      </c>
      <c r="T265" s="31">
        <v>1</v>
      </c>
      <c r="U265" s="33" t="s">
        <v>1639</v>
      </c>
      <c r="V265" s="33">
        <v>12</v>
      </c>
      <c r="X265" s="33" t="s">
        <v>2916</v>
      </c>
      <c r="Y265" s="713">
        <v>11</v>
      </c>
      <c r="Z265" s="33">
        <v>11</v>
      </c>
      <c r="AA265" s="33">
        <v>14</v>
      </c>
      <c r="AD265" s="504">
        <v>4.4999999999999998E-2</v>
      </c>
      <c r="AE265" s="33">
        <v>24000</v>
      </c>
      <c r="AF265" s="33">
        <v>42000</v>
      </c>
      <c r="AG265" s="33"/>
    </row>
    <row r="266" spans="1:33" ht="13.5" customHeight="1">
      <c r="A266" s="182" t="s">
        <v>1762</v>
      </c>
      <c r="C266" s="196" t="s">
        <v>54</v>
      </c>
      <c r="D266" s="33" t="s">
        <v>1635</v>
      </c>
      <c r="E266" s="33" t="s">
        <v>1635</v>
      </c>
      <c r="F266" s="33">
        <v>3470</v>
      </c>
      <c r="G266" s="33">
        <v>3500</v>
      </c>
      <c r="H266" s="33" t="s">
        <v>62</v>
      </c>
      <c r="I266" s="33">
        <v>5</v>
      </c>
      <c r="J266" s="33" t="s">
        <v>1763</v>
      </c>
      <c r="P266" s="197">
        <v>1</v>
      </c>
      <c r="Q266" s="31" t="s">
        <v>1743</v>
      </c>
      <c r="R266" s="31" t="s">
        <v>1764</v>
      </c>
      <c r="S266" s="31" t="s">
        <v>1745</v>
      </c>
      <c r="T266" s="31">
        <v>1</v>
      </c>
      <c r="U266" s="33" t="s">
        <v>1639</v>
      </c>
      <c r="V266" s="33">
        <v>12</v>
      </c>
      <c r="X266" s="33" t="s">
        <v>2916</v>
      </c>
      <c r="Y266" s="713">
        <v>11</v>
      </c>
      <c r="Z266" s="33">
        <v>11</v>
      </c>
      <c r="AA266" s="33">
        <v>14</v>
      </c>
      <c r="AD266" s="504">
        <v>4.4999999999999998E-2</v>
      </c>
      <c r="AE266" s="33">
        <v>24000</v>
      </c>
      <c r="AF266" s="33">
        <v>42000</v>
      </c>
      <c r="AG266" s="33"/>
    </row>
    <row r="267" spans="1:33" ht="13.5" customHeight="1">
      <c r="A267" s="182" t="s">
        <v>1767</v>
      </c>
      <c r="C267" s="196" t="s">
        <v>54</v>
      </c>
      <c r="D267" s="33" t="s">
        <v>1635</v>
      </c>
      <c r="E267" s="33" t="s">
        <v>1635</v>
      </c>
      <c r="F267" s="33">
        <v>3470</v>
      </c>
      <c r="G267" s="33">
        <v>3500</v>
      </c>
      <c r="H267" s="33" t="s">
        <v>62</v>
      </c>
      <c r="I267" s="33">
        <v>5</v>
      </c>
      <c r="J267" s="33" t="s">
        <v>1768</v>
      </c>
      <c r="P267" s="197">
        <v>1</v>
      </c>
      <c r="Q267" s="31" t="s">
        <v>1743</v>
      </c>
      <c r="R267" s="31" t="s">
        <v>1764</v>
      </c>
      <c r="S267" s="31" t="s">
        <v>1745</v>
      </c>
      <c r="T267" s="31">
        <v>1</v>
      </c>
      <c r="U267" s="33" t="s">
        <v>1639</v>
      </c>
      <c r="V267" s="33">
        <v>12</v>
      </c>
      <c r="X267" s="33" t="s">
        <v>2916</v>
      </c>
      <c r="Y267" s="713">
        <v>11</v>
      </c>
      <c r="Z267" s="33">
        <v>11</v>
      </c>
      <c r="AA267" s="33">
        <v>14</v>
      </c>
      <c r="AD267" s="504">
        <v>4.4999999999999998E-2</v>
      </c>
      <c r="AE267" s="33">
        <v>24000</v>
      </c>
      <c r="AF267" s="33">
        <v>42000</v>
      </c>
      <c r="AG267" s="33"/>
    </row>
    <row r="268" spans="1:33" ht="13.5" customHeight="1">
      <c r="A268" s="182" t="s">
        <v>1769</v>
      </c>
      <c r="C268" s="196" t="s">
        <v>54</v>
      </c>
      <c r="D268" s="33" t="s">
        <v>1635</v>
      </c>
      <c r="E268" s="33" t="s">
        <v>1635</v>
      </c>
      <c r="F268" s="33">
        <v>3470</v>
      </c>
      <c r="G268" s="33">
        <v>3500</v>
      </c>
      <c r="H268" s="33" t="s">
        <v>62</v>
      </c>
      <c r="I268" s="33">
        <v>5</v>
      </c>
      <c r="J268" s="33" t="s">
        <v>1770</v>
      </c>
      <c r="P268" s="197">
        <v>1</v>
      </c>
      <c r="Q268" s="31" t="s">
        <v>1743</v>
      </c>
      <c r="R268" s="31" t="s">
        <v>1764</v>
      </c>
      <c r="S268" s="31" t="s">
        <v>1745</v>
      </c>
      <c r="T268" s="31">
        <v>1</v>
      </c>
      <c r="U268" s="33" t="s">
        <v>1639</v>
      </c>
      <c r="V268" s="33">
        <v>12</v>
      </c>
      <c r="X268" s="33" t="s">
        <v>2916</v>
      </c>
      <c r="Y268" s="713">
        <v>11</v>
      </c>
      <c r="Z268" s="33">
        <v>11</v>
      </c>
      <c r="AA268" s="33">
        <v>14</v>
      </c>
      <c r="AD268" s="504">
        <v>4.4999999999999998E-2</v>
      </c>
      <c r="AE268" s="33">
        <v>24000</v>
      </c>
      <c r="AF268" s="33">
        <v>42000</v>
      </c>
      <c r="AG268" s="33"/>
    </row>
    <row r="269" spans="1:33" ht="13.5" customHeight="1">
      <c r="A269" s="182" t="s">
        <v>1771</v>
      </c>
      <c r="C269" s="196" t="s">
        <v>54</v>
      </c>
      <c r="D269" s="33" t="s">
        <v>1635</v>
      </c>
      <c r="E269" s="33" t="s">
        <v>1635</v>
      </c>
      <c r="F269" s="33">
        <v>3470</v>
      </c>
      <c r="G269" s="33">
        <v>3500</v>
      </c>
      <c r="H269" s="33" t="s">
        <v>62</v>
      </c>
      <c r="I269" s="33">
        <v>5</v>
      </c>
      <c r="J269" s="33" t="s">
        <v>1772</v>
      </c>
      <c r="P269" s="197">
        <v>1</v>
      </c>
      <c r="Q269" s="31" t="s">
        <v>1743</v>
      </c>
      <c r="R269" s="31" t="s">
        <v>1764</v>
      </c>
      <c r="S269" s="31" t="s">
        <v>1745</v>
      </c>
      <c r="T269" s="31">
        <v>1</v>
      </c>
      <c r="U269" s="33" t="s">
        <v>1639</v>
      </c>
      <c r="V269" s="33">
        <v>12</v>
      </c>
      <c r="X269" s="33" t="s">
        <v>2916</v>
      </c>
      <c r="Y269" s="713">
        <v>11</v>
      </c>
      <c r="Z269" s="33">
        <v>11</v>
      </c>
      <c r="AA269" s="33">
        <v>14</v>
      </c>
      <c r="AD269" s="504">
        <v>4.4999999999999998E-2</v>
      </c>
      <c r="AE269" s="33">
        <v>24000</v>
      </c>
      <c r="AF269" s="33">
        <v>42000</v>
      </c>
      <c r="AG269" s="33"/>
    </row>
    <row r="270" spans="1:33" ht="13.5" customHeight="1">
      <c r="A270" s="182" t="s">
        <v>1773</v>
      </c>
      <c r="C270" s="196" t="s">
        <v>54</v>
      </c>
      <c r="D270" s="33" t="s">
        <v>1635</v>
      </c>
      <c r="E270" s="33" t="s">
        <v>1635</v>
      </c>
      <c r="F270" s="33">
        <v>3470</v>
      </c>
      <c r="G270" s="33">
        <v>3500</v>
      </c>
      <c r="H270" s="33" t="s">
        <v>62</v>
      </c>
      <c r="I270" s="33">
        <v>5</v>
      </c>
      <c r="J270" s="33" t="s">
        <v>1774</v>
      </c>
      <c r="P270" s="197">
        <v>1</v>
      </c>
      <c r="Q270" s="31" t="s">
        <v>1743</v>
      </c>
      <c r="R270" s="31" t="s">
        <v>1764</v>
      </c>
      <c r="S270" s="31" t="s">
        <v>1745</v>
      </c>
      <c r="T270" s="31">
        <v>1</v>
      </c>
      <c r="U270" s="33" t="s">
        <v>1639</v>
      </c>
      <c r="V270" s="33">
        <v>12</v>
      </c>
      <c r="X270" s="33" t="s">
        <v>2916</v>
      </c>
      <c r="Y270" s="713">
        <v>11</v>
      </c>
      <c r="Z270" s="33">
        <v>11</v>
      </c>
      <c r="AA270" s="33">
        <v>14</v>
      </c>
      <c r="AD270" s="504">
        <v>4.4999999999999998E-2</v>
      </c>
      <c r="AE270" s="33">
        <v>24000</v>
      </c>
      <c r="AF270" s="33">
        <v>42000</v>
      </c>
      <c r="AG270" s="33"/>
    </row>
    <row r="271" spans="1:33" ht="13.5" customHeight="1">
      <c r="A271" s="182" t="s">
        <v>3042</v>
      </c>
      <c r="C271" s="196" t="s">
        <v>54</v>
      </c>
      <c r="D271" s="33" t="s">
        <v>1635</v>
      </c>
      <c r="E271" s="33" t="s">
        <v>1635</v>
      </c>
      <c r="F271" s="33">
        <v>3470</v>
      </c>
      <c r="G271" s="33">
        <v>3500</v>
      </c>
      <c r="H271" s="33" t="s">
        <v>3046</v>
      </c>
      <c r="I271" s="33">
        <v>5</v>
      </c>
      <c r="J271" s="33" t="s">
        <v>3044</v>
      </c>
      <c r="P271" s="197">
        <v>1</v>
      </c>
      <c r="Q271" s="31" t="s">
        <v>1743</v>
      </c>
      <c r="R271" s="31" t="s">
        <v>1764</v>
      </c>
      <c r="S271" s="31" t="s">
        <v>3047</v>
      </c>
      <c r="T271" s="31">
        <v>1</v>
      </c>
      <c r="U271" s="33" t="s">
        <v>3048</v>
      </c>
      <c r="V271" s="33">
        <v>10</v>
      </c>
      <c r="W271" s="752" t="s">
        <v>3629</v>
      </c>
      <c r="X271" s="33" t="s">
        <v>2922</v>
      </c>
      <c r="Y271" s="713">
        <v>5</v>
      </c>
      <c r="Z271" s="33">
        <v>10</v>
      </c>
      <c r="AA271" s="33">
        <v>9</v>
      </c>
      <c r="AB271" s="33">
        <v>9</v>
      </c>
      <c r="AD271" s="504">
        <v>4.4999999999999998E-2</v>
      </c>
      <c r="AE271" s="33">
        <v>28000</v>
      </c>
      <c r="AF271" s="33">
        <v>46000</v>
      </c>
      <c r="AG271" s="33"/>
    </row>
    <row r="272" spans="1:33" ht="13.5" customHeight="1">
      <c r="A272" s="182" t="s">
        <v>3043</v>
      </c>
      <c r="C272" s="196" t="s">
        <v>54</v>
      </c>
      <c r="D272" s="33" t="s">
        <v>1635</v>
      </c>
      <c r="E272" s="33" t="s">
        <v>1635</v>
      </c>
      <c r="F272" s="33">
        <v>3470</v>
      </c>
      <c r="G272" s="33">
        <v>3500</v>
      </c>
      <c r="H272" s="33" t="s">
        <v>3046</v>
      </c>
      <c r="I272" s="33">
        <v>5</v>
      </c>
      <c r="J272" s="33" t="s">
        <v>3045</v>
      </c>
      <c r="P272" s="197">
        <v>1</v>
      </c>
      <c r="Q272" s="31" t="s">
        <v>1743</v>
      </c>
      <c r="R272" s="31" t="s">
        <v>1764</v>
      </c>
      <c r="S272" s="31" t="s">
        <v>3047</v>
      </c>
      <c r="T272" s="31">
        <v>1</v>
      </c>
      <c r="U272" s="33" t="s">
        <v>3048</v>
      </c>
      <c r="V272" s="33">
        <v>10</v>
      </c>
      <c r="W272" s="752" t="s">
        <v>3629</v>
      </c>
      <c r="X272" s="33" t="s">
        <v>2922</v>
      </c>
      <c r="Y272" s="713">
        <v>5</v>
      </c>
      <c r="Z272" s="33">
        <v>10</v>
      </c>
      <c r="AA272" s="33">
        <v>9</v>
      </c>
      <c r="AB272" s="33">
        <v>9</v>
      </c>
      <c r="AD272" s="504">
        <v>4.4999999999999998E-2</v>
      </c>
      <c r="AE272" s="33">
        <v>28000</v>
      </c>
      <c r="AF272" s="33">
        <v>46000</v>
      </c>
      <c r="AG272" s="33"/>
    </row>
    <row r="273" spans="1:36" ht="13.5" customHeight="1">
      <c r="A273" s="182" t="s">
        <v>1798</v>
      </c>
      <c r="C273" s="196" t="s">
        <v>54</v>
      </c>
      <c r="D273" s="33" t="s">
        <v>534</v>
      </c>
      <c r="E273" s="33" t="s">
        <v>1781</v>
      </c>
      <c r="F273" s="33">
        <v>3342</v>
      </c>
      <c r="G273" s="33">
        <v>3300</v>
      </c>
      <c r="H273" s="33" t="s">
        <v>62</v>
      </c>
      <c r="I273" s="33">
        <v>5</v>
      </c>
      <c r="J273" s="33" t="s">
        <v>1799</v>
      </c>
      <c r="P273" s="197">
        <v>1</v>
      </c>
      <c r="Q273" s="31" t="s">
        <v>1743</v>
      </c>
      <c r="R273" s="31" t="s">
        <v>1764</v>
      </c>
      <c r="S273" s="31" t="s">
        <v>1783</v>
      </c>
      <c r="T273" s="31">
        <v>1</v>
      </c>
      <c r="U273" s="33" t="s">
        <v>2592</v>
      </c>
      <c r="V273" s="33">
        <v>20</v>
      </c>
      <c r="X273" s="33" t="s">
        <v>2920</v>
      </c>
      <c r="Y273" s="33">
        <v>18</v>
      </c>
      <c r="Z273" s="33">
        <v>14</v>
      </c>
      <c r="AD273" s="504">
        <v>2.5000000000000001E-2</v>
      </c>
      <c r="AE273" s="33">
        <v>34000</v>
      </c>
      <c r="AF273" s="33">
        <v>61000</v>
      </c>
      <c r="AG273" s="33"/>
    </row>
    <row r="274" spans="1:36" ht="13.5" customHeight="1">
      <c r="A274" s="182" t="s">
        <v>1800</v>
      </c>
      <c r="C274" s="196" t="s">
        <v>54</v>
      </c>
      <c r="D274" s="33" t="s">
        <v>534</v>
      </c>
      <c r="E274" s="33" t="s">
        <v>1781</v>
      </c>
      <c r="F274" s="33">
        <v>3342</v>
      </c>
      <c r="G274" s="33">
        <v>3300</v>
      </c>
      <c r="H274" s="33" t="s">
        <v>62</v>
      </c>
      <c r="I274" s="33">
        <v>5</v>
      </c>
      <c r="J274" s="33" t="s">
        <v>1801</v>
      </c>
      <c r="P274" s="197">
        <v>1</v>
      </c>
      <c r="Q274" s="31" t="s">
        <v>1743</v>
      </c>
      <c r="R274" s="31" t="s">
        <v>1764</v>
      </c>
      <c r="S274" s="31" t="s">
        <v>1783</v>
      </c>
      <c r="T274" s="31">
        <v>1</v>
      </c>
      <c r="U274" s="33" t="s">
        <v>2592</v>
      </c>
      <c r="V274" s="33">
        <v>20</v>
      </c>
      <c r="X274" s="33" t="s">
        <v>2920</v>
      </c>
      <c r="Y274" s="33">
        <v>18</v>
      </c>
      <c r="Z274" s="33">
        <v>14</v>
      </c>
      <c r="AD274" s="504">
        <v>2.5000000000000001E-2</v>
      </c>
      <c r="AE274" s="33">
        <v>34000</v>
      </c>
      <c r="AF274" s="33">
        <v>61000</v>
      </c>
      <c r="AG274" s="33"/>
    </row>
    <row r="275" spans="1:36" ht="13.5" customHeight="1">
      <c r="A275" s="182" t="s">
        <v>1794</v>
      </c>
      <c r="C275" s="196" t="s">
        <v>54</v>
      </c>
      <c r="D275" s="33" t="s">
        <v>534</v>
      </c>
      <c r="E275" s="33" t="s">
        <v>1781</v>
      </c>
      <c r="F275" s="33">
        <v>3342</v>
      </c>
      <c r="G275" s="33">
        <v>3300</v>
      </c>
      <c r="H275" s="33" t="s">
        <v>62</v>
      </c>
      <c r="I275" s="33">
        <v>5</v>
      </c>
      <c r="J275" s="33" t="s">
        <v>1795</v>
      </c>
      <c r="P275" s="197">
        <v>1</v>
      </c>
      <c r="Q275" s="31" t="s">
        <v>1743</v>
      </c>
      <c r="R275" s="31" t="s">
        <v>1764</v>
      </c>
      <c r="S275" s="31" t="s">
        <v>1783</v>
      </c>
      <c r="T275" s="31">
        <v>1</v>
      </c>
      <c r="U275" s="33" t="s">
        <v>2592</v>
      </c>
      <c r="V275" s="33">
        <v>20</v>
      </c>
      <c r="X275" s="33" t="s">
        <v>2920</v>
      </c>
      <c r="Y275" s="33">
        <v>18</v>
      </c>
      <c r="Z275" s="33">
        <v>14</v>
      </c>
      <c r="AD275" s="504">
        <v>2.5000000000000001E-2</v>
      </c>
      <c r="AE275" s="33">
        <v>34000</v>
      </c>
      <c r="AF275" s="33">
        <v>61000</v>
      </c>
      <c r="AG275" s="33"/>
    </row>
    <row r="276" spans="1:36" ht="13.5" customHeight="1">
      <c r="A276" s="182" t="s">
        <v>1796</v>
      </c>
      <c r="C276" s="196" t="s">
        <v>54</v>
      </c>
      <c r="D276" s="33" t="s">
        <v>534</v>
      </c>
      <c r="E276" s="33" t="s">
        <v>1781</v>
      </c>
      <c r="F276" s="33">
        <v>3342</v>
      </c>
      <c r="G276" s="33">
        <v>3300</v>
      </c>
      <c r="H276" s="33" t="s">
        <v>62</v>
      </c>
      <c r="I276" s="33">
        <v>5</v>
      </c>
      <c r="J276" s="33" t="s">
        <v>1797</v>
      </c>
      <c r="P276" s="197">
        <v>1</v>
      </c>
      <c r="Q276" s="31" t="s">
        <v>1743</v>
      </c>
      <c r="R276" s="31" t="s">
        <v>1764</v>
      </c>
      <c r="S276" s="31" t="s">
        <v>1783</v>
      </c>
      <c r="T276" s="31">
        <v>1</v>
      </c>
      <c r="U276" s="33" t="s">
        <v>2592</v>
      </c>
      <c r="V276" s="33">
        <v>20</v>
      </c>
      <c r="X276" s="33" t="s">
        <v>2920</v>
      </c>
      <c r="Y276" s="33">
        <v>18</v>
      </c>
      <c r="Z276" s="33">
        <v>14</v>
      </c>
      <c r="AD276" s="504">
        <v>2.5000000000000001E-2</v>
      </c>
      <c r="AE276" s="33">
        <v>34000</v>
      </c>
      <c r="AF276" s="33">
        <v>61000</v>
      </c>
      <c r="AG276" s="33"/>
    </row>
    <row r="277" spans="1:36" ht="13.5" customHeight="1">
      <c r="A277" s="182" t="s">
        <v>1792</v>
      </c>
      <c r="C277" s="196" t="s">
        <v>54</v>
      </c>
      <c r="D277" s="33" t="s">
        <v>534</v>
      </c>
      <c r="E277" s="33" t="s">
        <v>1781</v>
      </c>
      <c r="F277" s="33">
        <v>3342</v>
      </c>
      <c r="G277" s="33">
        <v>3300</v>
      </c>
      <c r="H277" s="33" t="s">
        <v>62</v>
      </c>
      <c r="I277" s="33">
        <v>5</v>
      </c>
      <c r="J277" s="33" t="s">
        <v>1793</v>
      </c>
      <c r="P277" s="197">
        <v>1</v>
      </c>
      <c r="Q277" s="31" t="s">
        <v>1743</v>
      </c>
      <c r="R277" s="31" t="s">
        <v>1764</v>
      </c>
      <c r="S277" s="31" t="s">
        <v>1783</v>
      </c>
      <c r="T277" s="31">
        <v>1</v>
      </c>
      <c r="U277" s="33" t="s">
        <v>2592</v>
      </c>
      <c r="V277" s="33">
        <v>20</v>
      </c>
      <c r="X277" s="33" t="s">
        <v>2920</v>
      </c>
      <c r="Y277" s="33">
        <v>18</v>
      </c>
      <c r="Z277" s="33">
        <v>14</v>
      </c>
      <c r="AD277" s="504">
        <v>2.5000000000000001E-2</v>
      </c>
      <c r="AE277" s="33">
        <v>34000</v>
      </c>
      <c r="AF277" s="33">
        <v>61000</v>
      </c>
      <c r="AG277" s="33"/>
    </row>
    <row r="278" spans="1:36" ht="13.5" customHeight="1">
      <c r="A278" s="182" t="s">
        <v>1788</v>
      </c>
      <c r="C278" s="196" t="s">
        <v>54</v>
      </c>
      <c r="D278" s="33" t="s">
        <v>534</v>
      </c>
      <c r="E278" s="33" t="s">
        <v>1781</v>
      </c>
      <c r="F278" s="33">
        <v>3778</v>
      </c>
      <c r="G278" s="33">
        <v>3800</v>
      </c>
      <c r="H278" s="33" t="s">
        <v>62</v>
      </c>
      <c r="I278" s="33">
        <v>5</v>
      </c>
      <c r="J278" s="33" t="s">
        <v>1789</v>
      </c>
      <c r="P278" s="197">
        <v>1</v>
      </c>
      <c r="Q278" s="31" t="s">
        <v>1743</v>
      </c>
      <c r="R278" s="31" t="s">
        <v>1764</v>
      </c>
      <c r="S278" s="31" t="s">
        <v>1783</v>
      </c>
      <c r="T278" s="31">
        <v>1</v>
      </c>
      <c r="U278" s="33" t="s">
        <v>2592</v>
      </c>
      <c r="V278" s="33">
        <v>20</v>
      </c>
      <c r="X278" s="33" t="s">
        <v>2920</v>
      </c>
      <c r="Y278" s="33">
        <v>18</v>
      </c>
      <c r="Z278" s="33">
        <v>14</v>
      </c>
      <c r="AD278" s="504">
        <v>2.5000000000000001E-2</v>
      </c>
      <c r="AE278" s="33">
        <v>33000</v>
      </c>
      <c r="AF278" s="33">
        <v>58000</v>
      </c>
      <c r="AG278" s="33"/>
    </row>
    <row r="279" spans="1:36" ht="13.5" customHeight="1">
      <c r="A279" s="182" t="s">
        <v>1790</v>
      </c>
      <c r="C279" s="196" t="s">
        <v>54</v>
      </c>
      <c r="D279" s="33" t="s">
        <v>534</v>
      </c>
      <c r="E279" s="33" t="s">
        <v>1781</v>
      </c>
      <c r="F279" s="33">
        <v>3778</v>
      </c>
      <c r="G279" s="33">
        <v>3800</v>
      </c>
      <c r="H279" s="33" t="s">
        <v>62</v>
      </c>
      <c r="I279" s="33">
        <v>5</v>
      </c>
      <c r="J279" s="33" t="s">
        <v>1791</v>
      </c>
      <c r="P279" s="197">
        <v>1</v>
      </c>
      <c r="Q279" s="31" t="s">
        <v>1743</v>
      </c>
      <c r="R279" s="31" t="s">
        <v>1764</v>
      </c>
      <c r="S279" s="31" t="s">
        <v>1783</v>
      </c>
      <c r="T279" s="31">
        <v>1</v>
      </c>
      <c r="U279" s="33" t="s">
        <v>2592</v>
      </c>
      <c r="V279" s="33">
        <v>20</v>
      </c>
      <c r="X279" s="33" t="s">
        <v>2920</v>
      </c>
      <c r="Y279" s="33">
        <v>18</v>
      </c>
      <c r="Z279" s="33">
        <v>14</v>
      </c>
      <c r="AD279" s="504">
        <v>2.5000000000000001E-2</v>
      </c>
      <c r="AE279" s="33">
        <v>33000</v>
      </c>
      <c r="AF279" s="33">
        <v>58000</v>
      </c>
      <c r="AG279" s="33"/>
    </row>
    <row r="280" spans="1:36" ht="13.5" customHeight="1">
      <c r="A280" s="182" t="s">
        <v>1784</v>
      </c>
      <c r="C280" s="196" t="s">
        <v>54</v>
      </c>
      <c r="D280" s="33" t="s">
        <v>534</v>
      </c>
      <c r="E280" s="33" t="s">
        <v>1781</v>
      </c>
      <c r="F280" s="33">
        <v>3778</v>
      </c>
      <c r="G280" s="33">
        <v>3800</v>
      </c>
      <c r="H280" s="33" t="s">
        <v>62</v>
      </c>
      <c r="I280" s="33">
        <v>5</v>
      </c>
      <c r="J280" s="33" t="s">
        <v>1785</v>
      </c>
      <c r="P280" s="197">
        <v>1</v>
      </c>
      <c r="Q280" s="31" t="s">
        <v>1743</v>
      </c>
      <c r="R280" s="31" t="s">
        <v>1764</v>
      </c>
      <c r="S280" s="31" t="s">
        <v>1783</v>
      </c>
      <c r="T280" s="31">
        <v>1</v>
      </c>
      <c r="U280" s="33" t="s">
        <v>2592</v>
      </c>
      <c r="V280" s="33">
        <v>20</v>
      </c>
      <c r="X280" s="33" t="s">
        <v>2920</v>
      </c>
      <c r="Y280" s="33">
        <v>18</v>
      </c>
      <c r="Z280" s="33">
        <v>14</v>
      </c>
      <c r="AD280" s="504">
        <v>2.5000000000000001E-2</v>
      </c>
      <c r="AE280" s="33">
        <v>33000</v>
      </c>
      <c r="AF280" s="33">
        <v>58000</v>
      </c>
      <c r="AG280" s="33"/>
    </row>
    <row r="281" spans="1:36" ht="13.5" customHeight="1">
      <c r="A281" s="182" t="s">
        <v>1786</v>
      </c>
      <c r="C281" s="196" t="s">
        <v>54</v>
      </c>
      <c r="D281" s="33" t="s">
        <v>534</v>
      </c>
      <c r="E281" s="33" t="s">
        <v>1781</v>
      </c>
      <c r="F281" s="33">
        <v>3778</v>
      </c>
      <c r="G281" s="33">
        <v>3800</v>
      </c>
      <c r="H281" s="33" t="s">
        <v>62</v>
      </c>
      <c r="I281" s="33">
        <v>5</v>
      </c>
      <c r="J281" s="33" t="s">
        <v>1787</v>
      </c>
      <c r="P281" s="197">
        <v>1</v>
      </c>
      <c r="Q281" s="31" t="s">
        <v>1743</v>
      </c>
      <c r="R281" s="31" t="s">
        <v>1764</v>
      </c>
      <c r="S281" s="31" t="s">
        <v>1783</v>
      </c>
      <c r="T281" s="31">
        <v>1</v>
      </c>
      <c r="U281" s="33" t="s">
        <v>2592</v>
      </c>
      <c r="V281" s="33">
        <v>20</v>
      </c>
      <c r="X281" s="33" t="s">
        <v>2920</v>
      </c>
      <c r="Y281" s="33">
        <v>18</v>
      </c>
      <c r="Z281" s="33">
        <v>14</v>
      </c>
      <c r="AD281" s="504">
        <v>2.5000000000000001E-2</v>
      </c>
      <c r="AE281" s="33">
        <v>33000</v>
      </c>
      <c r="AF281" s="33">
        <v>58000</v>
      </c>
      <c r="AG281" s="33"/>
    </row>
    <row r="282" spans="1:36" ht="13.5" customHeight="1">
      <c r="A282" s="182" t="s">
        <v>1780</v>
      </c>
      <c r="C282" s="196" t="s">
        <v>54</v>
      </c>
      <c r="D282" s="33" t="s">
        <v>534</v>
      </c>
      <c r="E282" s="33" t="s">
        <v>1781</v>
      </c>
      <c r="F282" s="33">
        <v>3778</v>
      </c>
      <c r="G282" s="33">
        <v>3800</v>
      </c>
      <c r="H282" s="33" t="s">
        <v>62</v>
      </c>
      <c r="I282" s="33">
        <v>5</v>
      </c>
      <c r="J282" s="33" t="s">
        <v>1782</v>
      </c>
      <c r="P282" s="197">
        <v>1</v>
      </c>
      <c r="Q282" s="31" t="s">
        <v>1743</v>
      </c>
      <c r="R282" s="31" t="s">
        <v>1764</v>
      </c>
      <c r="S282" s="31" t="s">
        <v>1783</v>
      </c>
      <c r="T282" s="31">
        <v>1</v>
      </c>
      <c r="U282" s="33" t="s">
        <v>2592</v>
      </c>
      <c r="V282" s="33">
        <v>20</v>
      </c>
      <c r="X282" s="33" t="s">
        <v>2920</v>
      </c>
      <c r="Y282" s="33">
        <v>18</v>
      </c>
      <c r="Z282" s="33">
        <v>14</v>
      </c>
      <c r="AD282" s="504">
        <v>2.5000000000000001E-2</v>
      </c>
      <c r="AE282" s="33">
        <v>33000</v>
      </c>
      <c r="AF282" s="33">
        <v>58000</v>
      </c>
      <c r="AG282" s="33"/>
    </row>
    <row r="283" spans="1:36" ht="13.5" customHeight="1">
      <c r="A283" s="182" t="s">
        <v>1808</v>
      </c>
      <c r="C283" s="196" t="s">
        <v>54</v>
      </c>
      <c r="D283" s="33" t="s">
        <v>1106</v>
      </c>
      <c r="E283" s="33" t="s">
        <v>1803</v>
      </c>
      <c r="F283" s="33">
        <v>1580</v>
      </c>
      <c r="G283" s="33">
        <v>1600</v>
      </c>
      <c r="H283" s="33" t="s">
        <v>1628</v>
      </c>
      <c r="I283" s="33">
        <v>5</v>
      </c>
      <c r="J283" s="33" t="s">
        <v>1809</v>
      </c>
      <c r="P283" s="197">
        <v>1</v>
      </c>
      <c r="Q283" s="31" t="s">
        <v>1743</v>
      </c>
      <c r="R283" s="31" t="s">
        <v>1805</v>
      </c>
      <c r="S283" s="31" t="s">
        <v>1745</v>
      </c>
      <c r="T283" s="31">
        <v>1</v>
      </c>
      <c r="U283" s="33" t="s">
        <v>2591</v>
      </c>
      <c r="V283" s="33">
        <v>10</v>
      </c>
      <c r="W283" s="752" t="s">
        <v>3623</v>
      </c>
      <c r="X283" s="33" t="s">
        <v>2915</v>
      </c>
      <c r="Y283" s="33">
        <v>3</v>
      </c>
      <c r="Z283" s="33">
        <v>5</v>
      </c>
      <c r="AA283" s="33">
        <v>4</v>
      </c>
      <c r="AD283" s="504">
        <v>0.03</v>
      </c>
      <c r="AE283" s="33">
        <v>25000</v>
      </c>
      <c r="AF283" s="33">
        <v>41000</v>
      </c>
      <c r="AG283" s="33"/>
    </row>
    <row r="284" spans="1:36" ht="13.5" customHeight="1">
      <c r="A284" s="182" t="s">
        <v>1802</v>
      </c>
      <c r="C284" s="196" t="s">
        <v>54</v>
      </c>
      <c r="D284" s="33" t="s">
        <v>1106</v>
      </c>
      <c r="E284" s="33" t="s">
        <v>1803</v>
      </c>
      <c r="F284" s="33">
        <v>1580</v>
      </c>
      <c r="G284" s="33">
        <v>1600</v>
      </c>
      <c r="H284" s="33" t="s">
        <v>1628</v>
      </c>
      <c r="I284" s="33">
        <v>5</v>
      </c>
      <c r="J284" s="33" t="s">
        <v>1804</v>
      </c>
      <c r="P284" s="197">
        <v>1</v>
      </c>
      <c r="Q284" s="31" t="s">
        <v>1743</v>
      </c>
      <c r="R284" s="31" t="s">
        <v>1805</v>
      </c>
      <c r="S284" s="31" t="s">
        <v>1745</v>
      </c>
      <c r="T284" s="31">
        <v>1</v>
      </c>
      <c r="U284" s="33" t="s">
        <v>2591</v>
      </c>
      <c r="V284" s="33">
        <v>10</v>
      </c>
      <c r="W284" s="752" t="s">
        <v>3623</v>
      </c>
      <c r="X284" s="33" t="s">
        <v>2915</v>
      </c>
      <c r="Y284" s="33">
        <v>3</v>
      </c>
      <c r="Z284" s="33">
        <v>5</v>
      </c>
      <c r="AA284" s="33">
        <v>4</v>
      </c>
      <c r="AD284" s="504">
        <v>0.03</v>
      </c>
      <c r="AE284" s="33">
        <v>25000</v>
      </c>
      <c r="AF284" s="33">
        <v>41000</v>
      </c>
      <c r="AG284" s="33"/>
    </row>
    <row r="285" spans="1:36" ht="13.5" customHeight="1">
      <c r="A285" s="182" t="s">
        <v>1806</v>
      </c>
      <c r="C285" s="196" t="s">
        <v>54</v>
      </c>
      <c r="D285" s="33" t="s">
        <v>1106</v>
      </c>
      <c r="E285" s="33" t="s">
        <v>1803</v>
      </c>
      <c r="F285" s="33">
        <v>1580</v>
      </c>
      <c r="G285" s="33">
        <v>1600</v>
      </c>
      <c r="H285" s="33" t="s">
        <v>1628</v>
      </c>
      <c r="I285" s="33">
        <v>5</v>
      </c>
      <c r="J285" s="33" t="s">
        <v>1807</v>
      </c>
      <c r="P285" s="197">
        <v>1</v>
      </c>
      <c r="Q285" s="31" t="s">
        <v>1743</v>
      </c>
      <c r="R285" s="31" t="s">
        <v>1805</v>
      </c>
      <c r="S285" s="31" t="s">
        <v>1745</v>
      </c>
      <c r="T285" s="31">
        <v>1</v>
      </c>
      <c r="U285" s="33" t="s">
        <v>2591</v>
      </c>
      <c r="V285" s="33">
        <v>10</v>
      </c>
      <c r="W285" s="752" t="s">
        <v>3623</v>
      </c>
      <c r="X285" s="33" t="s">
        <v>2915</v>
      </c>
      <c r="Y285" s="33">
        <v>3</v>
      </c>
      <c r="Z285" s="33">
        <v>5</v>
      </c>
      <c r="AA285" s="33">
        <v>4</v>
      </c>
      <c r="AD285" s="504">
        <v>0.03</v>
      </c>
      <c r="AE285" s="33">
        <v>25000</v>
      </c>
      <c r="AF285" s="33">
        <v>41000</v>
      </c>
      <c r="AG285" s="33"/>
    </row>
    <row r="286" spans="1:36" ht="13.5" customHeight="1">
      <c r="A286" s="182" t="s">
        <v>2636</v>
      </c>
      <c r="C286" s="196" t="s">
        <v>54</v>
      </c>
      <c r="D286" s="33" t="s">
        <v>168</v>
      </c>
      <c r="E286" s="33" t="s">
        <v>1810</v>
      </c>
      <c r="F286" s="33">
        <v>998</v>
      </c>
      <c r="G286" s="33">
        <v>1000</v>
      </c>
      <c r="H286" s="33" t="s">
        <v>62</v>
      </c>
      <c r="I286" s="33">
        <v>5</v>
      </c>
      <c r="J286" s="33" t="s">
        <v>3167</v>
      </c>
      <c r="L286" s="33" t="s">
        <v>3429</v>
      </c>
      <c r="P286" s="197">
        <v>0</v>
      </c>
      <c r="Q286" s="31" t="s">
        <v>1743</v>
      </c>
      <c r="R286" s="31" t="s">
        <v>1811</v>
      </c>
      <c r="S286" s="31" t="s">
        <v>1812</v>
      </c>
      <c r="T286" s="31">
        <v>1</v>
      </c>
      <c r="U286" s="33" t="s">
        <v>1670</v>
      </c>
      <c r="V286" s="33">
        <v>16</v>
      </c>
      <c r="W286" s="752" t="s">
        <v>3624</v>
      </c>
      <c r="X286" s="33" t="s">
        <v>2912</v>
      </c>
      <c r="Y286" s="713">
        <v>8</v>
      </c>
      <c r="Z286" s="33">
        <v>11</v>
      </c>
      <c r="AA286" s="33">
        <v>8</v>
      </c>
      <c r="AB286" s="33">
        <v>9</v>
      </c>
      <c r="AD286" s="504">
        <v>0.03</v>
      </c>
      <c r="AE286" s="33">
        <v>11000</v>
      </c>
      <c r="AF286" s="33">
        <v>19000</v>
      </c>
      <c r="AG286" s="33"/>
      <c r="AJ286" s="33" t="s">
        <v>3319</v>
      </c>
    </row>
    <row r="287" spans="1:36" ht="13.5" customHeight="1">
      <c r="A287" s="182" t="s">
        <v>3157</v>
      </c>
      <c r="C287" s="196" t="s">
        <v>54</v>
      </c>
      <c r="D287" s="33" t="s">
        <v>168</v>
      </c>
      <c r="E287" s="33" t="s">
        <v>1810</v>
      </c>
      <c r="F287" s="33">
        <v>998</v>
      </c>
      <c r="G287" s="33">
        <v>1000</v>
      </c>
      <c r="H287" s="33" t="s">
        <v>62</v>
      </c>
      <c r="I287" s="33">
        <v>5</v>
      </c>
      <c r="J287" s="33" t="s">
        <v>3168</v>
      </c>
      <c r="L287" s="33" t="s">
        <v>3429</v>
      </c>
      <c r="P287" s="197">
        <v>0</v>
      </c>
      <c r="Q287" s="31" t="s">
        <v>1743</v>
      </c>
      <c r="R287" s="31" t="s">
        <v>1811</v>
      </c>
      <c r="S287" s="31" t="s">
        <v>1812</v>
      </c>
      <c r="T287" s="31">
        <v>1</v>
      </c>
      <c r="U287" s="33" t="s">
        <v>1670</v>
      </c>
      <c r="V287" s="33">
        <v>16</v>
      </c>
      <c r="W287" s="752" t="s">
        <v>3624</v>
      </c>
      <c r="X287" s="33" t="s">
        <v>2912</v>
      </c>
      <c r="Y287" s="713">
        <v>8</v>
      </c>
      <c r="Z287" s="33">
        <v>11</v>
      </c>
      <c r="AA287" s="33">
        <v>8</v>
      </c>
      <c r="AB287" s="33">
        <v>9</v>
      </c>
      <c r="AD287" s="504">
        <v>0.03</v>
      </c>
      <c r="AE287" s="33">
        <v>11000</v>
      </c>
      <c r="AF287" s="33">
        <v>19000</v>
      </c>
      <c r="AG287" s="33"/>
      <c r="AJ287" s="33" t="s">
        <v>3319</v>
      </c>
    </row>
    <row r="288" spans="1:36" ht="13.5" customHeight="1">
      <c r="A288" s="182" t="s">
        <v>3158</v>
      </c>
      <c r="C288" s="196" t="s">
        <v>54</v>
      </c>
      <c r="D288" s="33" t="s">
        <v>168</v>
      </c>
      <c r="E288" s="33" t="s">
        <v>1810</v>
      </c>
      <c r="F288" s="33">
        <v>998</v>
      </c>
      <c r="G288" s="33">
        <v>1000</v>
      </c>
      <c r="H288" s="33" t="s">
        <v>62</v>
      </c>
      <c r="I288" s="33">
        <v>5</v>
      </c>
      <c r="J288" s="33" t="s">
        <v>3169</v>
      </c>
      <c r="L288" s="33" t="s">
        <v>3429</v>
      </c>
      <c r="P288" s="197">
        <v>0</v>
      </c>
      <c r="Q288" s="31" t="s">
        <v>1743</v>
      </c>
      <c r="R288" s="31" t="s">
        <v>1811</v>
      </c>
      <c r="S288" s="31" t="s">
        <v>1812</v>
      </c>
      <c r="T288" s="31">
        <v>1</v>
      </c>
      <c r="U288" s="33" t="s">
        <v>1670</v>
      </c>
      <c r="V288" s="33">
        <v>16</v>
      </c>
      <c r="W288" s="752" t="s">
        <v>3624</v>
      </c>
      <c r="X288" s="33" t="s">
        <v>2912</v>
      </c>
      <c r="Y288" s="713">
        <v>8</v>
      </c>
      <c r="Z288" s="33">
        <v>11</v>
      </c>
      <c r="AA288" s="33">
        <v>8</v>
      </c>
      <c r="AB288" s="33">
        <v>9</v>
      </c>
      <c r="AD288" s="504">
        <v>0.03</v>
      </c>
      <c r="AE288" s="33">
        <v>11000</v>
      </c>
      <c r="AF288" s="33">
        <v>19000</v>
      </c>
      <c r="AG288" s="33"/>
      <c r="AJ288" s="33" t="s">
        <v>3319</v>
      </c>
    </row>
    <row r="289" spans="1:37" ht="13.5" customHeight="1">
      <c r="A289" s="182" t="s">
        <v>3159</v>
      </c>
      <c r="C289" s="196" t="s">
        <v>54</v>
      </c>
      <c r="D289" s="33" t="s">
        <v>168</v>
      </c>
      <c r="E289" s="33" t="s">
        <v>1810</v>
      </c>
      <c r="F289" s="33">
        <v>998</v>
      </c>
      <c r="G289" s="33">
        <v>1000</v>
      </c>
      <c r="H289" s="33" t="s">
        <v>62</v>
      </c>
      <c r="I289" s="33">
        <v>5</v>
      </c>
      <c r="J289" s="33" t="s">
        <v>3170</v>
      </c>
      <c r="L289" s="33" t="s">
        <v>3429</v>
      </c>
      <c r="P289" s="197">
        <v>0</v>
      </c>
      <c r="Q289" s="31" t="s">
        <v>1743</v>
      </c>
      <c r="R289" s="31" t="s">
        <v>1811</v>
      </c>
      <c r="S289" s="31" t="s">
        <v>1812</v>
      </c>
      <c r="T289" s="31">
        <v>1</v>
      </c>
      <c r="U289" s="33" t="s">
        <v>1670</v>
      </c>
      <c r="V289" s="33">
        <v>16</v>
      </c>
      <c r="W289" s="752" t="s">
        <v>3624</v>
      </c>
      <c r="X289" s="33" t="s">
        <v>2912</v>
      </c>
      <c r="Y289" s="713">
        <v>8</v>
      </c>
      <c r="Z289" s="33">
        <v>11</v>
      </c>
      <c r="AA289" s="33">
        <v>8</v>
      </c>
      <c r="AB289" s="33">
        <v>9</v>
      </c>
      <c r="AD289" s="504">
        <v>0.03</v>
      </c>
      <c r="AE289" s="33">
        <v>11000</v>
      </c>
      <c r="AF289" s="33">
        <v>19000</v>
      </c>
      <c r="AG289" s="33"/>
      <c r="AJ289" s="33" t="s">
        <v>3319</v>
      </c>
    </row>
    <row r="290" spans="1:37" ht="13.5" customHeight="1">
      <c r="A290" s="182" t="s">
        <v>3499</v>
      </c>
      <c r="C290" s="196" t="s">
        <v>54</v>
      </c>
      <c r="D290" s="33" t="s">
        <v>1060</v>
      </c>
      <c r="E290" s="33" t="s">
        <v>1840</v>
      </c>
      <c r="F290" s="33">
        <v>1598</v>
      </c>
      <c r="G290" s="33">
        <v>1600</v>
      </c>
      <c r="H290" s="33" t="s">
        <v>62</v>
      </c>
      <c r="I290" s="33">
        <v>5</v>
      </c>
      <c r="J290" s="33" t="s">
        <v>1819</v>
      </c>
      <c r="P290" s="197">
        <v>1</v>
      </c>
      <c r="Q290" s="31" t="s">
        <v>1743</v>
      </c>
      <c r="R290" s="31" t="s">
        <v>1805</v>
      </c>
      <c r="S290" s="31" t="s">
        <v>1817</v>
      </c>
      <c r="T290" s="31">
        <v>1</v>
      </c>
      <c r="U290" s="33" t="s">
        <v>1667</v>
      </c>
      <c r="V290" s="33">
        <v>3</v>
      </c>
      <c r="W290" s="752" t="s">
        <v>3561</v>
      </c>
      <c r="X290" s="708" t="s">
        <v>3446</v>
      </c>
      <c r="Y290" s="713" t="s">
        <v>3478</v>
      </c>
      <c r="Z290" s="33">
        <v>6</v>
      </c>
      <c r="AA290" s="33" t="s">
        <v>3351</v>
      </c>
      <c r="AB290" s="33">
        <v>2</v>
      </c>
      <c r="AD290" s="504">
        <v>0.03</v>
      </c>
      <c r="AE290" s="33">
        <v>16000</v>
      </c>
      <c r="AF290" s="33">
        <v>30000</v>
      </c>
      <c r="AG290" s="33"/>
      <c r="AK290" s="33" t="s">
        <v>2907</v>
      </c>
    </row>
    <row r="291" spans="1:37" ht="13.5" customHeight="1">
      <c r="A291" s="182" t="s">
        <v>3500</v>
      </c>
      <c r="C291" s="196" t="s">
        <v>54</v>
      </c>
      <c r="D291" s="33" t="s">
        <v>1060</v>
      </c>
      <c r="E291" s="33" t="s">
        <v>1840</v>
      </c>
      <c r="F291" s="33">
        <v>1598</v>
      </c>
      <c r="G291" s="33">
        <v>1600</v>
      </c>
      <c r="H291" s="33" t="s">
        <v>62</v>
      </c>
      <c r="I291" s="33">
        <v>5</v>
      </c>
      <c r="J291" s="33" t="s">
        <v>1841</v>
      </c>
      <c r="P291" s="197">
        <v>1</v>
      </c>
      <c r="Q291" s="31" t="s">
        <v>1743</v>
      </c>
      <c r="R291" s="31" t="s">
        <v>1805</v>
      </c>
      <c r="S291" s="31" t="s">
        <v>1817</v>
      </c>
      <c r="T291" s="31">
        <v>1</v>
      </c>
      <c r="U291" s="33" t="s">
        <v>1667</v>
      </c>
      <c r="V291" s="33">
        <v>3</v>
      </c>
      <c r="W291" s="752" t="s">
        <v>3561</v>
      </c>
      <c r="X291" s="708" t="s">
        <v>3446</v>
      </c>
      <c r="Y291" s="713" t="s">
        <v>3478</v>
      </c>
      <c r="Z291" s="33">
        <v>6</v>
      </c>
      <c r="AA291" s="33" t="s">
        <v>3351</v>
      </c>
      <c r="AB291" s="33">
        <v>2</v>
      </c>
      <c r="AD291" s="504">
        <v>0.03</v>
      </c>
      <c r="AE291" s="33">
        <v>16000</v>
      </c>
      <c r="AF291" s="33">
        <v>30000</v>
      </c>
      <c r="AG291" s="33"/>
      <c r="AK291" s="33" t="s">
        <v>2907</v>
      </c>
    </row>
    <row r="292" spans="1:37" ht="13.5" customHeight="1">
      <c r="A292" s="182" t="s">
        <v>3501</v>
      </c>
      <c r="C292" s="196" t="s">
        <v>54</v>
      </c>
      <c r="D292" s="33" t="s">
        <v>1060</v>
      </c>
      <c r="E292" s="33" t="s">
        <v>1840</v>
      </c>
      <c r="F292" s="33">
        <v>1598</v>
      </c>
      <c r="G292" s="33">
        <v>1600</v>
      </c>
      <c r="H292" s="33" t="s">
        <v>62</v>
      </c>
      <c r="I292" s="33">
        <v>5</v>
      </c>
      <c r="J292" s="33" t="s">
        <v>1821</v>
      </c>
      <c r="P292" s="197">
        <v>1</v>
      </c>
      <c r="Q292" s="31" t="s">
        <v>1743</v>
      </c>
      <c r="R292" s="31" t="s">
        <v>1805</v>
      </c>
      <c r="S292" s="31" t="s">
        <v>1817</v>
      </c>
      <c r="T292" s="31">
        <v>1</v>
      </c>
      <c r="U292" s="33" t="s">
        <v>1667</v>
      </c>
      <c r="V292" s="33">
        <v>3</v>
      </c>
      <c r="W292" s="752" t="s">
        <v>3561</v>
      </c>
      <c r="X292" s="708" t="s">
        <v>3446</v>
      </c>
      <c r="Y292" s="713" t="s">
        <v>3478</v>
      </c>
      <c r="Z292" s="33">
        <v>6</v>
      </c>
      <c r="AA292" s="33" t="s">
        <v>3351</v>
      </c>
      <c r="AB292" s="33">
        <v>2</v>
      </c>
      <c r="AD292" s="504">
        <v>0.03</v>
      </c>
      <c r="AE292" s="33">
        <v>16000</v>
      </c>
      <c r="AF292" s="33">
        <v>30000</v>
      </c>
      <c r="AG292" s="33"/>
      <c r="AK292" s="33" t="s">
        <v>2907</v>
      </c>
    </row>
    <row r="293" spans="1:37" ht="13.5" customHeight="1">
      <c r="A293" s="182" t="s">
        <v>3502</v>
      </c>
      <c r="C293" s="196" t="s">
        <v>54</v>
      </c>
      <c r="D293" s="33" t="s">
        <v>1060</v>
      </c>
      <c r="E293" s="33" t="s">
        <v>1840</v>
      </c>
      <c r="F293" s="33">
        <v>1598</v>
      </c>
      <c r="G293" s="33">
        <v>1600</v>
      </c>
      <c r="H293" s="33" t="s">
        <v>62</v>
      </c>
      <c r="I293" s="33">
        <v>5</v>
      </c>
      <c r="J293" s="33" t="s">
        <v>3507</v>
      </c>
      <c r="P293" s="197">
        <v>1</v>
      </c>
      <c r="Q293" s="31" t="s">
        <v>1743</v>
      </c>
      <c r="R293" s="31" t="s">
        <v>1805</v>
      </c>
      <c r="S293" s="31" t="s">
        <v>1817</v>
      </c>
      <c r="T293" s="31">
        <v>1</v>
      </c>
      <c r="U293" s="33" t="s">
        <v>1667</v>
      </c>
      <c r="V293" s="33">
        <v>3</v>
      </c>
      <c r="W293" s="752" t="s">
        <v>3561</v>
      </c>
      <c r="X293" s="708" t="s">
        <v>3446</v>
      </c>
      <c r="Y293" s="713" t="s">
        <v>3478</v>
      </c>
      <c r="Z293" s="33">
        <v>6</v>
      </c>
      <c r="AA293" s="33" t="s">
        <v>3351</v>
      </c>
      <c r="AB293" s="33">
        <v>2</v>
      </c>
      <c r="AD293" s="504">
        <v>0.03</v>
      </c>
      <c r="AE293" s="33">
        <v>16000</v>
      </c>
      <c r="AF293" s="33">
        <v>30000</v>
      </c>
      <c r="AG293" s="33"/>
      <c r="AK293" s="33" t="s">
        <v>2907</v>
      </c>
    </row>
    <row r="294" spans="1:37" ht="13.5" customHeight="1">
      <c r="A294" s="182" t="s">
        <v>3503</v>
      </c>
      <c r="C294" s="196" t="s">
        <v>54</v>
      </c>
      <c r="D294" s="33" t="s">
        <v>1060</v>
      </c>
      <c r="E294" s="33" t="s">
        <v>1840</v>
      </c>
      <c r="F294" s="33">
        <v>1598</v>
      </c>
      <c r="G294" s="33">
        <v>1600</v>
      </c>
      <c r="H294" s="33" t="s">
        <v>62</v>
      </c>
      <c r="I294" s="33">
        <v>5</v>
      </c>
      <c r="J294" s="33" t="s">
        <v>1827</v>
      </c>
      <c r="P294" s="197">
        <v>1</v>
      </c>
      <c r="Q294" s="31" t="s">
        <v>1743</v>
      </c>
      <c r="R294" s="31" t="s">
        <v>1805</v>
      </c>
      <c r="S294" s="31" t="s">
        <v>1817</v>
      </c>
      <c r="T294" s="31">
        <v>1</v>
      </c>
      <c r="U294" s="33" t="s">
        <v>1667</v>
      </c>
      <c r="V294" s="33">
        <v>3</v>
      </c>
      <c r="W294" s="752" t="s">
        <v>3561</v>
      </c>
      <c r="X294" s="708" t="s">
        <v>3446</v>
      </c>
      <c r="Y294" s="713" t="s">
        <v>3478</v>
      </c>
      <c r="Z294" s="33">
        <v>6</v>
      </c>
      <c r="AA294" s="33" t="s">
        <v>3351</v>
      </c>
      <c r="AB294" s="33">
        <v>2</v>
      </c>
      <c r="AD294" s="504">
        <v>0.03</v>
      </c>
      <c r="AE294" s="33">
        <v>16000</v>
      </c>
      <c r="AF294" s="33">
        <v>30000</v>
      </c>
      <c r="AG294" s="33"/>
      <c r="AK294" s="33" t="s">
        <v>2907</v>
      </c>
    </row>
    <row r="295" spans="1:37" ht="13.5" customHeight="1">
      <c r="A295" s="182" t="s">
        <v>3504</v>
      </c>
      <c r="C295" s="196" t="s">
        <v>54</v>
      </c>
      <c r="D295" s="33" t="s">
        <v>1060</v>
      </c>
      <c r="E295" s="33" t="s">
        <v>1840</v>
      </c>
      <c r="F295" s="33">
        <v>1598</v>
      </c>
      <c r="G295" s="33">
        <v>1600</v>
      </c>
      <c r="H295" s="33" t="s">
        <v>62</v>
      </c>
      <c r="I295" s="33">
        <v>5</v>
      </c>
      <c r="J295" s="33" t="s">
        <v>3140</v>
      </c>
      <c r="P295" s="197">
        <v>1</v>
      </c>
      <c r="Q295" s="31" t="s">
        <v>1743</v>
      </c>
      <c r="R295" s="31" t="s">
        <v>1805</v>
      </c>
      <c r="S295" s="31" t="s">
        <v>1817</v>
      </c>
      <c r="T295" s="31">
        <v>1</v>
      </c>
      <c r="U295" s="33" t="s">
        <v>1667</v>
      </c>
      <c r="V295" s="33">
        <v>3</v>
      </c>
      <c r="W295" s="752" t="s">
        <v>3561</v>
      </c>
      <c r="X295" s="708" t="s">
        <v>3446</v>
      </c>
      <c r="Y295" s="713" t="s">
        <v>3478</v>
      </c>
      <c r="Z295" s="33">
        <v>6</v>
      </c>
      <c r="AA295" s="33" t="s">
        <v>3351</v>
      </c>
      <c r="AB295" s="33">
        <v>2</v>
      </c>
      <c r="AD295" s="504">
        <v>0.03</v>
      </c>
      <c r="AE295" s="33">
        <v>16000</v>
      </c>
      <c r="AF295" s="33">
        <v>30000</v>
      </c>
      <c r="AG295" s="33"/>
      <c r="AK295" s="33" t="s">
        <v>2907</v>
      </c>
    </row>
    <row r="296" spans="1:37" ht="13.5" customHeight="1">
      <c r="A296" s="182" t="s">
        <v>3505</v>
      </c>
      <c r="C296" s="196" t="s">
        <v>54</v>
      </c>
      <c r="D296" s="33" t="s">
        <v>1060</v>
      </c>
      <c r="E296" s="33" t="s">
        <v>1840</v>
      </c>
      <c r="F296" s="33">
        <v>1598</v>
      </c>
      <c r="G296" s="33">
        <v>1600</v>
      </c>
      <c r="H296" s="33" t="s">
        <v>62</v>
      </c>
      <c r="I296" s="33">
        <v>5</v>
      </c>
      <c r="J296" s="33" t="s">
        <v>1829</v>
      </c>
      <c r="P296" s="197">
        <v>1</v>
      </c>
      <c r="Q296" s="31" t="s">
        <v>1743</v>
      </c>
      <c r="R296" s="31" t="s">
        <v>1805</v>
      </c>
      <c r="S296" s="31" t="s">
        <v>1817</v>
      </c>
      <c r="T296" s="31">
        <v>1</v>
      </c>
      <c r="U296" s="33" t="s">
        <v>1667</v>
      </c>
      <c r="V296" s="33">
        <v>3</v>
      </c>
      <c r="W296" s="752" t="s">
        <v>3561</v>
      </c>
      <c r="X296" s="708" t="s">
        <v>3446</v>
      </c>
      <c r="Y296" s="713" t="s">
        <v>3478</v>
      </c>
      <c r="Z296" s="33">
        <v>6</v>
      </c>
      <c r="AA296" s="33" t="s">
        <v>3351</v>
      </c>
      <c r="AB296" s="33">
        <v>2</v>
      </c>
      <c r="AD296" s="504">
        <v>0.03</v>
      </c>
      <c r="AE296" s="33">
        <v>16000</v>
      </c>
      <c r="AF296" s="33">
        <v>30000</v>
      </c>
      <c r="AG296" s="33"/>
      <c r="AK296" s="33" t="s">
        <v>2907</v>
      </c>
    </row>
    <row r="297" spans="1:37" ht="13.5" customHeight="1">
      <c r="A297" s="182" t="s">
        <v>3506</v>
      </c>
      <c r="C297" s="196" t="s">
        <v>54</v>
      </c>
      <c r="D297" s="33" t="s">
        <v>1060</v>
      </c>
      <c r="E297" s="33" t="s">
        <v>1840</v>
      </c>
      <c r="F297" s="33">
        <v>1598</v>
      </c>
      <c r="G297" s="33">
        <v>1600</v>
      </c>
      <c r="H297" s="33" t="s">
        <v>62</v>
      </c>
      <c r="I297" s="33">
        <v>5</v>
      </c>
      <c r="J297" s="33" t="s">
        <v>3508</v>
      </c>
      <c r="P297" s="197">
        <v>1</v>
      </c>
      <c r="Q297" s="31" t="s">
        <v>1743</v>
      </c>
      <c r="R297" s="31" t="s">
        <v>1805</v>
      </c>
      <c r="S297" s="31" t="s">
        <v>1817</v>
      </c>
      <c r="T297" s="31">
        <v>1</v>
      </c>
      <c r="U297" s="33" t="s">
        <v>1667</v>
      </c>
      <c r="V297" s="33">
        <v>3</v>
      </c>
      <c r="W297" s="752" t="s">
        <v>3561</v>
      </c>
      <c r="X297" s="708" t="s">
        <v>3446</v>
      </c>
      <c r="Y297" s="713" t="s">
        <v>3478</v>
      </c>
      <c r="Z297" s="33">
        <v>6</v>
      </c>
      <c r="AA297" s="33" t="s">
        <v>3351</v>
      </c>
      <c r="AB297" s="33">
        <v>2</v>
      </c>
      <c r="AD297" s="504">
        <v>0.03</v>
      </c>
      <c r="AE297" s="33">
        <v>16000</v>
      </c>
      <c r="AF297" s="33">
        <v>30000</v>
      </c>
      <c r="AG297" s="33"/>
      <c r="AK297" s="33" t="s">
        <v>2907</v>
      </c>
    </row>
    <row r="298" spans="1:37" ht="13.5" customHeight="1">
      <c r="A298" s="182" t="s">
        <v>3509</v>
      </c>
      <c r="C298" s="196" t="s">
        <v>2090</v>
      </c>
      <c r="D298" s="33" t="s">
        <v>2093</v>
      </c>
      <c r="E298" s="33" t="s">
        <v>2094</v>
      </c>
      <c r="F298" s="33">
        <v>1598</v>
      </c>
      <c r="G298" s="33">
        <v>1600</v>
      </c>
      <c r="H298" s="33" t="s">
        <v>2095</v>
      </c>
      <c r="I298" s="33">
        <v>5</v>
      </c>
      <c r="J298" s="33" t="s">
        <v>3517</v>
      </c>
      <c r="P298" s="197">
        <v>1</v>
      </c>
      <c r="Q298" s="31" t="s">
        <v>1743</v>
      </c>
      <c r="R298" s="31" t="s">
        <v>1805</v>
      </c>
      <c r="S298" s="31" t="s">
        <v>1817</v>
      </c>
      <c r="T298" s="31">
        <v>1</v>
      </c>
      <c r="U298" s="33" t="s">
        <v>2600</v>
      </c>
      <c r="V298" s="33">
        <v>3</v>
      </c>
      <c r="W298" s="752" t="s">
        <v>3562</v>
      </c>
      <c r="X298" s="708" t="s">
        <v>3446</v>
      </c>
      <c r="Y298" s="713" t="s">
        <v>3478</v>
      </c>
      <c r="Z298" s="33">
        <v>5</v>
      </c>
      <c r="AA298" s="33" t="s">
        <v>3351</v>
      </c>
      <c r="AD298" s="504">
        <v>0.03</v>
      </c>
      <c r="AE298" s="33">
        <v>24000</v>
      </c>
      <c r="AF298" s="33">
        <v>39000</v>
      </c>
      <c r="AG298" s="33"/>
      <c r="AK298" s="33" t="s">
        <v>2907</v>
      </c>
    </row>
    <row r="299" spans="1:37" ht="13.5" customHeight="1">
      <c r="A299" s="182" t="s">
        <v>3510</v>
      </c>
      <c r="C299" s="196" t="s">
        <v>2090</v>
      </c>
      <c r="D299" s="33" t="s">
        <v>2093</v>
      </c>
      <c r="E299" s="33" t="s">
        <v>2094</v>
      </c>
      <c r="F299" s="33">
        <v>1598</v>
      </c>
      <c r="G299" s="33">
        <v>1600</v>
      </c>
      <c r="H299" s="33" t="s">
        <v>2095</v>
      </c>
      <c r="I299" s="33">
        <v>5</v>
      </c>
      <c r="J299" s="33" t="s">
        <v>3518</v>
      </c>
      <c r="P299" s="197">
        <v>1</v>
      </c>
      <c r="Q299" s="31" t="s">
        <v>1743</v>
      </c>
      <c r="R299" s="31" t="s">
        <v>1805</v>
      </c>
      <c r="S299" s="31" t="s">
        <v>1817</v>
      </c>
      <c r="T299" s="31">
        <v>1</v>
      </c>
      <c r="U299" s="33" t="s">
        <v>2600</v>
      </c>
      <c r="V299" s="33">
        <v>3</v>
      </c>
      <c r="W299" s="752" t="s">
        <v>3562</v>
      </c>
      <c r="X299" s="708" t="s">
        <v>3446</v>
      </c>
      <c r="Y299" s="713" t="s">
        <v>3478</v>
      </c>
      <c r="Z299" s="33">
        <v>5</v>
      </c>
      <c r="AA299" s="33" t="s">
        <v>3351</v>
      </c>
      <c r="AD299" s="504">
        <v>0.03</v>
      </c>
      <c r="AE299" s="33">
        <v>24000</v>
      </c>
      <c r="AF299" s="33">
        <v>39000</v>
      </c>
      <c r="AG299" s="33"/>
      <c r="AK299" s="33" t="s">
        <v>2907</v>
      </c>
    </row>
    <row r="300" spans="1:37" ht="13.5" customHeight="1">
      <c r="A300" s="182" t="s">
        <v>3511</v>
      </c>
      <c r="C300" s="196" t="s">
        <v>2090</v>
      </c>
      <c r="D300" s="33" t="s">
        <v>2093</v>
      </c>
      <c r="E300" s="33" t="s">
        <v>2094</v>
      </c>
      <c r="F300" s="33">
        <v>1598</v>
      </c>
      <c r="G300" s="33">
        <v>1600</v>
      </c>
      <c r="H300" s="33" t="s">
        <v>2095</v>
      </c>
      <c r="I300" s="33">
        <v>5</v>
      </c>
      <c r="J300" s="33" t="s">
        <v>3519</v>
      </c>
      <c r="P300" s="197">
        <v>1</v>
      </c>
      <c r="Q300" s="31" t="s">
        <v>1743</v>
      </c>
      <c r="R300" s="31" t="s">
        <v>1805</v>
      </c>
      <c r="S300" s="31" t="s">
        <v>1817</v>
      </c>
      <c r="T300" s="31">
        <v>1</v>
      </c>
      <c r="U300" s="33" t="s">
        <v>2600</v>
      </c>
      <c r="V300" s="33">
        <v>3</v>
      </c>
      <c r="W300" s="752" t="s">
        <v>3562</v>
      </c>
      <c r="X300" s="708" t="s">
        <v>3446</v>
      </c>
      <c r="Y300" s="713" t="s">
        <v>3478</v>
      </c>
      <c r="Z300" s="33">
        <v>5</v>
      </c>
      <c r="AA300" s="33" t="s">
        <v>3351</v>
      </c>
      <c r="AD300" s="504">
        <v>0.03</v>
      </c>
      <c r="AE300" s="33">
        <v>24000</v>
      </c>
      <c r="AF300" s="33">
        <v>39000</v>
      </c>
      <c r="AG300" s="33"/>
      <c r="AK300" s="33" t="s">
        <v>2907</v>
      </c>
    </row>
    <row r="301" spans="1:37" ht="13.5" customHeight="1">
      <c r="A301" s="182" t="s">
        <v>3512</v>
      </c>
      <c r="C301" s="196" t="s">
        <v>2090</v>
      </c>
      <c r="D301" s="33" t="s">
        <v>2093</v>
      </c>
      <c r="E301" s="33" t="s">
        <v>2094</v>
      </c>
      <c r="F301" s="33">
        <v>1598</v>
      </c>
      <c r="G301" s="33">
        <v>1600</v>
      </c>
      <c r="H301" s="33" t="s">
        <v>2095</v>
      </c>
      <c r="I301" s="33">
        <v>5</v>
      </c>
      <c r="J301" s="33" t="s">
        <v>3520</v>
      </c>
      <c r="P301" s="197">
        <v>1</v>
      </c>
      <c r="Q301" s="31" t="s">
        <v>1743</v>
      </c>
      <c r="R301" s="31" t="s">
        <v>1805</v>
      </c>
      <c r="S301" s="31" t="s">
        <v>1817</v>
      </c>
      <c r="T301" s="31">
        <v>1</v>
      </c>
      <c r="U301" s="33" t="s">
        <v>2600</v>
      </c>
      <c r="V301" s="33">
        <v>3</v>
      </c>
      <c r="W301" s="752" t="s">
        <v>3562</v>
      </c>
      <c r="X301" s="708" t="s">
        <v>3446</v>
      </c>
      <c r="Y301" s="713" t="s">
        <v>3478</v>
      </c>
      <c r="Z301" s="33">
        <v>5</v>
      </c>
      <c r="AA301" s="33" t="s">
        <v>3351</v>
      </c>
      <c r="AD301" s="504">
        <v>0.03</v>
      </c>
      <c r="AE301" s="33">
        <v>24000</v>
      </c>
      <c r="AF301" s="33">
        <v>39000</v>
      </c>
      <c r="AG301" s="33"/>
      <c r="AK301" s="33" t="s">
        <v>2907</v>
      </c>
    </row>
    <row r="302" spans="1:37" ht="13.5" customHeight="1">
      <c r="A302" s="182" t="s">
        <v>3513</v>
      </c>
      <c r="C302" s="196" t="s">
        <v>2090</v>
      </c>
      <c r="D302" s="33" t="s">
        <v>2093</v>
      </c>
      <c r="E302" s="33" t="s">
        <v>2094</v>
      </c>
      <c r="F302" s="33">
        <v>1598</v>
      </c>
      <c r="G302" s="33">
        <v>1600</v>
      </c>
      <c r="H302" s="33" t="s">
        <v>2095</v>
      </c>
      <c r="I302" s="33">
        <v>5</v>
      </c>
      <c r="J302" s="33" t="s">
        <v>3521</v>
      </c>
      <c r="P302" s="197">
        <v>1</v>
      </c>
      <c r="Q302" s="31" t="s">
        <v>1743</v>
      </c>
      <c r="R302" s="31" t="s">
        <v>1805</v>
      </c>
      <c r="S302" s="31" t="s">
        <v>1817</v>
      </c>
      <c r="T302" s="31">
        <v>1</v>
      </c>
      <c r="U302" s="33" t="s">
        <v>2600</v>
      </c>
      <c r="V302" s="33">
        <v>3</v>
      </c>
      <c r="W302" s="752" t="s">
        <v>3562</v>
      </c>
      <c r="X302" s="708" t="s">
        <v>3446</v>
      </c>
      <c r="Y302" s="713" t="s">
        <v>3478</v>
      </c>
      <c r="Z302" s="33">
        <v>5</v>
      </c>
      <c r="AA302" s="33" t="s">
        <v>3351</v>
      </c>
      <c r="AD302" s="504">
        <v>0.03</v>
      </c>
      <c r="AE302" s="33">
        <v>24000</v>
      </c>
      <c r="AF302" s="33">
        <v>39000</v>
      </c>
      <c r="AG302" s="33"/>
      <c r="AK302" s="33" t="s">
        <v>2907</v>
      </c>
    </row>
    <row r="303" spans="1:37" ht="13.5" customHeight="1">
      <c r="A303" s="182" t="s">
        <v>3514</v>
      </c>
      <c r="C303" s="196" t="s">
        <v>2090</v>
      </c>
      <c r="D303" s="33" t="s">
        <v>2093</v>
      </c>
      <c r="E303" s="33" t="s">
        <v>2094</v>
      </c>
      <c r="F303" s="33">
        <v>1598</v>
      </c>
      <c r="G303" s="33">
        <v>1600</v>
      </c>
      <c r="H303" s="33" t="s">
        <v>2095</v>
      </c>
      <c r="I303" s="33">
        <v>5</v>
      </c>
      <c r="J303" s="33" t="s">
        <v>3522</v>
      </c>
      <c r="P303" s="197">
        <v>1</v>
      </c>
      <c r="Q303" s="31" t="s">
        <v>1743</v>
      </c>
      <c r="R303" s="31" t="s">
        <v>1805</v>
      </c>
      <c r="S303" s="31" t="s">
        <v>1817</v>
      </c>
      <c r="T303" s="31">
        <v>1</v>
      </c>
      <c r="U303" s="33" t="s">
        <v>2600</v>
      </c>
      <c r="V303" s="33">
        <v>3</v>
      </c>
      <c r="W303" s="752" t="s">
        <v>3562</v>
      </c>
      <c r="X303" s="708" t="s">
        <v>3446</v>
      </c>
      <c r="Y303" s="713" t="s">
        <v>3478</v>
      </c>
      <c r="Z303" s="33">
        <v>5</v>
      </c>
      <c r="AA303" s="33" t="s">
        <v>3351</v>
      </c>
      <c r="AD303" s="504">
        <v>0.03</v>
      </c>
      <c r="AE303" s="33">
        <v>24000</v>
      </c>
      <c r="AF303" s="33">
        <v>39000</v>
      </c>
      <c r="AG303" s="33"/>
      <c r="AK303" s="33" t="s">
        <v>2907</v>
      </c>
    </row>
    <row r="304" spans="1:37" ht="13.5" customHeight="1">
      <c r="A304" s="182" t="s">
        <v>3515</v>
      </c>
      <c r="C304" s="196" t="s">
        <v>74</v>
      </c>
      <c r="D304" s="33" t="s">
        <v>2093</v>
      </c>
      <c r="E304" s="33" t="s">
        <v>2094</v>
      </c>
      <c r="F304" s="33">
        <v>1598</v>
      </c>
      <c r="G304" s="33">
        <v>1600</v>
      </c>
      <c r="H304" s="33" t="s">
        <v>2095</v>
      </c>
      <c r="I304" s="33">
        <v>5</v>
      </c>
      <c r="J304" s="33" t="s">
        <v>3523</v>
      </c>
      <c r="P304" s="197">
        <v>1</v>
      </c>
      <c r="Q304" s="31" t="s">
        <v>1743</v>
      </c>
      <c r="R304" s="31" t="s">
        <v>1805</v>
      </c>
      <c r="S304" s="31" t="s">
        <v>1817</v>
      </c>
      <c r="T304" s="31">
        <v>1</v>
      </c>
      <c r="U304" s="33" t="s">
        <v>2570</v>
      </c>
      <c r="V304" s="33">
        <v>3</v>
      </c>
      <c r="W304" s="752" t="s">
        <v>3562</v>
      </c>
      <c r="X304" s="708" t="s">
        <v>3446</v>
      </c>
      <c r="Y304" s="713" t="s">
        <v>1666</v>
      </c>
      <c r="Z304" s="33">
        <v>5</v>
      </c>
      <c r="AA304" s="33" t="s">
        <v>1684</v>
      </c>
      <c r="AD304" s="504">
        <v>0.03</v>
      </c>
      <c r="AE304" s="33">
        <v>24000</v>
      </c>
      <c r="AF304" s="33">
        <v>39000</v>
      </c>
      <c r="AG304" s="33"/>
    </row>
    <row r="305" spans="1:33" ht="13.5" customHeight="1">
      <c r="A305" s="182" t="s">
        <v>3516</v>
      </c>
      <c r="C305" s="196" t="s">
        <v>74</v>
      </c>
      <c r="D305" s="33" t="s">
        <v>2093</v>
      </c>
      <c r="E305" s="33" t="s">
        <v>2094</v>
      </c>
      <c r="F305" s="33">
        <v>1598</v>
      </c>
      <c r="G305" s="33">
        <v>1600</v>
      </c>
      <c r="H305" s="33" t="s">
        <v>2095</v>
      </c>
      <c r="I305" s="33">
        <v>5</v>
      </c>
      <c r="J305" s="33" t="s">
        <v>3524</v>
      </c>
      <c r="P305" s="197">
        <v>1</v>
      </c>
      <c r="Q305" s="31" t="s">
        <v>1743</v>
      </c>
      <c r="R305" s="31" t="s">
        <v>1805</v>
      </c>
      <c r="S305" s="31" t="s">
        <v>1817</v>
      </c>
      <c r="T305" s="31">
        <v>1</v>
      </c>
      <c r="U305" s="33" t="s">
        <v>2570</v>
      </c>
      <c r="V305" s="33">
        <v>3</v>
      </c>
      <c r="W305" s="752" t="s">
        <v>3562</v>
      </c>
      <c r="X305" s="708" t="s">
        <v>3446</v>
      </c>
      <c r="Y305" s="713" t="s">
        <v>1666</v>
      </c>
      <c r="Z305" s="33">
        <v>5</v>
      </c>
      <c r="AA305" s="33" t="s">
        <v>1684</v>
      </c>
      <c r="AD305" s="504">
        <v>0.03</v>
      </c>
      <c r="AE305" s="33">
        <v>24000</v>
      </c>
      <c r="AF305" s="33">
        <v>39000</v>
      </c>
      <c r="AG305" s="33"/>
    </row>
    <row r="306" spans="1:33" ht="13.5" customHeight="1">
      <c r="A306" s="182" t="s">
        <v>2581</v>
      </c>
      <c r="C306" s="196" t="s">
        <v>54</v>
      </c>
      <c r="D306" s="33" t="s">
        <v>148</v>
      </c>
      <c r="E306" s="33" t="s">
        <v>2584</v>
      </c>
      <c r="F306" s="33">
        <v>998</v>
      </c>
      <c r="G306" s="33">
        <v>1000</v>
      </c>
      <c r="H306" s="33" t="s">
        <v>62</v>
      </c>
      <c r="I306" s="33">
        <v>5</v>
      </c>
      <c r="J306" s="33" t="s">
        <v>2585</v>
      </c>
      <c r="L306" s="33" t="s">
        <v>3429</v>
      </c>
      <c r="P306" s="197">
        <v>0</v>
      </c>
      <c r="Q306" s="31" t="s">
        <v>1743</v>
      </c>
      <c r="R306" s="31" t="s">
        <v>1811</v>
      </c>
      <c r="S306" s="31" t="s">
        <v>1812</v>
      </c>
      <c r="T306" s="31">
        <v>1</v>
      </c>
      <c r="U306" s="33" t="s">
        <v>1672</v>
      </c>
      <c r="V306" s="33">
        <v>18</v>
      </c>
      <c r="W306" s="752" t="s">
        <v>3632</v>
      </c>
      <c r="X306" s="33" t="s">
        <v>2918</v>
      </c>
      <c r="Y306" s="713">
        <v>11</v>
      </c>
      <c r="Z306" s="33">
        <v>11</v>
      </c>
      <c r="AA306" s="33">
        <v>14</v>
      </c>
      <c r="AD306" s="504">
        <v>3.5000000000000003E-2</v>
      </c>
      <c r="AE306" s="33">
        <v>11000</v>
      </c>
      <c r="AF306" s="33">
        <v>19000</v>
      </c>
      <c r="AG306" s="33"/>
    </row>
    <row r="307" spans="1:33" ht="13.5" customHeight="1">
      <c r="A307" s="182" t="s">
        <v>2582</v>
      </c>
      <c r="C307" s="196" t="s">
        <v>54</v>
      </c>
      <c r="D307" s="33" t="s">
        <v>148</v>
      </c>
      <c r="E307" s="33" t="s">
        <v>2584</v>
      </c>
      <c r="F307" s="33">
        <v>998</v>
      </c>
      <c r="G307" s="33">
        <v>1000</v>
      </c>
      <c r="H307" s="33" t="s">
        <v>62</v>
      </c>
      <c r="I307" s="33">
        <v>5</v>
      </c>
      <c r="J307" s="33" t="s">
        <v>2586</v>
      </c>
      <c r="L307" s="33" t="s">
        <v>3429</v>
      </c>
      <c r="P307" s="197">
        <v>0</v>
      </c>
      <c r="Q307" s="31" t="s">
        <v>1743</v>
      </c>
      <c r="R307" s="31" t="s">
        <v>1811</v>
      </c>
      <c r="S307" s="31" t="s">
        <v>1812</v>
      </c>
      <c r="T307" s="31">
        <v>1</v>
      </c>
      <c r="U307" s="33" t="s">
        <v>1672</v>
      </c>
      <c r="V307" s="33">
        <v>18</v>
      </c>
      <c r="W307" s="752" t="s">
        <v>3632</v>
      </c>
      <c r="X307" s="33" t="s">
        <v>2918</v>
      </c>
      <c r="Y307" s="713">
        <v>11</v>
      </c>
      <c r="Z307" s="33">
        <v>11</v>
      </c>
      <c r="AA307" s="33">
        <v>14</v>
      </c>
      <c r="AD307" s="504">
        <v>3.5000000000000003E-2</v>
      </c>
      <c r="AE307" s="33">
        <v>11000</v>
      </c>
      <c r="AF307" s="33">
        <v>19000</v>
      </c>
      <c r="AG307" s="33"/>
    </row>
    <row r="308" spans="1:33" ht="13.5" customHeight="1">
      <c r="A308" s="182" t="s">
        <v>2583</v>
      </c>
      <c r="C308" s="196" t="s">
        <v>54</v>
      </c>
      <c r="D308" s="33" t="s">
        <v>148</v>
      </c>
      <c r="E308" s="33" t="s">
        <v>2584</v>
      </c>
      <c r="F308" s="33">
        <v>998</v>
      </c>
      <c r="G308" s="33">
        <v>1000</v>
      </c>
      <c r="H308" s="33" t="s">
        <v>62</v>
      </c>
      <c r="I308" s="33">
        <v>5</v>
      </c>
      <c r="J308" s="33" t="s">
        <v>2587</v>
      </c>
      <c r="L308" s="33" t="s">
        <v>3429</v>
      </c>
      <c r="P308" s="197">
        <v>0</v>
      </c>
      <c r="Q308" s="31" t="s">
        <v>1743</v>
      </c>
      <c r="R308" s="31" t="s">
        <v>1811</v>
      </c>
      <c r="S308" s="31" t="s">
        <v>1812</v>
      </c>
      <c r="T308" s="31">
        <v>1</v>
      </c>
      <c r="U308" s="33" t="s">
        <v>1672</v>
      </c>
      <c r="V308" s="33">
        <v>18</v>
      </c>
      <c r="W308" s="752" t="s">
        <v>3632</v>
      </c>
      <c r="X308" s="33" t="s">
        <v>2918</v>
      </c>
      <c r="Y308" s="713">
        <v>11</v>
      </c>
      <c r="Z308" s="33">
        <v>11</v>
      </c>
      <c r="AA308" s="33">
        <v>14</v>
      </c>
      <c r="AD308" s="504">
        <v>3.5000000000000003E-2</v>
      </c>
      <c r="AE308" s="33">
        <v>11000</v>
      </c>
      <c r="AF308" s="33">
        <v>19000</v>
      </c>
      <c r="AG308" s="33"/>
    </row>
    <row r="309" spans="1:33" ht="13.5" customHeight="1">
      <c r="A309" s="182" t="s">
        <v>3344</v>
      </c>
      <c r="C309" s="196" t="s">
        <v>54</v>
      </c>
      <c r="D309" s="33" t="s">
        <v>148</v>
      </c>
      <c r="E309" s="33" t="s">
        <v>2584</v>
      </c>
      <c r="F309" s="33">
        <v>998</v>
      </c>
      <c r="G309" s="33">
        <v>1000</v>
      </c>
      <c r="H309" s="33" t="s">
        <v>62</v>
      </c>
      <c r="I309" s="33">
        <v>5</v>
      </c>
      <c r="J309" s="33" t="s">
        <v>3343</v>
      </c>
      <c r="L309" s="33" t="s">
        <v>3429</v>
      </c>
      <c r="P309" s="197">
        <v>0</v>
      </c>
      <c r="Q309" s="31" t="s">
        <v>1743</v>
      </c>
      <c r="R309" s="31" t="s">
        <v>1811</v>
      </c>
      <c r="S309" s="31" t="s">
        <v>1812</v>
      </c>
      <c r="T309" s="31">
        <v>1</v>
      </c>
      <c r="U309" s="33" t="s">
        <v>1672</v>
      </c>
      <c r="V309" s="33">
        <v>18</v>
      </c>
      <c r="W309" s="752" t="s">
        <v>3632</v>
      </c>
      <c r="X309" s="33" t="s">
        <v>2918</v>
      </c>
      <c r="Y309" s="713">
        <v>11</v>
      </c>
      <c r="Z309" s="33">
        <v>11</v>
      </c>
      <c r="AA309" s="33">
        <v>14</v>
      </c>
      <c r="AD309" s="504">
        <v>3.5000000000000003E-2</v>
      </c>
      <c r="AE309" s="33">
        <v>11000</v>
      </c>
      <c r="AF309" s="33">
        <v>19000</v>
      </c>
      <c r="AG309" s="33"/>
    </row>
    <row r="310" spans="1:33" ht="13.5" customHeight="1">
      <c r="A310" s="182" t="s">
        <v>3174</v>
      </c>
      <c r="C310" s="196" t="s">
        <v>54</v>
      </c>
      <c r="D310" s="33" t="s">
        <v>1122</v>
      </c>
      <c r="E310" s="33" t="s">
        <v>1122</v>
      </c>
      <c r="F310" s="33">
        <v>1591</v>
      </c>
      <c r="G310" s="33">
        <v>1600</v>
      </c>
      <c r="H310" s="33" t="s">
        <v>62</v>
      </c>
      <c r="I310" s="33">
        <v>5</v>
      </c>
      <c r="J310" s="33" t="s">
        <v>1823</v>
      </c>
      <c r="P310" s="197">
        <v>1</v>
      </c>
      <c r="Q310" s="31" t="s">
        <v>1743</v>
      </c>
      <c r="R310" s="31" t="s">
        <v>1805</v>
      </c>
      <c r="S310" s="31" t="s">
        <v>1817</v>
      </c>
      <c r="T310" s="31">
        <v>1</v>
      </c>
      <c r="U310" s="33" t="s">
        <v>2267</v>
      </c>
      <c r="V310" s="33">
        <v>14</v>
      </c>
      <c r="W310" s="752" t="s">
        <v>3565</v>
      </c>
      <c r="X310" s="33" t="s">
        <v>2913</v>
      </c>
      <c r="Y310" s="713">
        <v>1</v>
      </c>
      <c r="Z310" s="33">
        <v>9</v>
      </c>
      <c r="AA310" s="33">
        <v>2</v>
      </c>
      <c r="AB310" s="33">
        <v>3</v>
      </c>
      <c r="AD310" s="504">
        <v>0.03</v>
      </c>
      <c r="AE310" s="33">
        <v>16000</v>
      </c>
      <c r="AF310" s="33">
        <v>27000</v>
      </c>
      <c r="AG310" s="33"/>
    </row>
    <row r="311" spans="1:33" ht="13.5" customHeight="1">
      <c r="A311" s="182" t="s">
        <v>2594</v>
      </c>
      <c r="C311" s="196" t="s">
        <v>54</v>
      </c>
      <c r="D311" s="33" t="s">
        <v>1122</v>
      </c>
      <c r="E311" s="33" t="s">
        <v>1122</v>
      </c>
      <c r="F311" s="33">
        <v>1591</v>
      </c>
      <c r="G311" s="33">
        <v>1600</v>
      </c>
      <c r="H311" s="33" t="s">
        <v>62</v>
      </c>
      <c r="I311" s="33">
        <v>5</v>
      </c>
      <c r="J311" s="33" t="s">
        <v>1821</v>
      </c>
      <c r="P311" s="197">
        <v>1</v>
      </c>
      <c r="Q311" s="31" t="s">
        <v>1743</v>
      </c>
      <c r="R311" s="31" t="s">
        <v>1805</v>
      </c>
      <c r="S311" s="31" t="s">
        <v>1817</v>
      </c>
      <c r="T311" s="31">
        <v>1</v>
      </c>
      <c r="U311" s="33" t="s">
        <v>2267</v>
      </c>
      <c r="V311" s="33">
        <v>14</v>
      </c>
      <c r="W311" s="752" t="s">
        <v>3565</v>
      </c>
      <c r="X311" s="33" t="s">
        <v>2913</v>
      </c>
      <c r="Y311" s="713">
        <v>1</v>
      </c>
      <c r="Z311" s="33">
        <v>9</v>
      </c>
      <c r="AA311" s="33">
        <v>2</v>
      </c>
      <c r="AB311" s="33">
        <v>3</v>
      </c>
      <c r="AD311" s="504">
        <v>0.03</v>
      </c>
      <c r="AE311" s="33">
        <v>16000</v>
      </c>
      <c r="AF311" s="33">
        <v>27000</v>
      </c>
      <c r="AG311" s="33"/>
    </row>
    <row r="312" spans="1:33" ht="13.5" customHeight="1">
      <c r="A312" s="182" t="s">
        <v>2595</v>
      </c>
      <c r="C312" s="196" t="s">
        <v>54</v>
      </c>
      <c r="D312" s="33" t="s">
        <v>1122</v>
      </c>
      <c r="E312" s="33" t="s">
        <v>1122</v>
      </c>
      <c r="F312" s="33">
        <v>1591</v>
      </c>
      <c r="G312" s="33">
        <v>1600</v>
      </c>
      <c r="H312" s="33" t="s">
        <v>62</v>
      </c>
      <c r="I312" s="33">
        <v>5</v>
      </c>
      <c r="J312" s="33" t="s">
        <v>1816</v>
      </c>
      <c r="P312" s="197">
        <v>1</v>
      </c>
      <c r="Q312" s="31" t="s">
        <v>1743</v>
      </c>
      <c r="R312" s="31" t="s">
        <v>1805</v>
      </c>
      <c r="S312" s="31" t="s">
        <v>1817</v>
      </c>
      <c r="T312" s="31">
        <v>1</v>
      </c>
      <c r="U312" s="33" t="s">
        <v>2267</v>
      </c>
      <c r="V312" s="33">
        <v>14</v>
      </c>
      <c r="W312" s="752" t="s">
        <v>3565</v>
      </c>
      <c r="X312" s="33" t="s">
        <v>2913</v>
      </c>
      <c r="Y312" s="713">
        <v>1</v>
      </c>
      <c r="Z312" s="33">
        <v>9</v>
      </c>
      <c r="AA312" s="33">
        <v>2</v>
      </c>
      <c r="AB312" s="33">
        <v>3</v>
      </c>
      <c r="AD312" s="504">
        <v>0.03</v>
      </c>
      <c r="AE312" s="33">
        <v>16000</v>
      </c>
      <c r="AF312" s="33">
        <v>27000</v>
      </c>
      <c r="AG312" s="33"/>
    </row>
    <row r="313" spans="1:33" ht="13.5" customHeight="1">
      <c r="A313" s="182" t="s">
        <v>2596</v>
      </c>
      <c r="C313" s="196" t="s">
        <v>54</v>
      </c>
      <c r="D313" s="33" t="s">
        <v>1122</v>
      </c>
      <c r="E313" s="33" t="s">
        <v>1122</v>
      </c>
      <c r="F313" s="33">
        <v>1591</v>
      </c>
      <c r="G313" s="33">
        <v>1600</v>
      </c>
      <c r="H313" s="33" t="s">
        <v>62</v>
      </c>
      <c r="I313" s="33">
        <v>5</v>
      </c>
      <c r="J313" s="33" t="s">
        <v>1819</v>
      </c>
      <c r="P313" s="197">
        <v>1</v>
      </c>
      <c r="Q313" s="31" t="s">
        <v>1743</v>
      </c>
      <c r="R313" s="31" t="s">
        <v>1805</v>
      </c>
      <c r="S313" s="31" t="s">
        <v>1817</v>
      </c>
      <c r="T313" s="31">
        <v>1</v>
      </c>
      <c r="U313" s="33" t="s">
        <v>2267</v>
      </c>
      <c r="V313" s="33">
        <v>14</v>
      </c>
      <c r="W313" s="752" t="s">
        <v>3565</v>
      </c>
      <c r="X313" s="33" t="s">
        <v>2913</v>
      </c>
      <c r="Y313" s="713">
        <v>1</v>
      </c>
      <c r="Z313" s="33">
        <v>9</v>
      </c>
      <c r="AA313" s="33">
        <v>2</v>
      </c>
      <c r="AB313" s="33">
        <v>3</v>
      </c>
      <c r="AD313" s="504">
        <v>0.03</v>
      </c>
      <c r="AE313" s="33">
        <v>16000</v>
      </c>
      <c r="AF313" s="33">
        <v>27000</v>
      </c>
      <c r="AG313" s="33"/>
    </row>
    <row r="314" spans="1:33" ht="13.5" customHeight="1">
      <c r="A314" s="182" t="s">
        <v>3175</v>
      </c>
      <c r="C314" s="196" t="s">
        <v>54</v>
      </c>
      <c r="D314" s="33" t="s">
        <v>1122</v>
      </c>
      <c r="E314" s="33" t="s">
        <v>1122</v>
      </c>
      <c r="F314" s="33">
        <v>1591</v>
      </c>
      <c r="G314" s="33">
        <v>1600</v>
      </c>
      <c r="H314" s="33" t="s">
        <v>62</v>
      </c>
      <c r="I314" s="33">
        <v>5</v>
      </c>
      <c r="J314" s="33" t="s">
        <v>1831</v>
      </c>
      <c r="P314" s="197">
        <v>1</v>
      </c>
      <c r="Q314" s="31" t="s">
        <v>1743</v>
      </c>
      <c r="R314" s="31" t="s">
        <v>1805</v>
      </c>
      <c r="S314" s="31" t="s">
        <v>1817</v>
      </c>
      <c r="T314" s="31">
        <v>1</v>
      </c>
      <c r="U314" s="33" t="s">
        <v>2267</v>
      </c>
      <c r="V314" s="33">
        <v>14</v>
      </c>
      <c r="W314" s="752" t="s">
        <v>3565</v>
      </c>
      <c r="X314" s="33" t="s">
        <v>2913</v>
      </c>
      <c r="Y314" s="713">
        <v>1</v>
      </c>
      <c r="Z314" s="33">
        <v>9</v>
      </c>
      <c r="AA314" s="33">
        <v>2</v>
      </c>
      <c r="AB314" s="33">
        <v>3</v>
      </c>
      <c r="AD314" s="504">
        <v>0.03</v>
      </c>
      <c r="AE314" s="33">
        <v>16000</v>
      </c>
      <c r="AF314" s="33">
        <v>27000</v>
      </c>
      <c r="AG314" s="33"/>
    </row>
    <row r="315" spans="1:33" ht="13.5" customHeight="1">
      <c r="A315" s="182" t="s">
        <v>2597</v>
      </c>
      <c r="C315" s="196" t="s">
        <v>54</v>
      </c>
      <c r="D315" s="33" t="s">
        <v>1122</v>
      </c>
      <c r="E315" s="33" t="s">
        <v>1122</v>
      </c>
      <c r="F315" s="33">
        <v>1591</v>
      </c>
      <c r="G315" s="33">
        <v>1600</v>
      </c>
      <c r="H315" s="33" t="s">
        <v>62</v>
      </c>
      <c r="I315" s="33">
        <v>5</v>
      </c>
      <c r="J315" s="33" t="s">
        <v>1829</v>
      </c>
      <c r="P315" s="197">
        <v>1</v>
      </c>
      <c r="Q315" s="31" t="s">
        <v>1743</v>
      </c>
      <c r="R315" s="31" t="s">
        <v>1805</v>
      </c>
      <c r="S315" s="31" t="s">
        <v>1817</v>
      </c>
      <c r="T315" s="31">
        <v>1</v>
      </c>
      <c r="U315" s="33" t="s">
        <v>2267</v>
      </c>
      <c r="V315" s="33">
        <v>14</v>
      </c>
      <c r="W315" s="752" t="s">
        <v>3565</v>
      </c>
      <c r="X315" s="33" t="s">
        <v>2913</v>
      </c>
      <c r="Y315" s="713">
        <v>1</v>
      </c>
      <c r="Z315" s="33">
        <v>9</v>
      </c>
      <c r="AA315" s="33">
        <v>2</v>
      </c>
      <c r="AB315" s="33">
        <v>3</v>
      </c>
      <c r="AD315" s="504">
        <v>0.03</v>
      </c>
      <c r="AE315" s="33">
        <v>16000</v>
      </c>
      <c r="AF315" s="33">
        <v>27000</v>
      </c>
      <c r="AG315" s="33"/>
    </row>
    <row r="316" spans="1:33" ht="13.5" customHeight="1">
      <c r="A316" s="182" t="s">
        <v>2598</v>
      </c>
      <c r="C316" s="196" t="s">
        <v>54</v>
      </c>
      <c r="D316" s="33" t="s">
        <v>1122</v>
      </c>
      <c r="E316" s="33" t="s">
        <v>1122</v>
      </c>
      <c r="F316" s="33">
        <v>1591</v>
      </c>
      <c r="G316" s="33">
        <v>1600</v>
      </c>
      <c r="H316" s="33" t="s">
        <v>62</v>
      </c>
      <c r="I316" s="33">
        <v>5</v>
      </c>
      <c r="J316" s="33" t="s">
        <v>1825</v>
      </c>
      <c r="P316" s="197">
        <v>1</v>
      </c>
      <c r="Q316" s="31" t="s">
        <v>1743</v>
      </c>
      <c r="R316" s="31" t="s">
        <v>1805</v>
      </c>
      <c r="S316" s="31" t="s">
        <v>1817</v>
      </c>
      <c r="T316" s="31">
        <v>1</v>
      </c>
      <c r="U316" s="33" t="s">
        <v>2267</v>
      </c>
      <c r="V316" s="33">
        <v>14</v>
      </c>
      <c r="W316" s="752" t="s">
        <v>3565</v>
      </c>
      <c r="X316" s="33" t="s">
        <v>2913</v>
      </c>
      <c r="Y316" s="713">
        <v>1</v>
      </c>
      <c r="Z316" s="33">
        <v>9</v>
      </c>
      <c r="AA316" s="33">
        <v>2</v>
      </c>
      <c r="AB316" s="33">
        <v>3</v>
      </c>
      <c r="AD316" s="504">
        <v>0.03</v>
      </c>
      <c r="AE316" s="33">
        <v>16000</v>
      </c>
      <c r="AF316" s="33">
        <v>27000</v>
      </c>
      <c r="AG316" s="33"/>
    </row>
    <row r="317" spans="1:33" ht="13.5" customHeight="1">
      <c r="A317" s="182" t="s">
        <v>2599</v>
      </c>
      <c r="C317" s="196" t="s">
        <v>54</v>
      </c>
      <c r="D317" s="33" t="s">
        <v>1122</v>
      </c>
      <c r="E317" s="33" t="s">
        <v>1122</v>
      </c>
      <c r="F317" s="33">
        <v>1591</v>
      </c>
      <c r="G317" s="33">
        <v>1600</v>
      </c>
      <c r="H317" s="33" t="s">
        <v>62</v>
      </c>
      <c r="I317" s="33">
        <v>5</v>
      </c>
      <c r="J317" s="33" t="s">
        <v>1827</v>
      </c>
      <c r="P317" s="197">
        <v>1</v>
      </c>
      <c r="Q317" s="31" t="s">
        <v>1743</v>
      </c>
      <c r="R317" s="31" t="s">
        <v>1805</v>
      </c>
      <c r="S317" s="31" t="s">
        <v>1817</v>
      </c>
      <c r="T317" s="31">
        <v>1</v>
      </c>
      <c r="U317" s="33" t="s">
        <v>2267</v>
      </c>
      <c r="V317" s="33">
        <v>14</v>
      </c>
      <c r="W317" s="752" t="s">
        <v>3565</v>
      </c>
      <c r="X317" s="33" t="s">
        <v>2913</v>
      </c>
      <c r="Y317" s="713">
        <v>1</v>
      </c>
      <c r="Z317" s="33">
        <v>9</v>
      </c>
      <c r="AA317" s="33">
        <v>2</v>
      </c>
      <c r="AB317" s="33">
        <v>3</v>
      </c>
      <c r="AD317" s="504">
        <v>0.03</v>
      </c>
      <c r="AE317" s="33">
        <v>16000</v>
      </c>
      <c r="AF317" s="33">
        <v>27000</v>
      </c>
      <c r="AG317" s="33"/>
    </row>
    <row r="318" spans="1:33" ht="13.5" customHeight="1">
      <c r="A318" s="182" t="s">
        <v>3176</v>
      </c>
      <c r="C318" s="196" t="s">
        <v>54</v>
      </c>
      <c r="D318" s="33" t="s">
        <v>1122</v>
      </c>
      <c r="E318" s="33" t="s">
        <v>1122</v>
      </c>
      <c r="F318" s="33">
        <v>1999</v>
      </c>
      <c r="G318" s="33">
        <v>2000</v>
      </c>
      <c r="H318" s="33" t="s">
        <v>62</v>
      </c>
      <c r="I318" s="33">
        <v>5</v>
      </c>
      <c r="J318" s="33" t="s">
        <v>2156</v>
      </c>
      <c r="P318" s="197">
        <v>1</v>
      </c>
      <c r="Q318" s="31" t="s">
        <v>1743</v>
      </c>
      <c r="R318" s="31" t="s">
        <v>1805</v>
      </c>
      <c r="S318" s="31" t="s">
        <v>1817</v>
      </c>
      <c r="T318" s="31">
        <v>1</v>
      </c>
      <c r="U318" s="33" t="s">
        <v>1667</v>
      </c>
      <c r="V318" s="33">
        <v>14</v>
      </c>
      <c r="X318" s="33" t="s">
        <v>2913</v>
      </c>
      <c r="Y318" s="713">
        <v>1</v>
      </c>
      <c r="Z318" s="33">
        <v>9</v>
      </c>
      <c r="AA318" s="33">
        <v>5</v>
      </c>
      <c r="AD318" s="504">
        <v>0.03</v>
      </c>
      <c r="AE318" s="33">
        <v>16000</v>
      </c>
      <c r="AF318" s="33">
        <v>27000</v>
      </c>
      <c r="AG318" s="33"/>
    </row>
    <row r="319" spans="1:33" ht="13.5" customHeight="1">
      <c r="A319" s="182" t="s">
        <v>2194</v>
      </c>
      <c r="C319" s="196" t="s">
        <v>54</v>
      </c>
      <c r="D319" s="33" t="s">
        <v>1122</v>
      </c>
      <c r="E319" s="33" t="s">
        <v>1122</v>
      </c>
      <c r="F319" s="33">
        <v>1999</v>
      </c>
      <c r="G319" s="33">
        <v>2000</v>
      </c>
      <c r="H319" s="33" t="s">
        <v>62</v>
      </c>
      <c r="I319" s="33">
        <v>5</v>
      </c>
      <c r="J319" s="33" t="s">
        <v>2157</v>
      </c>
      <c r="P319" s="197">
        <v>1</v>
      </c>
      <c r="Q319" s="31" t="s">
        <v>1743</v>
      </c>
      <c r="R319" s="31" t="s">
        <v>1805</v>
      </c>
      <c r="S319" s="31" t="s">
        <v>1817</v>
      </c>
      <c r="T319" s="31">
        <v>1</v>
      </c>
      <c r="U319" s="33" t="s">
        <v>1667</v>
      </c>
      <c r="V319" s="33">
        <v>14</v>
      </c>
      <c r="X319" s="33" t="s">
        <v>2913</v>
      </c>
      <c r="Y319" s="713">
        <v>1</v>
      </c>
      <c r="Z319" s="33">
        <v>9</v>
      </c>
      <c r="AA319" s="33">
        <v>5</v>
      </c>
      <c r="AD319" s="504">
        <v>0.03</v>
      </c>
      <c r="AE319" s="33">
        <v>16000</v>
      </c>
      <c r="AF319" s="33">
        <v>27000</v>
      </c>
      <c r="AG319" s="33"/>
    </row>
    <row r="320" spans="1:33" ht="13.5" customHeight="1">
      <c r="A320" s="182" t="s">
        <v>2195</v>
      </c>
      <c r="C320" s="196" t="s">
        <v>54</v>
      </c>
      <c r="D320" s="33" t="s">
        <v>1122</v>
      </c>
      <c r="E320" s="33" t="s">
        <v>1122</v>
      </c>
      <c r="F320" s="33">
        <v>1999</v>
      </c>
      <c r="G320" s="33">
        <v>2000</v>
      </c>
      <c r="H320" s="33" t="s">
        <v>62</v>
      </c>
      <c r="I320" s="33">
        <v>5</v>
      </c>
      <c r="J320" s="33" t="s">
        <v>2158</v>
      </c>
      <c r="P320" s="197">
        <v>1</v>
      </c>
      <c r="Q320" s="31" t="s">
        <v>1743</v>
      </c>
      <c r="R320" s="31" t="s">
        <v>1805</v>
      </c>
      <c r="S320" s="31" t="s">
        <v>1817</v>
      </c>
      <c r="T320" s="31">
        <v>1</v>
      </c>
      <c r="U320" s="33" t="s">
        <v>1667</v>
      </c>
      <c r="V320" s="33">
        <v>14</v>
      </c>
      <c r="X320" s="33" t="s">
        <v>2913</v>
      </c>
      <c r="Y320" s="713">
        <v>1</v>
      </c>
      <c r="Z320" s="33">
        <v>9</v>
      </c>
      <c r="AA320" s="33">
        <v>5</v>
      </c>
      <c r="AD320" s="504">
        <v>0.03</v>
      </c>
      <c r="AE320" s="33">
        <v>16000</v>
      </c>
      <c r="AF320" s="33">
        <v>27000</v>
      </c>
      <c r="AG320" s="33"/>
    </row>
    <row r="321" spans="1:37" ht="13.5" customHeight="1">
      <c r="A321" s="182" t="s">
        <v>2196</v>
      </c>
      <c r="C321" s="196" t="s">
        <v>54</v>
      </c>
      <c r="D321" s="33" t="s">
        <v>1122</v>
      </c>
      <c r="E321" s="33" t="s">
        <v>1122</v>
      </c>
      <c r="F321" s="33">
        <v>1999</v>
      </c>
      <c r="G321" s="33">
        <v>2000</v>
      </c>
      <c r="H321" s="33" t="s">
        <v>62</v>
      </c>
      <c r="I321" s="33">
        <v>5</v>
      </c>
      <c r="J321" s="33" t="s">
        <v>2159</v>
      </c>
      <c r="P321" s="197">
        <v>1</v>
      </c>
      <c r="Q321" s="31" t="s">
        <v>1743</v>
      </c>
      <c r="R321" s="31" t="s">
        <v>1805</v>
      </c>
      <c r="S321" s="31" t="s">
        <v>1817</v>
      </c>
      <c r="T321" s="31">
        <v>1</v>
      </c>
      <c r="U321" s="33" t="s">
        <v>1667</v>
      </c>
      <c r="V321" s="33">
        <v>14</v>
      </c>
      <c r="X321" s="33" t="s">
        <v>2913</v>
      </c>
      <c r="Y321" s="713">
        <v>1</v>
      </c>
      <c r="Z321" s="33">
        <v>9</v>
      </c>
      <c r="AA321" s="33">
        <v>5</v>
      </c>
      <c r="AD321" s="504">
        <v>0.03</v>
      </c>
      <c r="AE321" s="33">
        <v>16000</v>
      </c>
      <c r="AF321" s="33">
        <v>27000</v>
      </c>
      <c r="AG321" s="33"/>
    </row>
    <row r="322" spans="1:37" ht="13.5" customHeight="1">
      <c r="A322" s="182" t="s">
        <v>3177</v>
      </c>
      <c r="C322" s="196" t="s">
        <v>54</v>
      </c>
      <c r="D322" s="33" t="s">
        <v>1122</v>
      </c>
      <c r="E322" s="33" t="s">
        <v>1122</v>
      </c>
      <c r="F322" s="33">
        <v>1999</v>
      </c>
      <c r="G322" s="33">
        <v>2000</v>
      </c>
      <c r="H322" s="33" t="s">
        <v>62</v>
      </c>
      <c r="I322" s="33">
        <v>5</v>
      </c>
      <c r="J322" s="33" t="s">
        <v>2160</v>
      </c>
      <c r="P322" s="197">
        <v>1</v>
      </c>
      <c r="Q322" s="31" t="s">
        <v>1743</v>
      </c>
      <c r="R322" s="31" t="s">
        <v>1805</v>
      </c>
      <c r="S322" s="31" t="s">
        <v>1817</v>
      </c>
      <c r="T322" s="31">
        <v>1</v>
      </c>
      <c r="U322" s="33" t="s">
        <v>1667</v>
      </c>
      <c r="V322" s="33">
        <v>14</v>
      </c>
      <c r="X322" s="33" t="s">
        <v>2913</v>
      </c>
      <c r="Y322" s="713">
        <v>1</v>
      </c>
      <c r="Z322" s="33">
        <v>9</v>
      </c>
      <c r="AA322" s="33">
        <v>5</v>
      </c>
      <c r="AD322" s="504">
        <v>0.03</v>
      </c>
      <c r="AE322" s="33">
        <v>16000</v>
      </c>
      <c r="AF322" s="33">
        <v>27000</v>
      </c>
      <c r="AG322" s="33"/>
    </row>
    <row r="323" spans="1:37" ht="13.5" customHeight="1">
      <c r="A323" s="182" t="s">
        <v>2197</v>
      </c>
      <c r="C323" s="196" t="s">
        <v>54</v>
      </c>
      <c r="D323" s="33" t="s">
        <v>1122</v>
      </c>
      <c r="E323" s="33" t="s">
        <v>1122</v>
      </c>
      <c r="F323" s="33">
        <v>1999</v>
      </c>
      <c r="G323" s="33">
        <v>2000</v>
      </c>
      <c r="H323" s="33" t="s">
        <v>62</v>
      </c>
      <c r="I323" s="33">
        <v>5</v>
      </c>
      <c r="J323" s="33" t="s">
        <v>2161</v>
      </c>
      <c r="P323" s="197">
        <v>1</v>
      </c>
      <c r="Q323" s="31" t="s">
        <v>1743</v>
      </c>
      <c r="R323" s="31" t="s">
        <v>1805</v>
      </c>
      <c r="S323" s="31" t="s">
        <v>1817</v>
      </c>
      <c r="T323" s="31">
        <v>1</v>
      </c>
      <c r="U323" s="33" t="s">
        <v>1667</v>
      </c>
      <c r="V323" s="33">
        <v>14</v>
      </c>
      <c r="X323" s="33" t="s">
        <v>2913</v>
      </c>
      <c r="Y323" s="713">
        <v>1</v>
      </c>
      <c r="Z323" s="33">
        <v>9</v>
      </c>
      <c r="AA323" s="33">
        <v>5</v>
      </c>
      <c r="AD323" s="504">
        <v>0.03</v>
      </c>
      <c r="AE323" s="33">
        <v>16000</v>
      </c>
      <c r="AF323" s="33">
        <v>27000</v>
      </c>
      <c r="AG323" s="33"/>
    </row>
    <row r="324" spans="1:37" ht="13.5" customHeight="1">
      <c r="A324" s="182" t="s">
        <v>2198</v>
      </c>
      <c r="C324" s="196" t="s">
        <v>54</v>
      </c>
      <c r="D324" s="33" t="s">
        <v>1122</v>
      </c>
      <c r="E324" s="33" t="s">
        <v>1122</v>
      </c>
      <c r="F324" s="33">
        <v>1999</v>
      </c>
      <c r="G324" s="33">
        <v>2000</v>
      </c>
      <c r="H324" s="33" t="s">
        <v>62</v>
      </c>
      <c r="I324" s="33">
        <v>5</v>
      </c>
      <c r="J324" s="33" t="s">
        <v>2162</v>
      </c>
      <c r="P324" s="197">
        <v>1</v>
      </c>
      <c r="Q324" s="31" t="s">
        <v>1743</v>
      </c>
      <c r="R324" s="31" t="s">
        <v>1805</v>
      </c>
      <c r="S324" s="31" t="s">
        <v>1817</v>
      </c>
      <c r="T324" s="31">
        <v>1</v>
      </c>
      <c r="U324" s="33" t="s">
        <v>1667</v>
      </c>
      <c r="V324" s="33">
        <v>14</v>
      </c>
      <c r="X324" s="33" t="s">
        <v>2913</v>
      </c>
      <c r="Y324" s="713">
        <v>1</v>
      </c>
      <c r="Z324" s="33">
        <v>9</v>
      </c>
      <c r="AA324" s="33">
        <v>5</v>
      </c>
      <c r="AD324" s="504">
        <v>0.03</v>
      </c>
      <c r="AE324" s="33">
        <v>16000</v>
      </c>
      <c r="AF324" s="33">
        <v>27000</v>
      </c>
      <c r="AG324" s="33"/>
    </row>
    <row r="325" spans="1:37" ht="13.5" customHeight="1">
      <c r="A325" s="182" t="s">
        <v>2199</v>
      </c>
      <c r="C325" s="196" t="s">
        <v>54</v>
      </c>
      <c r="D325" s="33" t="s">
        <v>1122</v>
      </c>
      <c r="E325" s="33" t="s">
        <v>1122</v>
      </c>
      <c r="F325" s="33">
        <v>1999</v>
      </c>
      <c r="G325" s="33">
        <v>2000</v>
      </c>
      <c r="H325" s="33" t="s">
        <v>62</v>
      </c>
      <c r="I325" s="33">
        <v>5</v>
      </c>
      <c r="J325" s="33" t="s">
        <v>2163</v>
      </c>
      <c r="P325" s="197">
        <v>1</v>
      </c>
      <c r="Q325" s="31" t="s">
        <v>1743</v>
      </c>
      <c r="R325" s="31" t="s">
        <v>1805</v>
      </c>
      <c r="S325" s="31" t="s">
        <v>1817</v>
      </c>
      <c r="T325" s="31">
        <v>1</v>
      </c>
      <c r="U325" s="33" t="s">
        <v>1667</v>
      </c>
      <c r="V325" s="33">
        <v>14</v>
      </c>
      <c r="X325" s="33" t="s">
        <v>2913</v>
      </c>
      <c r="Y325" s="713">
        <v>1</v>
      </c>
      <c r="Z325" s="33">
        <v>9</v>
      </c>
      <c r="AA325" s="33">
        <v>5</v>
      </c>
      <c r="AD325" s="504">
        <v>0.03</v>
      </c>
      <c r="AE325" s="33">
        <v>16000</v>
      </c>
      <c r="AF325" s="33">
        <v>27000</v>
      </c>
      <c r="AG325" s="33"/>
    </row>
    <row r="326" spans="1:37" ht="13.5" customHeight="1">
      <c r="A326" s="182" t="s">
        <v>2415</v>
      </c>
      <c r="C326" s="196" t="s">
        <v>54</v>
      </c>
      <c r="D326" s="33" t="s">
        <v>2559</v>
      </c>
      <c r="E326" s="33" t="s">
        <v>2487</v>
      </c>
      <c r="F326" s="33">
        <v>2151</v>
      </c>
      <c r="G326" s="33">
        <v>2200</v>
      </c>
      <c r="H326" s="33" t="s">
        <v>55</v>
      </c>
      <c r="I326" s="33">
        <v>7</v>
      </c>
      <c r="J326" s="33" t="s">
        <v>2488</v>
      </c>
      <c r="P326" s="197">
        <v>1</v>
      </c>
      <c r="Q326" s="31" t="s">
        <v>1814</v>
      </c>
      <c r="R326" s="31" t="s">
        <v>2562</v>
      </c>
      <c r="S326" s="31" t="s">
        <v>1745</v>
      </c>
      <c r="T326" s="31">
        <v>1</v>
      </c>
      <c r="U326" s="33" t="s">
        <v>2601</v>
      </c>
      <c r="V326" s="33">
        <v>10</v>
      </c>
      <c r="X326" s="33" t="s">
        <v>3446</v>
      </c>
      <c r="Y326" s="713">
        <v>1</v>
      </c>
      <c r="Z326" s="33">
        <v>8</v>
      </c>
      <c r="AA326" s="33">
        <v>3</v>
      </c>
      <c r="AB326" s="33">
        <v>4</v>
      </c>
      <c r="AD326" s="504">
        <v>0.03</v>
      </c>
      <c r="AE326" s="33">
        <v>18000</v>
      </c>
      <c r="AF326" s="33">
        <v>29000</v>
      </c>
      <c r="AG326" s="33"/>
      <c r="AK326" s="33" t="s">
        <v>2908</v>
      </c>
    </row>
    <row r="327" spans="1:37" ht="13.5" customHeight="1">
      <c r="A327" s="182" t="s">
        <v>2416</v>
      </c>
      <c r="C327" s="196" t="s">
        <v>54</v>
      </c>
      <c r="D327" s="33" t="s">
        <v>2559</v>
      </c>
      <c r="E327" s="33" t="s">
        <v>2487</v>
      </c>
      <c r="F327" s="33">
        <v>2151</v>
      </c>
      <c r="G327" s="33">
        <v>2200</v>
      </c>
      <c r="H327" s="33" t="s">
        <v>55</v>
      </c>
      <c r="I327" s="33">
        <v>6</v>
      </c>
      <c r="J327" s="33" t="s">
        <v>2489</v>
      </c>
      <c r="P327" s="197">
        <v>1</v>
      </c>
      <c r="Q327" s="31" t="s">
        <v>1814</v>
      </c>
      <c r="R327" s="31" t="s">
        <v>2562</v>
      </c>
      <c r="S327" s="31" t="s">
        <v>1745</v>
      </c>
      <c r="T327" s="31">
        <v>1</v>
      </c>
      <c r="U327" s="33" t="s">
        <v>2601</v>
      </c>
      <c r="V327" s="33">
        <v>10</v>
      </c>
      <c r="X327" s="33" t="s">
        <v>3446</v>
      </c>
      <c r="Y327" s="713">
        <v>1</v>
      </c>
      <c r="Z327" s="33">
        <v>8</v>
      </c>
      <c r="AA327" s="33">
        <v>3</v>
      </c>
      <c r="AB327" s="33">
        <v>4</v>
      </c>
      <c r="AD327" s="504">
        <v>0.03</v>
      </c>
      <c r="AE327" s="33">
        <v>19000</v>
      </c>
      <c r="AF327" s="33">
        <v>34000</v>
      </c>
      <c r="AG327" s="33"/>
      <c r="AK327" s="33" t="s">
        <v>2908</v>
      </c>
    </row>
    <row r="328" spans="1:37" ht="13.5" customHeight="1">
      <c r="A328" s="182" t="s">
        <v>2417</v>
      </c>
      <c r="C328" s="196" t="s">
        <v>54</v>
      </c>
      <c r="D328" s="33" t="s">
        <v>2559</v>
      </c>
      <c r="E328" s="33" t="s">
        <v>2487</v>
      </c>
      <c r="F328" s="33">
        <v>2151</v>
      </c>
      <c r="G328" s="33">
        <v>2200</v>
      </c>
      <c r="H328" s="33" t="s">
        <v>55</v>
      </c>
      <c r="I328" s="33">
        <v>5</v>
      </c>
      <c r="J328" s="33" t="s">
        <v>2490</v>
      </c>
      <c r="P328" s="197">
        <v>1</v>
      </c>
      <c r="Q328" s="31" t="s">
        <v>1743</v>
      </c>
      <c r="R328" s="31" t="s">
        <v>2562</v>
      </c>
      <c r="S328" s="31" t="s">
        <v>1745</v>
      </c>
      <c r="T328" s="31">
        <v>1</v>
      </c>
      <c r="U328" s="33" t="s">
        <v>2601</v>
      </c>
      <c r="V328" s="33">
        <v>10</v>
      </c>
      <c r="X328" s="33" t="s">
        <v>3446</v>
      </c>
      <c r="Y328" s="713">
        <v>1</v>
      </c>
      <c r="Z328" s="33">
        <v>8</v>
      </c>
      <c r="AA328" s="33">
        <v>3</v>
      </c>
      <c r="AB328" s="33">
        <v>4</v>
      </c>
      <c r="AD328" s="504">
        <v>0.03</v>
      </c>
      <c r="AE328" s="33">
        <v>19000</v>
      </c>
      <c r="AF328" s="33">
        <v>34000</v>
      </c>
      <c r="AG328" s="33"/>
      <c r="AK328" s="33" t="s">
        <v>2908</v>
      </c>
    </row>
    <row r="329" spans="1:37" ht="13.5" customHeight="1">
      <c r="A329" s="182" t="s">
        <v>2418</v>
      </c>
      <c r="C329" s="196" t="s">
        <v>54</v>
      </c>
      <c r="D329" s="33" t="s">
        <v>2559</v>
      </c>
      <c r="E329" s="33" t="s">
        <v>2487</v>
      </c>
      <c r="F329" s="33">
        <v>2151</v>
      </c>
      <c r="G329" s="33">
        <v>2200</v>
      </c>
      <c r="H329" s="33" t="s">
        <v>55</v>
      </c>
      <c r="I329" s="33">
        <v>7</v>
      </c>
      <c r="J329" s="33" t="s">
        <v>2491</v>
      </c>
      <c r="P329" s="197">
        <v>1</v>
      </c>
      <c r="Q329" s="31" t="s">
        <v>1814</v>
      </c>
      <c r="R329" s="31" t="s">
        <v>2562</v>
      </c>
      <c r="S329" s="31" t="s">
        <v>1745</v>
      </c>
      <c r="T329" s="31">
        <v>1</v>
      </c>
      <c r="U329" s="33" t="s">
        <v>2601</v>
      </c>
      <c r="V329" s="33">
        <v>10</v>
      </c>
      <c r="X329" s="33" t="s">
        <v>3446</v>
      </c>
      <c r="Y329" s="713">
        <v>1</v>
      </c>
      <c r="Z329" s="33">
        <v>8</v>
      </c>
      <c r="AA329" s="33">
        <v>3</v>
      </c>
      <c r="AB329" s="33">
        <v>4</v>
      </c>
      <c r="AD329" s="504">
        <v>0.03</v>
      </c>
      <c r="AE329" s="33">
        <v>18000</v>
      </c>
      <c r="AF329" s="33">
        <v>29000</v>
      </c>
      <c r="AG329" s="33"/>
      <c r="AK329" s="33" t="s">
        <v>2908</v>
      </c>
    </row>
    <row r="330" spans="1:37" ht="13.5" customHeight="1">
      <c r="A330" s="182" t="s">
        <v>2419</v>
      </c>
      <c r="C330" s="196" t="s">
        <v>54</v>
      </c>
      <c r="D330" s="33" t="s">
        <v>2559</v>
      </c>
      <c r="E330" s="33" t="s">
        <v>2487</v>
      </c>
      <c r="F330" s="33">
        <v>2151</v>
      </c>
      <c r="G330" s="33">
        <v>2200</v>
      </c>
      <c r="H330" s="33" t="s">
        <v>55</v>
      </c>
      <c r="I330" s="33">
        <v>6</v>
      </c>
      <c r="J330" s="33" t="s">
        <v>2492</v>
      </c>
      <c r="P330" s="197">
        <v>1</v>
      </c>
      <c r="Q330" s="31" t="s">
        <v>1814</v>
      </c>
      <c r="R330" s="31" t="s">
        <v>2562</v>
      </c>
      <c r="S330" s="31" t="s">
        <v>1745</v>
      </c>
      <c r="T330" s="31">
        <v>1</v>
      </c>
      <c r="U330" s="33" t="s">
        <v>2601</v>
      </c>
      <c r="V330" s="33">
        <v>10</v>
      </c>
      <c r="X330" s="33" t="s">
        <v>3446</v>
      </c>
      <c r="Y330" s="713">
        <v>1</v>
      </c>
      <c r="Z330" s="33">
        <v>8</v>
      </c>
      <c r="AA330" s="33">
        <v>3</v>
      </c>
      <c r="AB330" s="33">
        <v>4</v>
      </c>
      <c r="AD330" s="504">
        <v>0.03</v>
      </c>
      <c r="AE330" s="33">
        <v>19000</v>
      </c>
      <c r="AF330" s="33">
        <v>34000</v>
      </c>
      <c r="AG330" s="33"/>
      <c r="AK330" s="33" t="s">
        <v>2908</v>
      </c>
    </row>
    <row r="331" spans="1:37" ht="13.5" customHeight="1">
      <c r="A331" s="182" t="s">
        <v>2420</v>
      </c>
      <c r="C331" s="196" t="s">
        <v>54</v>
      </c>
      <c r="D331" s="33" t="s">
        <v>2559</v>
      </c>
      <c r="E331" s="33" t="s">
        <v>2487</v>
      </c>
      <c r="F331" s="33">
        <v>2151</v>
      </c>
      <c r="G331" s="33">
        <v>2200</v>
      </c>
      <c r="H331" s="33" t="s">
        <v>55</v>
      </c>
      <c r="I331" s="33">
        <v>5</v>
      </c>
      <c r="J331" s="33" t="s">
        <v>2493</v>
      </c>
      <c r="P331" s="196">
        <v>1</v>
      </c>
      <c r="Q331" s="33" t="s">
        <v>1743</v>
      </c>
      <c r="R331" s="31" t="s">
        <v>2562</v>
      </c>
      <c r="S331" s="33" t="s">
        <v>1745</v>
      </c>
      <c r="T331" s="31">
        <v>1</v>
      </c>
      <c r="U331" s="33" t="s">
        <v>2601</v>
      </c>
      <c r="V331" s="33">
        <v>10</v>
      </c>
      <c r="X331" s="33" t="s">
        <v>3446</v>
      </c>
      <c r="Y331" s="713">
        <v>1</v>
      </c>
      <c r="Z331" s="33">
        <v>8</v>
      </c>
      <c r="AA331" s="33">
        <v>3</v>
      </c>
      <c r="AB331" s="33">
        <v>4</v>
      </c>
      <c r="AD331" s="504">
        <v>0.03</v>
      </c>
      <c r="AE331" s="33">
        <v>19000</v>
      </c>
      <c r="AF331" s="33">
        <v>34000</v>
      </c>
      <c r="AG331" s="33"/>
      <c r="AK331" s="33" t="s">
        <v>2908</v>
      </c>
    </row>
    <row r="332" spans="1:37" ht="13.5" customHeight="1">
      <c r="A332" s="182" t="s">
        <v>2421</v>
      </c>
      <c r="C332" s="196" t="s">
        <v>54</v>
      </c>
      <c r="D332" s="33" t="s">
        <v>2559</v>
      </c>
      <c r="E332" s="33" t="s">
        <v>2487</v>
      </c>
      <c r="F332" s="33">
        <v>2151</v>
      </c>
      <c r="G332" s="33">
        <v>2200</v>
      </c>
      <c r="H332" s="33" t="s">
        <v>55</v>
      </c>
      <c r="I332" s="33">
        <v>7</v>
      </c>
      <c r="J332" s="33" t="s">
        <v>2494</v>
      </c>
      <c r="P332" s="196">
        <v>1</v>
      </c>
      <c r="Q332" s="31" t="s">
        <v>1814</v>
      </c>
      <c r="R332" s="31" t="s">
        <v>2562</v>
      </c>
      <c r="S332" s="33" t="s">
        <v>1745</v>
      </c>
      <c r="T332" s="31">
        <v>1</v>
      </c>
      <c r="U332" s="33" t="s">
        <v>2601</v>
      </c>
      <c r="V332" s="33">
        <v>10</v>
      </c>
      <c r="X332" s="33" t="s">
        <v>3446</v>
      </c>
      <c r="Y332" s="713">
        <v>1</v>
      </c>
      <c r="Z332" s="33">
        <v>8</v>
      </c>
      <c r="AA332" s="33">
        <v>3</v>
      </c>
      <c r="AB332" s="33">
        <v>4</v>
      </c>
      <c r="AD332" s="504">
        <v>0.03</v>
      </c>
      <c r="AE332" s="33">
        <v>18000</v>
      </c>
      <c r="AF332" s="33">
        <v>29000</v>
      </c>
      <c r="AG332" s="33"/>
      <c r="AK332" s="33" t="s">
        <v>2908</v>
      </c>
    </row>
    <row r="333" spans="1:37" ht="13.5" customHeight="1">
      <c r="A333" s="182" t="s">
        <v>2422</v>
      </c>
      <c r="C333" s="196" t="s">
        <v>54</v>
      </c>
      <c r="D333" s="33" t="s">
        <v>2559</v>
      </c>
      <c r="E333" s="33" t="s">
        <v>2487</v>
      </c>
      <c r="F333" s="33">
        <v>2151</v>
      </c>
      <c r="G333" s="33">
        <v>2200</v>
      </c>
      <c r="H333" s="33" t="s">
        <v>55</v>
      </c>
      <c r="I333" s="33">
        <v>6</v>
      </c>
      <c r="J333" s="33" t="s">
        <v>2495</v>
      </c>
      <c r="P333" s="196">
        <v>1</v>
      </c>
      <c r="Q333" s="31" t="s">
        <v>1814</v>
      </c>
      <c r="R333" s="31" t="s">
        <v>2562</v>
      </c>
      <c r="S333" s="33" t="s">
        <v>1745</v>
      </c>
      <c r="T333" s="31">
        <v>1</v>
      </c>
      <c r="U333" s="33" t="s">
        <v>2601</v>
      </c>
      <c r="V333" s="33">
        <v>10</v>
      </c>
      <c r="X333" s="33" t="s">
        <v>3446</v>
      </c>
      <c r="Y333" s="713">
        <v>1</v>
      </c>
      <c r="Z333" s="33">
        <v>8</v>
      </c>
      <c r="AA333" s="33">
        <v>3</v>
      </c>
      <c r="AB333" s="33">
        <v>4</v>
      </c>
      <c r="AD333" s="504">
        <v>0.03</v>
      </c>
      <c r="AE333" s="33">
        <v>19000</v>
      </c>
      <c r="AF333" s="33">
        <v>34000</v>
      </c>
      <c r="AG333" s="33"/>
      <c r="AK333" s="33" t="s">
        <v>2908</v>
      </c>
    </row>
    <row r="334" spans="1:37" ht="13.5" customHeight="1">
      <c r="A334" s="182" t="s">
        <v>2423</v>
      </c>
      <c r="C334" s="196" t="s">
        <v>54</v>
      </c>
      <c r="D334" s="33" t="s">
        <v>2559</v>
      </c>
      <c r="E334" s="33" t="s">
        <v>2487</v>
      </c>
      <c r="F334" s="33">
        <v>2151</v>
      </c>
      <c r="G334" s="33">
        <v>2200</v>
      </c>
      <c r="H334" s="33" t="s">
        <v>55</v>
      </c>
      <c r="I334" s="33">
        <v>5</v>
      </c>
      <c r="J334" s="33" t="s">
        <v>2496</v>
      </c>
      <c r="P334" s="196">
        <v>1</v>
      </c>
      <c r="Q334" s="33" t="s">
        <v>1743</v>
      </c>
      <c r="R334" s="31" t="s">
        <v>2562</v>
      </c>
      <c r="S334" s="33" t="s">
        <v>1745</v>
      </c>
      <c r="T334" s="31">
        <v>1</v>
      </c>
      <c r="U334" s="33" t="s">
        <v>2601</v>
      </c>
      <c r="V334" s="33">
        <v>10</v>
      </c>
      <c r="X334" s="33" t="s">
        <v>3446</v>
      </c>
      <c r="Y334" s="713">
        <v>1</v>
      </c>
      <c r="Z334" s="33">
        <v>8</v>
      </c>
      <c r="AA334" s="33">
        <v>3</v>
      </c>
      <c r="AB334" s="33">
        <v>4</v>
      </c>
      <c r="AD334" s="504">
        <v>0.03</v>
      </c>
      <c r="AE334" s="33">
        <v>19000</v>
      </c>
      <c r="AF334" s="33">
        <v>34000</v>
      </c>
      <c r="AG334" s="33"/>
      <c r="AK334" s="33" t="s">
        <v>2908</v>
      </c>
    </row>
    <row r="335" spans="1:37" ht="13.5" customHeight="1">
      <c r="A335" s="182" t="s">
        <v>2424</v>
      </c>
      <c r="C335" s="196" t="s">
        <v>54</v>
      </c>
      <c r="D335" s="33" t="s">
        <v>2559</v>
      </c>
      <c r="E335" s="33" t="s">
        <v>2487</v>
      </c>
      <c r="F335" s="33">
        <v>2151</v>
      </c>
      <c r="G335" s="33">
        <v>2200</v>
      </c>
      <c r="H335" s="33" t="s">
        <v>55</v>
      </c>
      <c r="I335" s="33">
        <v>7</v>
      </c>
      <c r="J335" s="33" t="s">
        <v>2497</v>
      </c>
      <c r="P335" s="196">
        <v>1</v>
      </c>
      <c r="Q335" s="31" t="s">
        <v>1814</v>
      </c>
      <c r="R335" s="31" t="s">
        <v>2562</v>
      </c>
      <c r="S335" s="33" t="s">
        <v>1745</v>
      </c>
      <c r="T335" s="31">
        <v>1</v>
      </c>
      <c r="U335" s="33" t="s">
        <v>2601</v>
      </c>
      <c r="V335" s="33">
        <v>10</v>
      </c>
      <c r="X335" s="33" t="s">
        <v>3446</v>
      </c>
      <c r="Y335" s="713">
        <v>1</v>
      </c>
      <c r="Z335" s="33">
        <v>8</v>
      </c>
      <c r="AA335" s="33">
        <v>3</v>
      </c>
      <c r="AB335" s="33">
        <v>4</v>
      </c>
      <c r="AD335" s="504">
        <v>0.03</v>
      </c>
      <c r="AE335" s="33">
        <v>18000</v>
      </c>
      <c r="AF335" s="33">
        <v>29000</v>
      </c>
      <c r="AG335" s="33"/>
      <c r="AK335" s="33" t="s">
        <v>2908</v>
      </c>
    </row>
    <row r="336" spans="1:37" ht="13.5" customHeight="1">
      <c r="A336" s="182" t="s">
        <v>2425</v>
      </c>
      <c r="C336" s="196" t="s">
        <v>54</v>
      </c>
      <c r="D336" s="33" t="s">
        <v>2559</v>
      </c>
      <c r="E336" s="33" t="s">
        <v>2487</v>
      </c>
      <c r="F336" s="33">
        <v>2151</v>
      </c>
      <c r="G336" s="33">
        <v>2200</v>
      </c>
      <c r="H336" s="33" t="s">
        <v>55</v>
      </c>
      <c r="I336" s="33">
        <v>6</v>
      </c>
      <c r="J336" s="33" t="s">
        <v>2498</v>
      </c>
      <c r="P336" s="197">
        <v>1</v>
      </c>
      <c r="Q336" s="31" t="s">
        <v>1814</v>
      </c>
      <c r="R336" s="31" t="s">
        <v>2562</v>
      </c>
      <c r="S336" s="31" t="s">
        <v>1745</v>
      </c>
      <c r="T336" s="31">
        <v>1</v>
      </c>
      <c r="U336" s="33" t="s">
        <v>2601</v>
      </c>
      <c r="V336" s="33">
        <v>10</v>
      </c>
      <c r="X336" s="33" t="s">
        <v>3446</v>
      </c>
      <c r="Y336" s="713">
        <v>1</v>
      </c>
      <c r="Z336" s="33">
        <v>8</v>
      </c>
      <c r="AA336" s="33">
        <v>3</v>
      </c>
      <c r="AB336" s="33">
        <v>4</v>
      </c>
      <c r="AD336" s="504">
        <v>0.03</v>
      </c>
      <c r="AE336" s="33">
        <v>19000</v>
      </c>
      <c r="AF336" s="33">
        <v>34000</v>
      </c>
      <c r="AG336" s="33"/>
      <c r="AK336" s="33" t="s">
        <v>2908</v>
      </c>
    </row>
    <row r="337" spans="1:37" ht="13.5" customHeight="1">
      <c r="A337" s="182" t="s">
        <v>2426</v>
      </c>
      <c r="C337" s="196" t="s">
        <v>54</v>
      </c>
      <c r="D337" s="33" t="s">
        <v>2559</v>
      </c>
      <c r="E337" s="33" t="s">
        <v>2487</v>
      </c>
      <c r="F337" s="33">
        <v>2151</v>
      </c>
      <c r="G337" s="33">
        <v>2200</v>
      </c>
      <c r="H337" s="33" t="s">
        <v>55</v>
      </c>
      <c r="I337" s="33">
        <v>5</v>
      </c>
      <c r="J337" s="33" t="s">
        <v>2499</v>
      </c>
      <c r="P337" s="197">
        <v>1</v>
      </c>
      <c r="Q337" s="31" t="s">
        <v>1743</v>
      </c>
      <c r="R337" s="31" t="s">
        <v>2562</v>
      </c>
      <c r="S337" s="31" t="s">
        <v>1745</v>
      </c>
      <c r="T337" s="31">
        <v>1</v>
      </c>
      <c r="U337" s="33" t="s">
        <v>2601</v>
      </c>
      <c r="V337" s="33">
        <v>10</v>
      </c>
      <c r="X337" s="33" t="s">
        <v>3446</v>
      </c>
      <c r="Y337" s="713">
        <v>1</v>
      </c>
      <c r="Z337" s="33">
        <v>8</v>
      </c>
      <c r="AA337" s="33">
        <v>3</v>
      </c>
      <c r="AB337" s="33">
        <v>4</v>
      </c>
      <c r="AD337" s="504">
        <v>0.03</v>
      </c>
      <c r="AE337" s="33">
        <v>19000</v>
      </c>
      <c r="AF337" s="33">
        <v>34000</v>
      </c>
      <c r="AG337" s="33"/>
      <c r="AK337" s="33" t="s">
        <v>2908</v>
      </c>
    </row>
    <row r="338" spans="1:37" ht="13.5" customHeight="1">
      <c r="A338" s="182" t="s">
        <v>2427</v>
      </c>
      <c r="C338" s="196" t="s">
        <v>54</v>
      </c>
      <c r="D338" s="33" t="s">
        <v>2559</v>
      </c>
      <c r="E338" s="33" t="s">
        <v>2487</v>
      </c>
      <c r="F338" s="33">
        <v>2151</v>
      </c>
      <c r="G338" s="33">
        <v>2200</v>
      </c>
      <c r="H338" s="33" t="s">
        <v>55</v>
      </c>
      <c r="I338" s="33">
        <v>7</v>
      </c>
      <c r="J338" s="33" t="s">
        <v>2500</v>
      </c>
      <c r="P338" s="197">
        <v>1</v>
      </c>
      <c r="Q338" s="31" t="s">
        <v>1814</v>
      </c>
      <c r="R338" s="31" t="s">
        <v>2562</v>
      </c>
      <c r="S338" s="31" t="s">
        <v>1745</v>
      </c>
      <c r="T338" s="31">
        <v>1</v>
      </c>
      <c r="U338" s="33" t="s">
        <v>2601</v>
      </c>
      <c r="V338" s="33">
        <v>10</v>
      </c>
      <c r="X338" s="33" t="s">
        <v>3446</v>
      </c>
      <c r="Y338" s="713">
        <v>1</v>
      </c>
      <c r="Z338" s="33">
        <v>8</v>
      </c>
      <c r="AA338" s="33">
        <v>4</v>
      </c>
      <c r="AD338" s="504">
        <v>0.03</v>
      </c>
      <c r="AE338" s="33">
        <v>18000</v>
      </c>
      <c r="AF338" s="33">
        <v>29000</v>
      </c>
      <c r="AG338" s="33"/>
      <c r="AK338" s="33" t="s">
        <v>2908</v>
      </c>
    </row>
    <row r="339" spans="1:37" ht="13.5" customHeight="1">
      <c r="A339" s="182" t="s">
        <v>2428</v>
      </c>
      <c r="C339" s="196" t="s">
        <v>54</v>
      </c>
      <c r="D339" s="33" t="s">
        <v>2559</v>
      </c>
      <c r="E339" s="33" t="s">
        <v>2487</v>
      </c>
      <c r="F339" s="33">
        <v>2151</v>
      </c>
      <c r="G339" s="33">
        <v>2200</v>
      </c>
      <c r="H339" s="33" t="s">
        <v>55</v>
      </c>
      <c r="I339" s="33">
        <v>6</v>
      </c>
      <c r="J339" s="33" t="s">
        <v>2501</v>
      </c>
      <c r="P339" s="197">
        <v>1</v>
      </c>
      <c r="Q339" s="31" t="s">
        <v>1814</v>
      </c>
      <c r="R339" s="31" t="s">
        <v>2562</v>
      </c>
      <c r="S339" s="31" t="s">
        <v>1745</v>
      </c>
      <c r="T339" s="31">
        <v>1</v>
      </c>
      <c r="U339" s="33" t="s">
        <v>2601</v>
      </c>
      <c r="V339" s="33">
        <v>10</v>
      </c>
      <c r="X339" s="33" t="s">
        <v>3446</v>
      </c>
      <c r="Y339" s="713">
        <v>1</v>
      </c>
      <c r="Z339" s="33">
        <v>8</v>
      </c>
      <c r="AA339" s="33">
        <v>4</v>
      </c>
      <c r="AD339" s="504">
        <v>0.03</v>
      </c>
      <c r="AE339" s="33">
        <v>19000</v>
      </c>
      <c r="AF339" s="33">
        <v>34000</v>
      </c>
      <c r="AG339" s="33"/>
      <c r="AK339" s="33" t="s">
        <v>2908</v>
      </c>
    </row>
    <row r="340" spans="1:37" ht="13.5" customHeight="1">
      <c r="A340" s="182" t="s">
        <v>2429</v>
      </c>
      <c r="C340" s="196" t="s">
        <v>54</v>
      </c>
      <c r="D340" s="33" t="s">
        <v>2559</v>
      </c>
      <c r="E340" s="33" t="s">
        <v>2487</v>
      </c>
      <c r="F340" s="33">
        <v>2151</v>
      </c>
      <c r="G340" s="33">
        <v>2200</v>
      </c>
      <c r="H340" s="33" t="s">
        <v>55</v>
      </c>
      <c r="I340" s="33">
        <v>5</v>
      </c>
      <c r="J340" s="33" t="s">
        <v>2502</v>
      </c>
      <c r="P340" s="197">
        <v>1</v>
      </c>
      <c r="Q340" s="31" t="s">
        <v>1743</v>
      </c>
      <c r="R340" s="31" t="s">
        <v>2562</v>
      </c>
      <c r="S340" s="31" t="s">
        <v>1745</v>
      </c>
      <c r="T340" s="31">
        <v>1</v>
      </c>
      <c r="U340" s="33" t="s">
        <v>2601</v>
      </c>
      <c r="V340" s="33">
        <v>10</v>
      </c>
      <c r="X340" s="33" t="s">
        <v>3446</v>
      </c>
      <c r="Y340" s="713">
        <v>1</v>
      </c>
      <c r="Z340" s="33">
        <v>8</v>
      </c>
      <c r="AA340" s="33">
        <v>4</v>
      </c>
      <c r="AD340" s="504">
        <v>0.03</v>
      </c>
      <c r="AE340" s="33">
        <v>19000</v>
      </c>
      <c r="AF340" s="33">
        <v>34000</v>
      </c>
      <c r="AG340" s="33"/>
      <c r="AK340" s="33" t="s">
        <v>2908</v>
      </c>
    </row>
    <row r="341" spans="1:37" ht="13.5" customHeight="1">
      <c r="A341" s="182" t="s">
        <v>2430</v>
      </c>
      <c r="C341" s="196" t="s">
        <v>54</v>
      </c>
      <c r="D341" s="33" t="s">
        <v>2559</v>
      </c>
      <c r="E341" s="33" t="s">
        <v>2487</v>
      </c>
      <c r="F341" s="33">
        <v>2151</v>
      </c>
      <c r="G341" s="33">
        <v>2200</v>
      </c>
      <c r="H341" s="33" t="s">
        <v>55</v>
      </c>
      <c r="I341" s="33">
        <v>7</v>
      </c>
      <c r="J341" s="33" t="s">
        <v>2503</v>
      </c>
      <c r="P341" s="197">
        <v>1</v>
      </c>
      <c r="Q341" s="31" t="s">
        <v>1814</v>
      </c>
      <c r="R341" s="31" t="s">
        <v>2562</v>
      </c>
      <c r="S341" s="31" t="s">
        <v>1745</v>
      </c>
      <c r="T341" s="31">
        <v>1</v>
      </c>
      <c r="U341" s="33" t="s">
        <v>2601</v>
      </c>
      <c r="V341" s="33">
        <v>10</v>
      </c>
      <c r="X341" s="33" t="s">
        <v>3446</v>
      </c>
      <c r="Y341" s="713">
        <v>1</v>
      </c>
      <c r="Z341" s="33">
        <v>8</v>
      </c>
      <c r="AA341" s="33">
        <v>4</v>
      </c>
      <c r="AD341" s="504">
        <v>0.03</v>
      </c>
      <c r="AE341" s="33">
        <v>18000</v>
      </c>
      <c r="AF341" s="33">
        <v>29000</v>
      </c>
      <c r="AG341" s="33"/>
      <c r="AK341" s="33" t="s">
        <v>2908</v>
      </c>
    </row>
    <row r="342" spans="1:37" ht="13.5" customHeight="1">
      <c r="A342" s="182" t="s">
        <v>2431</v>
      </c>
      <c r="C342" s="196" t="s">
        <v>54</v>
      </c>
      <c r="D342" s="33" t="s">
        <v>2559</v>
      </c>
      <c r="E342" s="33" t="s">
        <v>2487</v>
      </c>
      <c r="F342" s="33">
        <v>2151</v>
      </c>
      <c r="G342" s="33">
        <v>2200</v>
      </c>
      <c r="H342" s="33" t="s">
        <v>55</v>
      </c>
      <c r="I342" s="33">
        <v>6</v>
      </c>
      <c r="J342" s="33" t="s">
        <v>2504</v>
      </c>
      <c r="P342" s="197">
        <v>1</v>
      </c>
      <c r="Q342" s="31" t="s">
        <v>1814</v>
      </c>
      <c r="R342" s="31" t="s">
        <v>2562</v>
      </c>
      <c r="S342" s="31" t="s">
        <v>1745</v>
      </c>
      <c r="T342" s="31">
        <v>1</v>
      </c>
      <c r="U342" s="33" t="s">
        <v>2601</v>
      </c>
      <c r="V342" s="33">
        <v>10</v>
      </c>
      <c r="X342" s="33" t="s">
        <v>3446</v>
      </c>
      <c r="Y342" s="713">
        <v>1</v>
      </c>
      <c r="Z342" s="33">
        <v>8</v>
      </c>
      <c r="AA342" s="33">
        <v>4</v>
      </c>
      <c r="AD342" s="504">
        <v>0.03</v>
      </c>
      <c r="AE342" s="33">
        <v>19000</v>
      </c>
      <c r="AF342" s="33">
        <v>34000</v>
      </c>
      <c r="AG342" s="33"/>
      <c r="AK342" s="33" t="s">
        <v>2908</v>
      </c>
    </row>
    <row r="343" spans="1:37" ht="13.5" customHeight="1">
      <c r="A343" s="182" t="s">
        <v>2432</v>
      </c>
      <c r="C343" s="196" t="s">
        <v>54</v>
      </c>
      <c r="D343" s="33" t="s">
        <v>2559</v>
      </c>
      <c r="E343" s="33" t="s">
        <v>2487</v>
      </c>
      <c r="F343" s="33">
        <v>2151</v>
      </c>
      <c r="G343" s="33">
        <v>2200</v>
      </c>
      <c r="H343" s="33" t="s">
        <v>55</v>
      </c>
      <c r="I343" s="33">
        <v>5</v>
      </c>
      <c r="J343" s="33" t="s">
        <v>2505</v>
      </c>
      <c r="P343" s="197">
        <v>1</v>
      </c>
      <c r="Q343" s="31" t="s">
        <v>1743</v>
      </c>
      <c r="R343" s="31" t="s">
        <v>2562</v>
      </c>
      <c r="S343" s="31" t="s">
        <v>1745</v>
      </c>
      <c r="T343" s="31">
        <v>1</v>
      </c>
      <c r="U343" s="33" t="s">
        <v>2601</v>
      </c>
      <c r="V343" s="33">
        <v>10</v>
      </c>
      <c r="X343" s="33" t="s">
        <v>3446</v>
      </c>
      <c r="Y343" s="713">
        <v>1</v>
      </c>
      <c r="Z343" s="33">
        <v>8</v>
      </c>
      <c r="AA343" s="33">
        <v>4</v>
      </c>
      <c r="AD343" s="504">
        <v>0.03</v>
      </c>
      <c r="AE343" s="33">
        <v>19000</v>
      </c>
      <c r="AF343" s="33">
        <v>34000</v>
      </c>
      <c r="AG343" s="33"/>
      <c r="AK343" s="33" t="s">
        <v>2908</v>
      </c>
    </row>
    <row r="344" spans="1:37" ht="13.5" customHeight="1">
      <c r="A344" s="182" t="s">
        <v>2433</v>
      </c>
      <c r="C344" s="196" t="s">
        <v>54</v>
      </c>
      <c r="D344" s="33" t="s">
        <v>2559</v>
      </c>
      <c r="E344" s="33" t="s">
        <v>2487</v>
      </c>
      <c r="F344" s="33">
        <v>2151</v>
      </c>
      <c r="G344" s="33">
        <v>2200</v>
      </c>
      <c r="H344" s="33" t="s">
        <v>55</v>
      </c>
      <c r="I344" s="33">
        <v>7</v>
      </c>
      <c r="J344" s="33" t="s">
        <v>2506</v>
      </c>
      <c r="P344" s="197">
        <v>1</v>
      </c>
      <c r="Q344" s="31" t="s">
        <v>1814</v>
      </c>
      <c r="R344" s="31" t="s">
        <v>2562</v>
      </c>
      <c r="S344" s="31" t="s">
        <v>1745</v>
      </c>
      <c r="T344" s="31">
        <v>1</v>
      </c>
      <c r="U344" s="33" t="s">
        <v>2601</v>
      </c>
      <c r="V344" s="33">
        <v>10</v>
      </c>
      <c r="X344" s="33" t="s">
        <v>3446</v>
      </c>
      <c r="Y344" s="713">
        <v>1</v>
      </c>
      <c r="Z344" s="33">
        <v>8</v>
      </c>
      <c r="AA344" s="33">
        <v>4</v>
      </c>
      <c r="AD344" s="504">
        <v>0.03</v>
      </c>
      <c r="AE344" s="33">
        <v>18000</v>
      </c>
      <c r="AF344" s="33">
        <v>29000</v>
      </c>
      <c r="AG344" s="33"/>
      <c r="AK344" s="33" t="s">
        <v>2908</v>
      </c>
    </row>
    <row r="345" spans="1:37" ht="13.5" customHeight="1">
      <c r="A345" s="182" t="s">
        <v>2434</v>
      </c>
      <c r="C345" s="196" t="s">
        <v>54</v>
      </c>
      <c r="D345" s="33" t="s">
        <v>2559</v>
      </c>
      <c r="E345" s="33" t="s">
        <v>2487</v>
      </c>
      <c r="F345" s="33">
        <v>2151</v>
      </c>
      <c r="G345" s="33">
        <v>2200</v>
      </c>
      <c r="H345" s="33" t="s">
        <v>55</v>
      </c>
      <c r="I345" s="33">
        <v>6</v>
      </c>
      <c r="J345" s="33" t="s">
        <v>2507</v>
      </c>
      <c r="P345" s="197">
        <v>1</v>
      </c>
      <c r="Q345" s="31" t="s">
        <v>1814</v>
      </c>
      <c r="R345" s="31" t="s">
        <v>2562</v>
      </c>
      <c r="S345" s="31" t="s">
        <v>1745</v>
      </c>
      <c r="T345" s="31">
        <v>1</v>
      </c>
      <c r="U345" s="33" t="s">
        <v>2601</v>
      </c>
      <c r="V345" s="33">
        <v>10</v>
      </c>
      <c r="X345" s="33" t="s">
        <v>3446</v>
      </c>
      <c r="Y345" s="713">
        <v>1</v>
      </c>
      <c r="Z345" s="33">
        <v>8</v>
      </c>
      <c r="AA345" s="33">
        <v>4</v>
      </c>
      <c r="AD345" s="504">
        <v>0.03</v>
      </c>
      <c r="AE345" s="33">
        <v>19000</v>
      </c>
      <c r="AF345" s="33">
        <v>34000</v>
      </c>
      <c r="AG345" s="33"/>
      <c r="AK345" s="33" t="s">
        <v>2908</v>
      </c>
    </row>
    <row r="346" spans="1:37" ht="13.5" customHeight="1">
      <c r="A346" s="182" t="s">
        <v>2435</v>
      </c>
      <c r="C346" s="196" t="s">
        <v>54</v>
      </c>
      <c r="D346" s="33" t="s">
        <v>2559</v>
      </c>
      <c r="E346" s="33" t="s">
        <v>2487</v>
      </c>
      <c r="F346" s="33">
        <v>2151</v>
      </c>
      <c r="G346" s="33">
        <v>2200</v>
      </c>
      <c r="H346" s="33" t="s">
        <v>55</v>
      </c>
      <c r="I346" s="33">
        <v>5</v>
      </c>
      <c r="J346" s="33" t="s">
        <v>2508</v>
      </c>
      <c r="P346" s="196">
        <v>1</v>
      </c>
      <c r="Q346" s="33" t="s">
        <v>1743</v>
      </c>
      <c r="R346" s="31" t="s">
        <v>2562</v>
      </c>
      <c r="S346" s="33" t="s">
        <v>1745</v>
      </c>
      <c r="T346" s="31">
        <v>1</v>
      </c>
      <c r="U346" s="33" t="s">
        <v>2601</v>
      </c>
      <c r="V346" s="33">
        <v>10</v>
      </c>
      <c r="X346" s="33" t="s">
        <v>3446</v>
      </c>
      <c r="Y346" s="713">
        <v>1</v>
      </c>
      <c r="Z346" s="33">
        <v>8</v>
      </c>
      <c r="AA346" s="33">
        <v>4</v>
      </c>
      <c r="AD346" s="504">
        <v>0.03</v>
      </c>
      <c r="AE346" s="33">
        <v>19000</v>
      </c>
      <c r="AF346" s="33">
        <v>34000</v>
      </c>
      <c r="AG346" s="33"/>
      <c r="AK346" s="33" t="s">
        <v>2908</v>
      </c>
    </row>
    <row r="347" spans="1:37" ht="13.5" customHeight="1">
      <c r="A347" s="182" t="s">
        <v>2436</v>
      </c>
      <c r="C347" s="196" t="s">
        <v>54</v>
      </c>
      <c r="D347" s="33" t="s">
        <v>2559</v>
      </c>
      <c r="E347" s="33" t="s">
        <v>2487</v>
      </c>
      <c r="F347" s="33">
        <v>2151</v>
      </c>
      <c r="G347" s="33">
        <v>2200</v>
      </c>
      <c r="H347" s="33" t="s">
        <v>55</v>
      </c>
      <c r="I347" s="33">
        <v>7</v>
      </c>
      <c r="J347" s="33" t="s">
        <v>2028</v>
      </c>
      <c r="P347" s="196">
        <v>1</v>
      </c>
      <c r="Q347" s="31" t="s">
        <v>1814</v>
      </c>
      <c r="R347" s="31" t="s">
        <v>2562</v>
      </c>
      <c r="S347" s="33" t="s">
        <v>1745</v>
      </c>
      <c r="T347" s="31">
        <v>1</v>
      </c>
      <c r="U347" s="33" t="s">
        <v>2601</v>
      </c>
      <c r="V347" s="33">
        <v>10</v>
      </c>
      <c r="X347" s="33" t="s">
        <v>3446</v>
      </c>
      <c r="Y347" s="713">
        <v>1</v>
      </c>
      <c r="Z347" s="33">
        <v>8</v>
      </c>
      <c r="AA347" s="33">
        <v>4</v>
      </c>
      <c r="AD347" s="504">
        <v>0.03</v>
      </c>
      <c r="AE347" s="33">
        <v>18000</v>
      </c>
      <c r="AF347" s="33">
        <v>29000</v>
      </c>
      <c r="AG347" s="33"/>
      <c r="AK347" s="33" t="s">
        <v>2908</v>
      </c>
    </row>
    <row r="348" spans="1:37" ht="13.5" customHeight="1">
      <c r="A348" s="182" t="s">
        <v>2437</v>
      </c>
      <c r="C348" s="196" t="s">
        <v>54</v>
      </c>
      <c r="D348" s="33" t="s">
        <v>2559</v>
      </c>
      <c r="E348" s="33" t="s">
        <v>2487</v>
      </c>
      <c r="F348" s="33">
        <v>2151</v>
      </c>
      <c r="G348" s="33">
        <v>2200</v>
      </c>
      <c r="H348" s="33" t="s">
        <v>55</v>
      </c>
      <c r="I348" s="33">
        <v>6</v>
      </c>
      <c r="J348" s="33" t="s">
        <v>2509</v>
      </c>
      <c r="P348" s="196">
        <v>1</v>
      </c>
      <c r="Q348" s="31" t="s">
        <v>1814</v>
      </c>
      <c r="R348" s="31" t="s">
        <v>2562</v>
      </c>
      <c r="S348" s="33" t="s">
        <v>1745</v>
      </c>
      <c r="T348" s="31">
        <v>1</v>
      </c>
      <c r="U348" s="33" t="s">
        <v>2601</v>
      </c>
      <c r="V348" s="33">
        <v>10</v>
      </c>
      <c r="X348" s="33" t="s">
        <v>3446</v>
      </c>
      <c r="Y348" s="713">
        <v>1</v>
      </c>
      <c r="Z348" s="33">
        <v>8</v>
      </c>
      <c r="AA348" s="33">
        <v>4</v>
      </c>
      <c r="AD348" s="504">
        <v>0.03</v>
      </c>
      <c r="AE348" s="33">
        <v>19000</v>
      </c>
      <c r="AF348" s="33">
        <v>34000</v>
      </c>
      <c r="AG348" s="33"/>
      <c r="AK348" s="33" t="s">
        <v>2908</v>
      </c>
    </row>
    <row r="349" spans="1:37" ht="13.5" customHeight="1">
      <c r="A349" s="182" t="s">
        <v>2438</v>
      </c>
      <c r="C349" s="196" t="s">
        <v>54</v>
      </c>
      <c r="D349" s="33" t="s">
        <v>2559</v>
      </c>
      <c r="E349" s="33" t="s">
        <v>2487</v>
      </c>
      <c r="F349" s="33">
        <v>2151</v>
      </c>
      <c r="G349" s="33">
        <v>2200</v>
      </c>
      <c r="H349" s="33" t="s">
        <v>55</v>
      </c>
      <c r="I349" s="33">
        <v>5</v>
      </c>
      <c r="J349" s="33" t="s">
        <v>2510</v>
      </c>
      <c r="P349" s="196">
        <v>1</v>
      </c>
      <c r="Q349" s="33" t="s">
        <v>1743</v>
      </c>
      <c r="R349" s="31" t="s">
        <v>2562</v>
      </c>
      <c r="S349" s="33" t="s">
        <v>1745</v>
      </c>
      <c r="T349" s="31">
        <v>1</v>
      </c>
      <c r="U349" s="33" t="s">
        <v>2601</v>
      </c>
      <c r="V349" s="33">
        <v>10</v>
      </c>
      <c r="X349" s="33" t="s">
        <v>3446</v>
      </c>
      <c r="Y349" s="713">
        <v>1</v>
      </c>
      <c r="Z349" s="33">
        <v>8</v>
      </c>
      <c r="AA349" s="33">
        <v>4</v>
      </c>
      <c r="AD349" s="504">
        <v>0.03</v>
      </c>
      <c r="AE349" s="33">
        <v>19000</v>
      </c>
      <c r="AF349" s="33">
        <v>34000</v>
      </c>
      <c r="AG349" s="33"/>
      <c r="AK349" s="33" t="s">
        <v>2908</v>
      </c>
    </row>
    <row r="350" spans="1:37" ht="13.5" customHeight="1">
      <c r="A350" s="182" t="s">
        <v>2439</v>
      </c>
      <c r="C350" s="196" t="s">
        <v>54</v>
      </c>
      <c r="D350" s="33" t="s">
        <v>2559</v>
      </c>
      <c r="E350" s="33" t="s">
        <v>2487</v>
      </c>
      <c r="F350" s="33">
        <v>2497</v>
      </c>
      <c r="G350" s="33">
        <v>2500</v>
      </c>
      <c r="H350" s="33" t="s">
        <v>62</v>
      </c>
      <c r="I350" s="33">
        <v>7</v>
      </c>
      <c r="J350" s="33" t="s">
        <v>2511</v>
      </c>
      <c r="P350" s="196">
        <v>1</v>
      </c>
      <c r="Q350" s="31" t="s">
        <v>1814</v>
      </c>
      <c r="R350" s="31" t="s">
        <v>2562</v>
      </c>
      <c r="S350" s="33" t="s">
        <v>1745</v>
      </c>
      <c r="T350" s="31">
        <v>1</v>
      </c>
      <c r="U350" s="33" t="s">
        <v>2267</v>
      </c>
      <c r="V350" s="33">
        <v>2</v>
      </c>
      <c r="W350" s="752" t="s">
        <v>3617</v>
      </c>
      <c r="X350" s="33" t="s">
        <v>3446</v>
      </c>
      <c r="Y350" s="713" t="s">
        <v>3478</v>
      </c>
      <c r="Z350" s="33">
        <v>1</v>
      </c>
      <c r="AA350" s="33" t="s">
        <v>3351</v>
      </c>
      <c r="AB350" s="33">
        <v>1</v>
      </c>
      <c r="AD350" s="504">
        <v>0.03</v>
      </c>
      <c r="AE350" s="33">
        <v>20000</v>
      </c>
      <c r="AF350" s="33">
        <v>32000</v>
      </c>
      <c r="AG350" s="33"/>
      <c r="AK350" s="33" t="s">
        <v>2906</v>
      </c>
    </row>
    <row r="351" spans="1:37" ht="13.5" customHeight="1">
      <c r="A351" s="182" t="s">
        <v>2440</v>
      </c>
      <c r="C351" s="196" t="s">
        <v>54</v>
      </c>
      <c r="D351" s="33" t="s">
        <v>2559</v>
      </c>
      <c r="E351" s="33" t="s">
        <v>2487</v>
      </c>
      <c r="F351" s="33">
        <v>2497</v>
      </c>
      <c r="G351" s="33">
        <v>2500</v>
      </c>
      <c r="H351" s="33" t="s">
        <v>62</v>
      </c>
      <c r="I351" s="33">
        <v>6</v>
      </c>
      <c r="J351" s="33" t="s">
        <v>2512</v>
      </c>
      <c r="P351" s="197">
        <v>1</v>
      </c>
      <c r="Q351" s="31" t="s">
        <v>1814</v>
      </c>
      <c r="R351" s="31" t="s">
        <v>2562</v>
      </c>
      <c r="S351" s="31" t="s">
        <v>1745</v>
      </c>
      <c r="T351" s="31">
        <v>1</v>
      </c>
      <c r="U351" s="33" t="s">
        <v>2267</v>
      </c>
      <c r="V351" s="33">
        <v>2</v>
      </c>
      <c r="W351" s="752" t="s">
        <v>3617</v>
      </c>
      <c r="X351" s="33" t="s">
        <v>3446</v>
      </c>
      <c r="Y351" s="713" t="s">
        <v>3478</v>
      </c>
      <c r="Z351" s="33">
        <v>1</v>
      </c>
      <c r="AA351" s="33" t="s">
        <v>3351</v>
      </c>
      <c r="AB351" s="33">
        <v>1</v>
      </c>
      <c r="AD351" s="504">
        <v>0.03</v>
      </c>
      <c r="AE351" s="33">
        <v>21000</v>
      </c>
      <c r="AF351" s="33">
        <v>37000</v>
      </c>
      <c r="AG351" s="33"/>
      <c r="AK351" s="33" t="s">
        <v>2906</v>
      </c>
    </row>
    <row r="352" spans="1:37" ht="13.5" customHeight="1">
      <c r="A352" s="182" t="s">
        <v>2441</v>
      </c>
      <c r="C352" s="196" t="s">
        <v>54</v>
      </c>
      <c r="D352" s="33" t="s">
        <v>2559</v>
      </c>
      <c r="E352" s="33" t="s">
        <v>2487</v>
      </c>
      <c r="F352" s="33">
        <v>2497</v>
      </c>
      <c r="G352" s="33">
        <v>2500</v>
      </c>
      <c r="H352" s="33" t="s">
        <v>62</v>
      </c>
      <c r="I352" s="33">
        <v>5</v>
      </c>
      <c r="J352" s="33" t="s">
        <v>2513</v>
      </c>
      <c r="P352" s="197">
        <v>1</v>
      </c>
      <c r="Q352" s="31" t="s">
        <v>1743</v>
      </c>
      <c r="R352" s="31" t="s">
        <v>2562</v>
      </c>
      <c r="S352" s="31" t="s">
        <v>1745</v>
      </c>
      <c r="T352" s="31">
        <v>1</v>
      </c>
      <c r="U352" s="33" t="s">
        <v>2267</v>
      </c>
      <c r="V352" s="33">
        <v>2</v>
      </c>
      <c r="W352" s="752" t="s">
        <v>3617</v>
      </c>
      <c r="X352" s="33" t="s">
        <v>3446</v>
      </c>
      <c r="Y352" s="713" t="s">
        <v>3478</v>
      </c>
      <c r="Z352" s="33">
        <v>1</v>
      </c>
      <c r="AA352" s="33" t="s">
        <v>3351</v>
      </c>
      <c r="AB352" s="33">
        <v>1</v>
      </c>
      <c r="AD352" s="504">
        <v>0.03</v>
      </c>
      <c r="AE352" s="33">
        <v>21000</v>
      </c>
      <c r="AF352" s="33">
        <v>37000</v>
      </c>
      <c r="AG352" s="33"/>
      <c r="AK352" s="33" t="s">
        <v>2906</v>
      </c>
    </row>
    <row r="353" spans="1:37" ht="13.5" customHeight="1">
      <c r="A353" s="182" t="s">
        <v>2442</v>
      </c>
      <c r="C353" s="196" t="s">
        <v>54</v>
      </c>
      <c r="D353" s="33" t="s">
        <v>2559</v>
      </c>
      <c r="E353" s="33" t="s">
        <v>2487</v>
      </c>
      <c r="F353" s="33">
        <v>2497</v>
      </c>
      <c r="G353" s="33">
        <v>2500</v>
      </c>
      <c r="H353" s="33" t="s">
        <v>62</v>
      </c>
      <c r="I353" s="33">
        <v>7</v>
      </c>
      <c r="J353" s="33" t="s">
        <v>2514</v>
      </c>
      <c r="P353" s="197">
        <v>1</v>
      </c>
      <c r="Q353" s="31" t="s">
        <v>1814</v>
      </c>
      <c r="R353" s="31" t="s">
        <v>2562</v>
      </c>
      <c r="S353" s="31" t="s">
        <v>1745</v>
      </c>
      <c r="T353" s="31">
        <v>1</v>
      </c>
      <c r="U353" s="33" t="s">
        <v>2267</v>
      </c>
      <c r="V353" s="33">
        <v>2</v>
      </c>
      <c r="W353" s="752" t="s">
        <v>3617</v>
      </c>
      <c r="X353" s="33" t="s">
        <v>3446</v>
      </c>
      <c r="Y353" s="713" t="s">
        <v>3478</v>
      </c>
      <c r="Z353" s="33">
        <v>1</v>
      </c>
      <c r="AA353" s="33" t="s">
        <v>3351</v>
      </c>
      <c r="AB353" s="33">
        <v>1</v>
      </c>
      <c r="AD353" s="504">
        <v>0.03</v>
      </c>
      <c r="AE353" s="33">
        <v>20000</v>
      </c>
      <c r="AF353" s="33">
        <v>32000</v>
      </c>
      <c r="AG353" s="33"/>
      <c r="AK353" s="33" t="s">
        <v>2906</v>
      </c>
    </row>
    <row r="354" spans="1:37" ht="13.5" customHeight="1">
      <c r="A354" s="182" t="s">
        <v>2443</v>
      </c>
      <c r="C354" s="196" t="s">
        <v>54</v>
      </c>
      <c r="D354" s="33" t="s">
        <v>2559</v>
      </c>
      <c r="E354" s="33" t="s">
        <v>2487</v>
      </c>
      <c r="F354" s="33">
        <v>2497</v>
      </c>
      <c r="G354" s="33">
        <v>2500</v>
      </c>
      <c r="H354" s="33" t="s">
        <v>62</v>
      </c>
      <c r="I354" s="33">
        <v>6</v>
      </c>
      <c r="J354" s="33" t="s">
        <v>2515</v>
      </c>
      <c r="P354" s="197">
        <v>1</v>
      </c>
      <c r="Q354" s="31" t="s">
        <v>1814</v>
      </c>
      <c r="R354" s="31" t="s">
        <v>2562</v>
      </c>
      <c r="S354" s="31" t="s">
        <v>1745</v>
      </c>
      <c r="T354" s="31">
        <v>1</v>
      </c>
      <c r="U354" s="33" t="s">
        <v>2267</v>
      </c>
      <c r="V354" s="33">
        <v>2</v>
      </c>
      <c r="W354" s="752" t="s">
        <v>3617</v>
      </c>
      <c r="X354" s="33" t="s">
        <v>3446</v>
      </c>
      <c r="Y354" s="713" t="s">
        <v>3478</v>
      </c>
      <c r="Z354" s="33">
        <v>1</v>
      </c>
      <c r="AA354" s="33" t="s">
        <v>3351</v>
      </c>
      <c r="AB354" s="33">
        <v>1</v>
      </c>
      <c r="AD354" s="504">
        <v>0.03</v>
      </c>
      <c r="AE354" s="33">
        <v>21000</v>
      </c>
      <c r="AF354" s="33">
        <v>37000</v>
      </c>
      <c r="AG354" s="33"/>
      <c r="AK354" s="33" t="s">
        <v>2906</v>
      </c>
    </row>
    <row r="355" spans="1:37" ht="13.5" customHeight="1">
      <c r="A355" s="182" t="s">
        <v>2444</v>
      </c>
      <c r="C355" s="196" t="s">
        <v>54</v>
      </c>
      <c r="D355" s="33" t="s">
        <v>2559</v>
      </c>
      <c r="E355" s="33" t="s">
        <v>2487</v>
      </c>
      <c r="F355" s="33">
        <v>2497</v>
      </c>
      <c r="G355" s="33">
        <v>2500</v>
      </c>
      <c r="H355" s="33" t="s">
        <v>62</v>
      </c>
      <c r="I355" s="33">
        <v>5</v>
      </c>
      <c r="J355" s="33" t="s">
        <v>2516</v>
      </c>
      <c r="P355" s="197">
        <v>1</v>
      </c>
      <c r="Q355" s="31" t="s">
        <v>1743</v>
      </c>
      <c r="R355" s="31" t="s">
        <v>2562</v>
      </c>
      <c r="S355" s="31" t="s">
        <v>1745</v>
      </c>
      <c r="T355" s="31">
        <v>1</v>
      </c>
      <c r="U355" s="33" t="s">
        <v>2267</v>
      </c>
      <c r="V355" s="33">
        <v>2</v>
      </c>
      <c r="W355" s="752" t="s">
        <v>3617</v>
      </c>
      <c r="X355" s="33" t="s">
        <v>3446</v>
      </c>
      <c r="Y355" s="713" t="s">
        <v>3478</v>
      </c>
      <c r="Z355" s="33">
        <v>1</v>
      </c>
      <c r="AA355" s="33" t="s">
        <v>3351</v>
      </c>
      <c r="AB355" s="33">
        <v>1</v>
      </c>
      <c r="AD355" s="504">
        <v>0.03</v>
      </c>
      <c r="AE355" s="33">
        <v>21000</v>
      </c>
      <c r="AF355" s="33">
        <v>37000</v>
      </c>
      <c r="AG355" s="33"/>
      <c r="AK355" s="33" t="s">
        <v>2906</v>
      </c>
    </row>
    <row r="356" spans="1:37" ht="13.5" customHeight="1">
      <c r="A356" s="182" t="s">
        <v>2445</v>
      </c>
      <c r="C356" s="196" t="s">
        <v>54</v>
      </c>
      <c r="D356" s="33" t="s">
        <v>2559</v>
      </c>
      <c r="E356" s="33" t="s">
        <v>2487</v>
      </c>
      <c r="F356" s="33">
        <v>2497</v>
      </c>
      <c r="G356" s="33">
        <v>2500</v>
      </c>
      <c r="H356" s="33" t="s">
        <v>62</v>
      </c>
      <c r="I356" s="33">
        <v>7</v>
      </c>
      <c r="J356" s="33" t="s">
        <v>2517</v>
      </c>
      <c r="P356" s="197">
        <v>1</v>
      </c>
      <c r="Q356" s="31" t="s">
        <v>1814</v>
      </c>
      <c r="R356" s="31" t="s">
        <v>2562</v>
      </c>
      <c r="S356" s="31" t="s">
        <v>1745</v>
      </c>
      <c r="T356" s="31">
        <v>1</v>
      </c>
      <c r="U356" s="33" t="s">
        <v>2267</v>
      </c>
      <c r="V356" s="33">
        <v>2</v>
      </c>
      <c r="W356" s="752" t="s">
        <v>3617</v>
      </c>
      <c r="X356" s="33" t="s">
        <v>3446</v>
      </c>
      <c r="Y356" s="713" t="s">
        <v>3478</v>
      </c>
      <c r="Z356" s="33">
        <v>1</v>
      </c>
      <c r="AA356" s="33" t="s">
        <v>3351</v>
      </c>
      <c r="AB356" s="33">
        <v>1</v>
      </c>
      <c r="AD356" s="504">
        <v>0.03</v>
      </c>
      <c r="AE356" s="33">
        <v>20000</v>
      </c>
      <c r="AF356" s="33">
        <v>32000</v>
      </c>
      <c r="AG356" s="33"/>
      <c r="AK356" s="33" t="s">
        <v>2906</v>
      </c>
    </row>
    <row r="357" spans="1:37" ht="13.5" customHeight="1">
      <c r="A357" s="182" t="s">
        <v>2446</v>
      </c>
      <c r="C357" s="196" t="s">
        <v>54</v>
      </c>
      <c r="D357" s="33" t="s">
        <v>2559</v>
      </c>
      <c r="E357" s="33" t="s">
        <v>2487</v>
      </c>
      <c r="F357" s="33">
        <v>2497</v>
      </c>
      <c r="G357" s="33">
        <v>2500</v>
      </c>
      <c r="H357" s="33" t="s">
        <v>62</v>
      </c>
      <c r="I357" s="33">
        <v>6</v>
      </c>
      <c r="J357" s="33" t="s">
        <v>2518</v>
      </c>
      <c r="P357" s="197">
        <v>1</v>
      </c>
      <c r="Q357" s="31" t="s">
        <v>1814</v>
      </c>
      <c r="R357" s="31" t="s">
        <v>2562</v>
      </c>
      <c r="S357" s="31" t="s">
        <v>1745</v>
      </c>
      <c r="T357" s="31">
        <v>1</v>
      </c>
      <c r="U357" s="33" t="s">
        <v>2267</v>
      </c>
      <c r="V357" s="33">
        <v>2</v>
      </c>
      <c r="W357" s="752" t="s">
        <v>3617</v>
      </c>
      <c r="X357" s="33" t="s">
        <v>3446</v>
      </c>
      <c r="Y357" s="713" t="s">
        <v>3478</v>
      </c>
      <c r="Z357" s="33">
        <v>1</v>
      </c>
      <c r="AA357" s="33" t="s">
        <v>3351</v>
      </c>
      <c r="AB357" s="33">
        <v>1</v>
      </c>
      <c r="AD357" s="504">
        <v>0.03</v>
      </c>
      <c r="AE357" s="33">
        <v>21000</v>
      </c>
      <c r="AF357" s="33">
        <v>37000</v>
      </c>
      <c r="AG357" s="33"/>
      <c r="AK357" s="33" t="s">
        <v>2906</v>
      </c>
    </row>
    <row r="358" spans="1:37" ht="13.5" customHeight="1">
      <c r="A358" s="182" t="s">
        <v>2447</v>
      </c>
      <c r="C358" s="196" t="s">
        <v>54</v>
      </c>
      <c r="D358" s="33" t="s">
        <v>2559</v>
      </c>
      <c r="E358" s="33" t="s">
        <v>2487</v>
      </c>
      <c r="F358" s="33">
        <v>2497</v>
      </c>
      <c r="G358" s="33">
        <v>2500</v>
      </c>
      <c r="H358" s="33" t="s">
        <v>62</v>
      </c>
      <c r="I358" s="33">
        <v>5</v>
      </c>
      <c r="J358" s="33" t="s">
        <v>2519</v>
      </c>
      <c r="P358" s="197">
        <v>1</v>
      </c>
      <c r="Q358" s="31" t="s">
        <v>1743</v>
      </c>
      <c r="R358" s="31" t="s">
        <v>2562</v>
      </c>
      <c r="S358" s="31" t="s">
        <v>1745</v>
      </c>
      <c r="T358" s="31">
        <v>1</v>
      </c>
      <c r="U358" s="33" t="s">
        <v>2267</v>
      </c>
      <c r="V358" s="33">
        <v>2</v>
      </c>
      <c r="W358" s="752" t="s">
        <v>3617</v>
      </c>
      <c r="X358" s="33" t="s">
        <v>3446</v>
      </c>
      <c r="Y358" s="713" t="s">
        <v>3478</v>
      </c>
      <c r="Z358" s="33">
        <v>1</v>
      </c>
      <c r="AA358" s="33" t="s">
        <v>3351</v>
      </c>
      <c r="AB358" s="33">
        <v>1</v>
      </c>
      <c r="AD358" s="504">
        <v>0.03</v>
      </c>
      <c r="AE358" s="33">
        <v>21000</v>
      </c>
      <c r="AF358" s="33">
        <v>37000</v>
      </c>
      <c r="AG358" s="33"/>
      <c r="AK358" s="33" t="s">
        <v>2906</v>
      </c>
    </row>
    <row r="359" spans="1:37" ht="13.5" customHeight="1">
      <c r="A359" s="182" t="s">
        <v>2448</v>
      </c>
      <c r="C359" s="196" t="s">
        <v>54</v>
      </c>
      <c r="D359" s="33" t="s">
        <v>2559</v>
      </c>
      <c r="E359" s="33" t="s">
        <v>2487</v>
      </c>
      <c r="F359" s="33">
        <v>2497</v>
      </c>
      <c r="G359" s="33">
        <v>2500</v>
      </c>
      <c r="H359" s="33" t="s">
        <v>62</v>
      </c>
      <c r="I359" s="33">
        <v>7</v>
      </c>
      <c r="J359" s="33" t="s">
        <v>2520</v>
      </c>
      <c r="P359" s="197">
        <v>1</v>
      </c>
      <c r="Q359" s="31" t="s">
        <v>1814</v>
      </c>
      <c r="R359" s="31" t="s">
        <v>2562</v>
      </c>
      <c r="S359" s="31" t="s">
        <v>1745</v>
      </c>
      <c r="T359" s="31">
        <v>1</v>
      </c>
      <c r="U359" s="33" t="s">
        <v>2267</v>
      </c>
      <c r="V359" s="33">
        <v>2</v>
      </c>
      <c r="W359" s="752" t="s">
        <v>3617</v>
      </c>
      <c r="X359" s="33" t="s">
        <v>3446</v>
      </c>
      <c r="Y359" s="713" t="s">
        <v>3478</v>
      </c>
      <c r="Z359" s="33">
        <v>1</v>
      </c>
      <c r="AA359" s="33" t="s">
        <v>3351</v>
      </c>
      <c r="AB359" s="33">
        <v>1</v>
      </c>
      <c r="AD359" s="504">
        <v>0.03</v>
      </c>
      <c r="AE359" s="33">
        <v>20000</v>
      </c>
      <c r="AF359" s="33">
        <v>32000</v>
      </c>
      <c r="AG359" s="33"/>
      <c r="AK359" s="33" t="s">
        <v>2906</v>
      </c>
    </row>
    <row r="360" spans="1:37" ht="13.5" customHeight="1">
      <c r="A360" s="182" t="s">
        <v>2449</v>
      </c>
      <c r="C360" s="196" t="s">
        <v>54</v>
      </c>
      <c r="D360" s="33" t="s">
        <v>2559</v>
      </c>
      <c r="E360" s="33" t="s">
        <v>2487</v>
      </c>
      <c r="F360" s="33">
        <v>2497</v>
      </c>
      <c r="G360" s="33">
        <v>2500</v>
      </c>
      <c r="H360" s="33" t="s">
        <v>62</v>
      </c>
      <c r="I360" s="33">
        <v>6</v>
      </c>
      <c r="J360" s="33" t="s">
        <v>2521</v>
      </c>
      <c r="P360" s="196">
        <v>1</v>
      </c>
      <c r="Q360" s="31" t="s">
        <v>1814</v>
      </c>
      <c r="R360" s="31" t="s">
        <v>2562</v>
      </c>
      <c r="S360" s="33" t="s">
        <v>1745</v>
      </c>
      <c r="T360" s="31">
        <v>1</v>
      </c>
      <c r="U360" s="33" t="s">
        <v>2267</v>
      </c>
      <c r="V360" s="33">
        <v>2</v>
      </c>
      <c r="W360" s="752" t="s">
        <v>3617</v>
      </c>
      <c r="X360" s="33" t="s">
        <v>3446</v>
      </c>
      <c r="Y360" s="713" t="s">
        <v>3478</v>
      </c>
      <c r="Z360" s="33">
        <v>1</v>
      </c>
      <c r="AA360" s="33" t="s">
        <v>3351</v>
      </c>
      <c r="AB360" s="33">
        <v>1</v>
      </c>
      <c r="AD360" s="504">
        <v>0.03</v>
      </c>
      <c r="AE360" s="33">
        <v>21000</v>
      </c>
      <c r="AF360" s="33">
        <v>37000</v>
      </c>
      <c r="AG360" s="33"/>
      <c r="AK360" s="33" t="s">
        <v>2906</v>
      </c>
    </row>
    <row r="361" spans="1:37" ht="13.5" customHeight="1">
      <c r="A361" s="182" t="s">
        <v>2450</v>
      </c>
      <c r="C361" s="196" t="s">
        <v>54</v>
      </c>
      <c r="D361" s="33" t="s">
        <v>2559</v>
      </c>
      <c r="E361" s="33" t="s">
        <v>2487</v>
      </c>
      <c r="F361" s="33">
        <v>2497</v>
      </c>
      <c r="G361" s="33">
        <v>2500</v>
      </c>
      <c r="H361" s="33" t="s">
        <v>62</v>
      </c>
      <c r="I361" s="33">
        <v>5</v>
      </c>
      <c r="J361" s="33" t="s">
        <v>2522</v>
      </c>
      <c r="P361" s="196">
        <v>1</v>
      </c>
      <c r="Q361" s="33" t="s">
        <v>1743</v>
      </c>
      <c r="R361" s="31" t="s">
        <v>2562</v>
      </c>
      <c r="S361" s="33" t="s">
        <v>1745</v>
      </c>
      <c r="T361" s="31">
        <v>1</v>
      </c>
      <c r="U361" s="33" t="s">
        <v>2267</v>
      </c>
      <c r="V361" s="33">
        <v>2</v>
      </c>
      <c r="W361" s="752" t="s">
        <v>3617</v>
      </c>
      <c r="X361" s="33" t="s">
        <v>3446</v>
      </c>
      <c r="Y361" s="713" t="s">
        <v>3478</v>
      </c>
      <c r="Z361" s="33">
        <v>1</v>
      </c>
      <c r="AA361" s="33" t="s">
        <v>3351</v>
      </c>
      <c r="AB361" s="33">
        <v>1</v>
      </c>
      <c r="AD361" s="504">
        <v>0.03</v>
      </c>
      <c r="AE361" s="33">
        <v>21000</v>
      </c>
      <c r="AF361" s="33">
        <v>37000</v>
      </c>
      <c r="AG361" s="33"/>
      <c r="AK361" s="33" t="s">
        <v>2906</v>
      </c>
    </row>
    <row r="362" spans="1:37" ht="13.5" customHeight="1">
      <c r="A362" s="182" t="s">
        <v>2451</v>
      </c>
      <c r="C362" s="196" t="s">
        <v>54</v>
      </c>
      <c r="D362" s="33" t="s">
        <v>2559</v>
      </c>
      <c r="E362" s="33" t="s">
        <v>2487</v>
      </c>
      <c r="F362" s="33">
        <v>2497</v>
      </c>
      <c r="G362" s="33">
        <v>2500</v>
      </c>
      <c r="H362" s="33" t="s">
        <v>62</v>
      </c>
      <c r="I362" s="33">
        <v>7</v>
      </c>
      <c r="J362" s="33" t="s">
        <v>2523</v>
      </c>
      <c r="P362" s="196">
        <v>1</v>
      </c>
      <c r="Q362" s="31" t="s">
        <v>1814</v>
      </c>
      <c r="R362" s="31" t="s">
        <v>2562</v>
      </c>
      <c r="S362" s="33" t="s">
        <v>1745</v>
      </c>
      <c r="T362" s="31">
        <v>1</v>
      </c>
      <c r="U362" s="33" t="s">
        <v>2267</v>
      </c>
      <c r="V362" s="33">
        <v>2</v>
      </c>
      <c r="W362" s="752" t="s">
        <v>3617</v>
      </c>
      <c r="X362" s="33" t="s">
        <v>3446</v>
      </c>
      <c r="Y362" s="713" t="s">
        <v>3478</v>
      </c>
      <c r="Z362" s="33">
        <v>1</v>
      </c>
      <c r="AA362" s="660">
        <v>1</v>
      </c>
      <c r="AD362" s="504">
        <v>0.03</v>
      </c>
      <c r="AE362" s="33">
        <v>20000</v>
      </c>
      <c r="AF362" s="33">
        <v>32000</v>
      </c>
      <c r="AG362" s="33"/>
      <c r="AK362" s="33" t="s">
        <v>2906</v>
      </c>
    </row>
    <row r="363" spans="1:37" ht="13.5" customHeight="1">
      <c r="A363" s="182" t="s">
        <v>2452</v>
      </c>
      <c r="C363" s="196" t="s">
        <v>54</v>
      </c>
      <c r="D363" s="33" t="s">
        <v>2559</v>
      </c>
      <c r="E363" s="33" t="s">
        <v>2487</v>
      </c>
      <c r="F363" s="33">
        <v>2497</v>
      </c>
      <c r="G363" s="33">
        <v>2500</v>
      </c>
      <c r="H363" s="33" t="s">
        <v>62</v>
      </c>
      <c r="I363" s="33">
        <v>6</v>
      </c>
      <c r="J363" s="33" t="s">
        <v>2524</v>
      </c>
      <c r="P363" s="196">
        <v>1</v>
      </c>
      <c r="Q363" s="31" t="s">
        <v>1814</v>
      </c>
      <c r="R363" s="31" t="s">
        <v>2562</v>
      </c>
      <c r="S363" s="33" t="s">
        <v>1745</v>
      </c>
      <c r="T363" s="31">
        <v>1</v>
      </c>
      <c r="U363" s="33" t="s">
        <v>2267</v>
      </c>
      <c r="V363" s="33">
        <v>2</v>
      </c>
      <c r="W363" s="752" t="s">
        <v>3617</v>
      </c>
      <c r="X363" s="33" t="s">
        <v>3446</v>
      </c>
      <c r="Y363" s="713" t="s">
        <v>3478</v>
      </c>
      <c r="Z363" s="33">
        <v>1</v>
      </c>
      <c r="AA363" s="660">
        <v>1</v>
      </c>
      <c r="AD363" s="504">
        <v>0.03</v>
      </c>
      <c r="AE363" s="33">
        <v>21000</v>
      </c>
      <c r="AF363" s="33">
        <v>37000</v>
      </c>
      <c r="AG363" s="33"/>
      <c r="AK363" s="33" t="s">
        <v>2906</v>
      </c>
    </row>
    <row r="364" spans="1:37" ht="13.5" customHeight="1">
      <c r="A364" s="182" t="s">
        <v>2453</v>
      </c>
      <c r="C364" s="196" t="s">
        <v>54</v>
      </c>
      <c r="D364" s="33" t="s">
        <v>2559</v>
      </c>
      <c r="E364" s="33" t="s">
        <v>2487</v>
      </c>
      <c r="F364" s="33">
        <v>2497</v>
      </c>
      <c r="G364" s="33">
        <v>2500</v>
      </c>
      <c r="H364" s="33" t="s">
        <v>62</v>
      </c>
      <c r="I364" s="33">
        <v>5</v>
      </c>
      <c r="J364" s="33" t="s">
        <v>2525</v>
      </c>
      <c r="P364" s="196">
        <v>1</v>
      </c>
      <c r="Q364" s="33" t="s">
        <v>1743</v>
      </c>
      <c r="R364" s="31" t="s">
        <v>2562</v>
      </c>
      <c r="S364" s="33" t="s">
        <v>1745</v>
      </c>
      <c r="T364" s="31">
        <v>1</v>
      </c>
      <c r="U364" s="33" t="s">
        <v>2267</v>
      </c>
      <c r="V364" s="33">
        <v>2</v>
      </c>
      <c r="W364" s="752" t="s">
        <v>3617</v>
      </c>
      <c r="X364" s="33" t="s">
        <v>3446</v>
      </c>
      <c r="Y364" s="713" t="s">
        <v>3478</v>
      </c>
      <c r="Z364" s="33">
        <v>1</v>
      </c>
      <c r="AA364" s="660">
        <v>1</v>
      </c>
      <c r="AD364" s="504">
        <v>0.03</v>
      </c>
      <c r="AE364" s="33">
        <v>21000</v>
      </c>
      <c r="AF364" s="33">
        <v>37000</v>
      </c>
      <c r="AG364" s="33"/>
      <c r="AK364" s="33" t="s">
        <v>2906</v>
      </c>
    </row>
    <row r="365" spans="1:37" ht="13.5" customHeight="1">
      <c r="A365" s="182" t="s">
        <v>2454</v>
      </c>
      <c r="C365" s="196" t="s">
        <v>54</v>
      </c>
      <c r="D365" s="33" t="s">
        <v>2559</v>
      </c>
      <c r="E365" s="33" t="s">
        <v>2487</v>
      </c>
      <c r="F365" s="33">
        <v>2497</v>
      </c>
      <c r="G365" s="33">
        <v>2500</v>
      </c>
      <c r="H365" s="33" t="s">
        <v>62</v>
      </c>
      <c r="I365" s="33">
        <v>7</v>
      </c>
      <c r="J365" s="33" t="s">
        <v>2526</v>
      </c>
      <c r="P365" s="196">
        <v>1</v>
      </c>
      <c r="Q365" s="31" t="s">
        <v>1814</v>
      </c>
      <c r="R365" s="31" t="s">
        <v>2562</v>
      </c>
      <c r="S365" s="33" t="s">
        <v>1745</v>
      </c>
      <c r="T365" s="31">
        <v>1</v>
      </c>
      <c r="U365" s="33" t="s">
        <v>2267</v>
      </c>
      <c r="V365" s="33">
        <v>2</v>
      </c>
      <c r="W365" s="752" t="s">
        <v>3617</v>
      </c>
      <c r="X365" s="33" t="s">
        <v>3446</v>
      </c>
      <c r="Y365" s="713" t="s">
        <v>3478</v>
      </c>
      <c r="Z365" s="33">
        <v>1</v>
      </c>
      <c r="AA365" s="660">
        <v>1</v>
      </c>
      <c r="AD365" s="504">
        <v>0.03</v>
      </c>
      <c r="AE365" s="33">
        <v>20000</v>
      </c>
      <c r="AF365" s="33">
        <v>32000</v>
      </c>
      <c r="AG365" s="33"/>
      <c r="AK365" s="33" t="s">
        <v>2906</v>
      </c>
    </row>
    <row r="366" spans="1:37" ht="13.5" customHeight="1">
      <c r="A366" s="182" t="s">
        <v>2455</v>
      </c>
      <c r="C366" s="196" t="s">
        <v>54</v>
      </c>
      <c r="D366" s="33" t="s">
        <v>2559</v>
      </c>
      <c r="E366" s="33" t="s">
        <v>2487</v>
      </c>
      <c r="F366" s="33">
        <v>2497</v>
      </c>
      <c r="G366" s="33">
        <v>2500</v>
      </c>
      <c r="H366" s="33" t="s">
        <v>62</v>
      </c>
      <c r="I366" s="33">
        <v>6</v>
      </c>
      <c r="J366" s="33" t="s">
        <v>2527</v>
      </c>
      <c r="P366" s="196">
        <v>1</v>
      </c>
      <c r="Q366" s="31" t="s">
        <v>1814</v>
      </c>
      <c r="R366" s="31" t="s">
        <v>2562</v>
      </c>
      <c r="S366" s="33" t="s">
        <v>1745</v>
      </c>
      <c r="T366" s="31">
        <v>1</v>
      </c>
      <c r="U366" s="33" t="s">
        <v>2267</v>
      </c>
      <c r="V366" s="33">
        <v>2</v>
      </c>
      <c r="W366" s="752" t="s">
        <v>3617</v>
      </c>
      <c r="X366" s="33" t="s">
        <v>3446</v>
      </c>
      <c r="Y366" s="713" t="s">
        <v>3478</v>
      </c>
      <c r="Z366" s="33">
        <v>1</v>
      </c>
      <c r="AA366" s="660">
        <v>1</v>
      </c>
      <c r="AD366" s="504">
        <v>0.03</v>
      </c>
      <c r="AE366" s="33">
        <v>21000</v>
      </c>
      <c r="AF366" s="33">
        <v>37000</v>
      </c>
      <c r="AG366" s="33"/>
      <c r="AK366" s="33" t="s">
        <v>2906</v>
      </c>
    </row>
    <row r="367" spans="1:37" ht="13.5" customHeight="1">
      <c r="A367" s="182" t="s">
        <v>2456</v>
      </c>
      <c r="C367" s="196" t="s">
        <v>54</v>
      </c>
      <c r="D367" s="33" t="s">
        <v>2559</v>
      </c>
      <c r="E367" s="33" t="s">
        <v>2487</v>
      </c>
      <c r="F367" s="33">
        <v>2497</v>
      </c>
      <c r="G367" s="33">
        <v>2500</v>
      </c>
      <c r="H367" s="33" t="s">
        <v>62</v>
      </c>
      <c r="I367" s="33">
        <v>5</v>
      </c>
      <c r="J367" s="33" t="s">
        <v>2528</v>
      </c>
      <c r="P367" s="196">
        <v>1</v>
      </c>
      <c r="Q367" s="33" t="s">
        <v>1743</v>
      </c>
      <c r="R367" s="31" t="s">
        <v>2562</v>
      </c>
      <c r="S367" s="33" t="s">
        <v>1745</v>
      </c>
      <c r="T367" s="31">
        <v>1</v>
      </c>
      <c r="U367" s="33" t="s">
        <v>2267</v>
      </c>
      <c r="V367" s="33">
        <v>2</v>
      </c>
      <c r="W367" s="752" t="s">
        <v>3617</v>
      </c>
      <c r="X367" s="33" t="s">
        <v>3446</v>
      </c>
      <c r="Y367" s="713" t="s">
        <v>3478</v>
      </c>
      <c r="Z367" s="33">
        <v>1</v>
      </c>
      <c r="AA367" s="660">
        <v>1</v>
      </c>
      <c r="AD367" s="504">
        <v>0.03</v>
      </c>
      <c r="AE367" s="33">
        <v>21000</v>
      </c>
      <c r="AF367" s="33">
        <v>37000</v>
      </c>
      <c r="AG367" s="33"/>
      <c r="AK367" s="33" t="s">
        <v>2906</v>
      </c>
    </row>
    <row r="368" spans="1:37" ht="13.5" customHeight="1">
      <c r="A368" s="182" t="s">
        <v>2457</v>
      </c>
      <c r="C368" s="196" t="s">
        <v>54</v>
      </c>
      <c r="D368" s="33" t="s">
        <v>2559</v>
      </c>
      <c r="E368" s="33" t="s">
        <v>2487</v>
      </c>
      <c r="F368" s="33">
        <v>2497</v>
      </c>
      <c r="G368" s="33">
        <v>2500</v>
      </c>
      <c r="H368" s="33" t="s">
        <v>62</v>
      </c>
      <c r="I368" s="33">
        <v>7</v>
      </c>
      <c r="J368" s="33" t="s">
        <v>2529</v>
      </c>
      <c r="P368" s="196">
        <v>1</v>
      </c>
      <c r="Q368" s="31" t="s">
        <v>1814</v>
      </c>
      <c r="R368" s="31" t="s">
        <v>2562</v>
      </c>
      <c r="S368" s="33" t="s">
        <v>1745</v>
      </c>
      <c r="T368" s="31">
        <v>1</v>
      </c>
      <c r="U368" s="33" t="s">
        <v>2267</v>
      </c>
      <c r="V368" s="33">
        <v>2</v>
      </c>
      <c r="W368" s="752" t="s">
        <v>3617</v>
      </c>
      <c r="X368" s="33" t="s">
        <v>3446</v>
      </c>
      <c r="Y368" s="713" t="s">
        <v>3478</v>
      </c>
      <c r="Z368" s="33">
        <v>1</v>
      </c>
      <c r="AA368" s="660">
        <v>1</v>
      </c>
      <c r="AD368" s="504">
        <v>0.03</v>
      </c>
      <c r="AE368" s="33">
        <v>20000</v>
      </c>
      <c r="AF368" s="33">
        <v>32000</v>
      </c>
      <c r="AG368" s="33"/>
      <c r="AK368" s="33" t="s">
        <v>2906</v>
      </c>
    </row>
    <row r="369" spans="1:37" ht="13.5" customHeight="1">
      <c r="A369" s="182" t="s">
        <v>2458</v>
      </c>
      <c r="C369" s="196" t="s">
        <v>54</v>
      </c>
      <c r="D369" s="33" t="s">
        <v>2559</v>
      </c>
      <c r="E369" s="33" t="s">
        <v>2487</v>
      </c>
      <c r="F369" s="33">
        <v>2497</v>
      </c>
      <c r="G369" s="33">
        <v>2500</v>
      </c>
      <c r="H369" s="33" t="s">
        <v>62</v>
      </c>
      <c r="I369" s="33">
        <v>6</v>
      </c>
      <c r="J369" s="33" t="s">
        <v>2530</v>
      </c>
      <c r="P369" s="196">
        <v>1</v>
      </c>
      <c r="Q369" s="31" t="s">
        <v>1814</v>
      </c>
      <c r="R369" s="31" t="s">
        <v>2562</v>
      </c>
      <c r="S369" s="33" t="s">
        <v>1745</v>
      </c>
      <c r="T369" s="31">
        <v>1</v>
      </c>
      <c r="U369" s="33" t="s">
        <v>2267</v>
      </c>
      <c r="V369" s="33">
        <v>2</v>
      </c>
      <c r="W369" s="752" t="s">
        <v>3617</v>
      </c>
      <c r="X369" s="33" t="s">
        <v>3446</v>
      </c>
      <c r="Y369" s="713" t="s">
        <v>3478</v>
      </c>
      <c r="Z369" s="33">
        <v>1</v>
      </c>
      <c r="AA369" s="660">
        <v>1</v>
      </c>
      <c r="AD369" s="504">
        <v>0.03</v>
      </c>
      <c r="AE369" s="33">
        <v>21000</v>
      </c>
      <c r="AF369" s="33">
        <v>37000</v>
      </c>
      <c r="AG369" s="33"/>
      <c r="AK369" s="33" t="s">
        <v>2906</v>
      </c>
    </row>
    <row r="370" spans="1:37" ht="13.5" customHeight="1">
      <c r="A370" s="182" t="s">
        <v>2459</v>
      </c>
      <c r="C370" s="196" t="s">
        <v>54</v>
      </c>
      <c r="D370" s="33" t="s">
        <v>2559</v>
      </c>
      <c r="E370" s="33" t="s">
        <v>2487</v>
      </c>
      <c r="F370" s="33">
        <v>2497</v>
      </c>
      <c r="G370" s="33">
        <v>2500</v>
      </c>
      <c r="H370" s="33" t="s">
        <v>62</v>
      </c>
      <c r="I370" s="33">
        <v>5</v>
      </c>
      <c r="J370" s="33" t="s">
        <v>2531</v>
      </c>
      <c r="P370" s="196">
        <v>1</v>
      </c>
      <c r="Q370" s="33" t="s">
        <v>1743</v>
      </c>
      <c r="R370" s="31" t="s">
        <v>2562</v>
      </c>
      <c r="S370" s="33" t="s">
        <v>1745</v>
      </c>
      <c r="T370" s="31">
        <v>1</v>
      </c>
      <c r="U370" s="33" t="s">
        <v>2267</v>
      </c>
      <c r="V370" s="33">
        <v>2</v>
      </c>
      <c r="W370" s="752" t="s">
        <v>3617</v>
      </c>
      <c r="X370" s="33" t="s">
        <v>3446</v>
      </c>
      <c r="Y370" s="713" t="s">
        <v>3478</v>
      </c>
      <c r="Z370" s="33">
        <v>1</v>
      </c>
      <c r="AA370" s="660">
        <v>1</v>
      </c>
      <c r="AD370" s="504">
        <v>0.03</v>
      </c>
      <c r="AE370" s="33">
        <v>21000</v>
      </c>
      <c r="AF370" s="33">
        <v>37000</v>
      </c>
      <c r="AG370" s="33"/>
      <c r="AK370" s="33" t="s">
        <v>2906</v>
      </c>
    </row>
    <row r="371" spans="1:37" ht="13.5" customHeight="1">
      <c r="A371" s="182" t="s">
        <v>2460</v>
      </c>
      <c r="C371" s="196" t="s">
        <v>54</v>
      </c>
      <c r="D371" s="33" t="s">
        <v>2559</v>
      </c>
      <c r="E371" s="33" t="s">
        <v>2487</v>
      </c>
      <c r="F371" s="33">
        <v>2497</v>
      </c>
      <c r="G371" s="33">
        <v>2500</v>
      </c>
      <c r="H371" s="33" t="s">
        <v>62</v>
      </c>
      <c r="I371" s="33">
        <v>7</v>
      </c>
      <c r="J371" s="33" t="s">
        <v>2532</v>
      </c>
      <c r="P371" s="196">
        <v>1</v>
      </c>
      <c r="Q371" s="31" t="s">
        <v>1814</v>
      </c>
      <c r="R371" s="31" t="s">
        <v>2562</v>
      </c>
      <c r="S371" s="33" t="s">
        <v>1745</v>
      </c>
      <c r="T371" s="31">
        <v>1</v>
      </c>
      <c r="U371" s="33" t="s">
        <v>2267</v>
      </c>
      <c r="V371" s="33">
        <v>2</v>
      </c>
      <c r="W371" s="752" t="s">
        <v>3617</v>
      </c>
      <c r="X371" s="33" t="s">
        <v>3446</v>
      </c>
      <c r="Y371" s="713" t="s">
        <v>3478</v>
      </c>
      <c r="Z371" s="33">
        <v>1</v>
      </c>
      <c r="AA371" s="660">
        <v>1</v>
      </c>
      <c r="AD371" s="504">
        <v>0.03</v>
      </c>
      <c r="AE371" s="33">
        <v>20000</v>
      </c>
      <c r="AF371" s="33">
        <v>32000</v>
      </c>
      <c r="AG371" s="33"/>
      <c r="AK371" s="33" t="s">
        <v>2906</v>
      </c>
    </row>
    <row r="372" spans="1:37" ht="13.5" customHeight="1">
      <c r="A372" s="182" t="s">
        <v>2461</v>
      </c>
      <c r="C372" s="196" t="s">
        <v>54</v>
      </c>
      <c r="D372" s="33" t="s">
        <v>2559</v>
      </c>
      <c r="E372" s="33" t="s">
        <v>2487</v>
      </c>
      <c r="F372" s="33">
        <v>2497</v>
      </c>
      <c r="G372" s="33">
        <v>2500</v>
      </c>
      <c r="H372" s="33" t="s">
        <v>62</v>
      </c>
      <c r="I372" s="33">
        <v>6</v>
      </c>
      <c r="J372" s="33" t="s">
        <v>2533</v>
      </c>
      <c r="P372" s="196">
        <v>1</v>
      </c>
      <c r="Q372" s="31" t="s">
        <v>1814</v>
      </c>
      <c r="R372" s="31" t="s">
        <v>2562</v>
      </c>
      <c r="S372" s="33" t="s">
        <v>1745</v>
      </c>
      <c r="T372" s="31">
        <v>1</v>
      </c>
      <c r="U372" s="33" t="s">
        <v>2267</v>
      </c>
      <c r="V372" s="33">
        <v>2</v>
      </c>
      <c r="W372" s="752" t="s">
        <v>3617</v>
      </c>
      <c r="X372" s="33" t="s">
        <v>3446</v>
      </c>
      <c r="Y372" s="713" t="s">
        <v>3478</v>
      </c>
      <c r="Z372" s="33">
        <v>1</v>
      </c>
      <c r="AA372" s="660">
        <v>1</v>
      </c>
      <c r="AD372" s="504">
        <v>0.03</v>
      </c>
      <c r="AE372" s="33">
        <v>21000</v>
      </c>
      <c r="AF372" s="33">
        <v>37000</v>
      </c>
      <c r="AG372" s="33"/>
      <c r="AK372" s="33" t="s">
        <v>2906</v>
      </c>
    </row>
    <row r="373" spans="1:37" ht="13.5" customHeight="1">
      <c r="A373" s="182" t="s">
        <v>2462</v>
      </c>
      <c r="C373" s="196" t="s">
        <v>54</v>
      </c>
      <c r="D373" s="33" t="s">
        <v>2559</v>
      </c>
      <c r="E373" s="33" t="s">
        <v>2487</v>
      </c>
      <c r="F373" s="33">
        <v>2497</v>
      </c>
      <c r="G373" s="33">
        <v>2500</v>
      </c>
      <c r="H373" s="33" t="s">
        <v>62</v>
      </c>
      <c r="I373" s="33">
        <v>5</v>
      </c>
      <c r="J373" s="33" t="s">
        <v>2534</v>
      </c>
      <c r="P373" s="196">
        <v>1</v>
      </c>
      <c r="Q373" s="33" t="s">
        <v>1743</v>
      </c>
      <c r="R373" s="31" t="s">
        <v>2562</v>
      </c>
      <c r="S373" s="33" t="s">
        <v>1745</v>
      </c>
      <c r="T373" s="31">
        <v>1</v>
      </c>
      <c r="U373" s="33" t="s">
        <v>2267</v>
      </c>
      <c r="V373" s="33">
        <v>2</v>
      </c>
      <c r="W373" s="752" t="s">
        <v>3617</v>
      </c>
      <c r="X373" s="33" t="s">
        <v>3446</v>
      </c>
      <c r="Y373" s="713" t="s">
        <v>3478</v>
      </c>
      <c r="Z373" s="33">
        <v>1</v>
      </c>
      <c r="AA373" s="660">
        <v>1</v>
      </c>
      <c r="AD373" s="504">
        <v>0.03</v>
      </c>
      <c r="AE373" s="33">
        <v>21000</v>
      </c>
      <c r="AF373" s="33">
        <v>37000</v>
      </c>
      <c r="AG373" s="33"/>
      <c r="AK373" s="33" t="s">
        <v>2906</v>
      </c>
    </row>
    <row r="374" spans="1:37" ht="13.5" customHeight="1">
      <c r="A374" s="182" t="s">
        <v>2463</v>
      </c>
      <c r="C374" s="196" t="s">
        <v>54</v>
      </c>
      <c r="D374" s="33" t="s">
        <v>2559</v>
      </c>
      <c r="E374" s="33" t="s">
        <v>2487</v>
      </c>
      <c r="F374" s="33">
        <v>1598</v>
      </c>
      <c r="G374" s="33">
        <v>1600</v>
      </c>
      <c r="H374" s="33" t="s">
        <v>62</v>
      </c>
      <c r="I374" s="33">
        <v>7</v>
      </c>
      <c r="J374" s="33" t="s">
        <v>2535</v>
      </c>
      <c r="P374" s="196">
        <v>1</v>
      </c>
      <c r="Q374" s="31" t="s">
        <v>1814</v>
      </c>
      <c r="R374" s="33" t="s">
        <v>2563</v>
      </c>
      <c r="S374" s="33" t="s">
        <v>1745</v>
      </c>
      <c r="T374" s="31">
        <v>1</v>
      </c>
      <c r="U374" s="33" t="s">
        <v>2593</v>
      </c>
      <c r="V374" s="33">
        <v>2</v>
      </c>
      <c r="W374" s="752" t="s">
        <v>3472</v>
      </c>
      <c r="X374" s="33" t="s">
        <v>3446</v>
      </c>
      <c r="Y374" s="713" t="s">
        <v>3478</v>
      </c>
      <c r="Z374" s="33">
        <v>1</v>
      </c>
      <c r="AB374" s="33">
        <v>1</v>
      </c>
      <c r="AD374" s="504">
        <v>0.03</v>
      </c>
      <c r="AE374" s="33">
        <v>26000</v>
      </c>
      <c r="AF374" s="33">
        <v>41000</v>
      </c>
      <c r="AG374" s="33"/>
      <c r="AJ374" s="33" t="s">
        <v>3323</v>
      </c>
      <c r="AK374" s="33" t="s">
        <v>2906</v>
      </c>
    </row>
    <row r="375" spans="1:37" ht="13.5" customHeight="1">
      <c r="A375" s="182" t="s">
        <v>2464</v>
      </c>
      <c r="C375" s="196" t="s">
        <v>54</v>
      </c>
      <c r="D375" s="33" t="s">
        <v>2559</v>
      </c>
      <c r="E375" s="33" t="s">
        <v>2487</v>
      </c>
      <c r="F375" s="33">
        <v>1598</v>
      </c>
      <c r="G375" s="33">
        <v>1600</v>
      </c>
      <c r="H375" s="33" t="s">
        <v>62</v>
      </c>
      <c r="I375" s="33">
        <v>6</v>
      </c>
      <c r="J375" s="33" t="s">
        <v>2536</v>
      </c>
      <c r="P375" s="196">
        <v>1</v>
      </c>
      <c r="Q375" s="31" t="s">
        <v>1814</v>
      </c>
      <c r="R375" s="33" t="s">
        <v>2563</v>
      </c>
      <c r="S375" s="33" t="s">
        <v>1745</v>
      </c>
      <c r="T375" s="31">
        <v>1</v>
      </c>
      <c r="U375" s="33" t="s">
        <v>2593</v>
      </c>
      <c r="V375" s="33">
        <v>2</v>
      </c>
      <c r="W375" s="752" t="s">
        <v>3472</v>
      </c>
      <c r="X375" s="33" t="s">
        <v>3446</v>
      </c>
      <c r="Y375" s="713" t="s">
        <v>3478</v>
      </c>
      <c r="Z375" s="33">
        <v>1</v>
      </c>
      <c r="AB375" s="33">
        <v>1</v>
      </c>
      <c r="AD375" s="504">
        <v>0.03</v>
      </c>
      <c r="AE375" s="33">
        <v>28000</v>
      </c>
      <c r="AF375" s="33">
        <v>46000</v>
      </c>
      <c r="AG375" s="33"/>
      <c r="AJ375" s="33" t="s">
        <v>3323</v>
      </c>
      <c r="AK375" s="33" t="s">
        <v>2906</v>
      </c>
    </row>
    <row r="376" spans="1:37" ht="13.5" customHeight="1">
      <c r="A376" s="182" t="s">
        <v>2465</v>
      </c>
      <c r="C376" s="196" t="s">
        <v>54</v>
      </c>
      <c r="D376" s="33" t="s">
        <v>2559</v>
      </c>
      <c r="E376" s="33" t="s">
        <v>2487</v>
      </c>
      <c r="F376" s="33">
        <v>1598</v>
      </c>
      <c r="G376" s="33">
        <v>1600</v>
      </c>
      <c r="H376" s="33" t="s">
        <v>62</v>
      </c>
      <c r="I376" s="33">
        <v>5</v>
      </c>
      <c r="J376" s="33" t="s">
        <v>2537</v>
      </c>
      <c r="P376" s="196">
        <v>1</v>
      </c>
      <c r="Q376" s="33" t="s">
        <v>1743</v>
      </c>
      <c r="R376" s="33" t="s">
        <v>2563</v>
      </c>
      <c r="S376" s="33" t="s">
        <v>1745</v>
      </c>
      <c r="T376" s="31">
        <v>1</v>
      </c>
      <c r="U376" s="33" t="s">
        <v>2593</v>
      </c>
      <c r="V376" s="33">
        <v>2</v>
      </c>
      <c r="W376" s="752" t="s">
        <v>3472</v>
      </c>
      <c r="X376" s="33" t="s">
        <v>3446</v>
      </c>
      <c r="Y376" s="713" t="s">
        <v>3478</v>
      </c>
      <c r="Z376" s="33">
        <v>1</v>
      </c>
      <c r="AB376" s="33">
        <v>1</v>
      </c>
      <c r="AD376" s="504">
        <v>0.03</v>
      </c>
      <c r="AE376" s="33">
        <v>28000</v>
      </c>
      <c r="AF376" s="33">
        <v>46000</v>
      </c>
      <c r="AG376" s="33"/>
      <c r="AJ376" s="33" t="s">
        <v>3323</v>
      </c>
      <c r="AK376" s="33" t="s">
        <v>2906</v>
      </c>
    </row>
    <row r="377" spans="1:37" ht="13.5" customHeight="1">
      <c r="A377" s="182" t="s">
        <v>2466</v>
      </c>
      <c r="C377" s="196" t="s">
        <v>54</v>
      </c>
      <c r="D377" s="33" t="s">
        <v>2559</v>
      </c>
      <c r="E377" s="33" t="s">
        <v>2487</v>
      </c>
      <c r="F377" s="33">
        <v>1598</v>
      </c>
      <c r="G377" s="33">
        <v>1600</v>
      </c>
      <c r="H377" s="33" t="s">
        <v>62</v>
      </c>
      <c r="I377" s="33">
        <v>7</v>
      </c>
      <c r="J377" s="33" t="s">
        <v>2538</v>
      </c>
      <c r="P377" s="196">
        <v>1</v>
      </c>
      <c r="Q377" s="31" t="s">
        <v>1814</v>
      </c>
      <c r="R377" s="33" t="s">
        <v>2563</v>
      </c>
      <c r="S377" s="33" t="s">
        <v>1745</v>
      </c>
      <c r="T377" s="31">
        <v>1</v>
      </c>
      <c r="U377" s="33" t="s">
        <v>2593</v>
      </c>
      <c r="V377" s="33">
        <v>2</v>
      </c>
      <c r="W377" s="752" t="s">
        <v>3472</v>
      </c>
      <c r="X377" s="33" t="s">
        <v>3446</v>
      </c>
      <c r="Y377" s="713" t="s">
        <v>3478</v>
      </c>
      <c r="Z377" s="33">
        <v>1</v>
      </c>
      <c r="AB377" s="33">
        <v>1</v>
      </c>
      <c r="AD377" s="504">
        <v>0.03</v>
      </c>
      <c r="AE377" s="33">
        <v>26000</v>
      </c>
      <c r="AF377" s="33">
        <v>41000</v>
      </c>
      <c r="AG377" s="33"/>
      <c r="AJ377" s="33" t="s">
        <v>3323</v>
      </c>
      <c r="AK377" s="33" t="s">
        <v>2906</v>
      </c>
    </row>
    <row r="378" spans="1:37" ht="13.5" customHeight="1">
      <c r="A378" s="182" t="s">
        <v>2467</v>
      </c>
      <c r="C378" s="196" t="s">
        <v>54</v>
      </c>
      <c r="D378" s="33" t="s">
        <v>2559</v>
      </c>
      <c r="E378" s="33" t="s">
        <v>2487</v>
      </c>
      <c r="F378" s="33">
        <v>1598</v>
      </c>
      <c r="G378" s="33">
        <v>1600</v>
      </c>
      <c r="H378" s="33" t="s">
        <v>62</v>
      </c>
      <c r="I378" s="33">
        <v>6</v>
      </c>
      <c r="J378" s="33" t="s">
        <v>2539</v>
      </c>
      <c r="P378" s="196">
        <v>1</v>
      </c>
      <c r="Q378" s="31" t="s">
        <v>1814</v>
      </c>
      <c r="R378" s="33" t="s">
        <v>2563</v>
      </c>
      <c r="S378" s="33" t="s">
        <v>1745</v>
      </c>
      <c r="T378" s="31">
        <v>1</v>
      </c>
      <c r="U378" s="33" t="s">
        <v>2593</v>
      </c>
      <c r="V378" s="33">
        <v>2</v>
      </c>
      <c r="W378" s="752" t="s">
        <v>3472</v>
      </c>
      <c r="X378" s="33" t="s">
        <v>3446</v>
      </c>
      <c r="Y378" s="713" t="s">
        <v>3478</v>
      </c>
      <c r="Z378" s="33">
        <v>1</v>
      </c>
      <c r="AB378" s="33">
        <v>1</v>
      </c>
      <c r="AD378" s="504">
        <v>0.03</v>
      </c>
      <c r="AE378" s="33">
        <v>28000</v>
      </c>
      <c r="AF378" s="33">
        <v>46000</v>
      </c>
      <c r="AG378" s="33"/>
      <c r="AJ378" s="33" t="s">
        <v>3323</v>
      </c>
      <c r="AK378" s="33" t="s">
        <v>2906</v>
      </c>
    </row>
    <row r="379" spans="1:37" ht="13.5" customHeight="1">
      <c r="A379" s="182" t="s">
        <v>2468</v>
      </c>
      <c r="C379" s="196" t="s">
        <v>54</v>
      </c>
      <c r="D379" s="33" t="s">
        <v>2559</v>
      </c>
      <c r="E379" s="33" t="s">
        <v>2487</v>
      </c>
      <c r="F379" s="33">
        <v>1598</v>
      </c>
      <c r="G379" s="33">
        <v>1600</v>
      </c>
      <c r="H379" s="33" t="s">
        <v>62</v>
      </c>
      <c r="I379" s="33">
        <v>5</v>
      </c>
      <c r="J379" s="33" t="s">
        <v>2540</v>
      </c>
      <c r="P379" s="196">
        <v>1</v>
      </c>
      <c r="Q379" s="33" t="s">
        <v>1743</v>
      </c>
      <c r="R379" s="33" t="s">
        <v>2563</v>
      </c>
      <c r="S379" s="33" t="s">
        <v>1745</v>
      </c>
      <c r="T379" s="31">
        <v>1</v>
      </c>
      <c r="U379" s="33" t="s">
        <v>2593</v>
      </c>
      <c r="V379" s="33">
        <v>2</v>
      </c>
      <c r="W379" s="752" t="s">
        <v>3472</v>
      </c>
      <c r="X379" s="33" t="s">
        <v>3446</v>
      </c>
      <c r="Y379" s="713" t="s">
        <v>3478</v>
      </c>
      <c r="Z379" s="33">
        <v>1</v>
      </c>
      <c r="AB379" s="33">
        <v>1</v>
      </c>
      <c r="AD379" s="504">
        <v>0.03</v>
      </c>
      <c r="AE379" s="33">
        <v>28000</v>
      </c>
      <c r="AF379" s="33">
        <v>46000</v>
      </c>
      <c r="AG379" s="33"/>
      <c r="AJ379" s="33" t="s">
        <v>3323</v>
      </c>
      <c r="AK379" s="33" t="s">
        <v>2906</v>
      </c>
    </row>
    <row r="380" spans="1:37" ht="13.5" customHeight="1">
      <c r="A380" s="182" t="s">
        <v>2469</v>
      </c>
      <c r="C380" s="196" t="s">
        <v>54</v>
      </c>
      <c r="D380" s="33" t="s">
        <v>2559</v>
      </c>
      <c r="E380" s="33" t="s">
        <v>2487</v>
      </c>
      <c r="F380" s="33">
        <v>1598</v>
      </c>
      <c r="G380" s="33">
        <v>1600</v>
      </c>
      <c r="H380" s="33" t="s">
        <v>62</v>
      </c>
      <c r="I380" s="33">
        <v>7</v>
      </c>
      <c r="J380" s="33" t="s">
        <v>2541</v>
      </c>
      <c r="P380" s="196">
        <v>1</v>
      </c>
      <c r="Q380" s="31" t="s">
        <v>1814</v>
      </c>
      <c r="R380" s="33" t="s">
        <v>2563</v>
      </c>
      <c r="S380" s="33" t="s">
        <v>1745</v>
      </c>
      <c r="T380" s="31">
        <v>1</v>
      </c>
      <c r="U380" s="33" t="s">
        <v>2593</v>
      </c>
      <c r="V380" s="33">
        <v>2</v>
      </c>
      <c r="W380" s="752" t="s">
        <v>3472</v>
      </c>
      <c r="X380" s="33" t="s">
        <v>3446</v>
      </c>
      <c r="Y380" s="713" t="s">
        <v>3478</v>
      </c>
      <c r="Z380" s="33">
        <v>1</v>
      </c>
      <c r="AB380" s="33">
        <v>1</v>
      </c>
      <c r="AD380" s="504">
        <v>0.03</v>
      </c>
      <c r="AE380" s="33">
        <v>26000</v>
      </c>
      <c r="AF380" s="33">
        <v>41000</v>
      </c>
      <c r="AG380" s="33"/>
      <c r="AJ380" s="33" t="s">
        <v>3323</v>
      </c>
      <c r="AK380" s="33" t="s">
        <v>2906</v>
      </c>
    </row>
    <row r="381" spans="1:37" ht="13.5" customHeight="1">
      <c r="A381" s="182" t="s">
        <v>2470</v>
      </c>
      <c r="C381" s="196" t="s">
        <v>54</v>
      </c>
      <c r="D381" s="33" t="s">
        <v>2559</v>
      </c>
      <c r="E381" s="33" t="s">
        <v>2487</v>
      </c>
      <c r="F381" s="33">
        <v>1598</v>
      </c>
      <c r="G381" s="33">
        <v>1600</v>
      </c>
      <c r="H381" s="33" t="s">
        <v>62</v>
      </c>
      <c r="I381" s="33">
        <v>6</v>
      </c>
      <c r="J381" s="33" t="s">
        <v>2542</v>
      </c>
      <c r="P381" s="196">
        <v>1</v>
      </c>
      <c r="Q381" s="31" t="s">
        <v>1814</v>
      </c>
      <c r="R381" s="33" t="s">
        <v>2563</v>
      </c>
      <c r="S381" s="33" t="s">
        <v>1745</v>
      </c>
      <c r="T381" s="31">
        <v>1</v>
      </c>
      <c r="U381" s="33" t="s">
        <v>2593</v>
      </c>
      <c r="V381" s="33">
        <v>2</v>
      </c>
      <c r="W381" s="752" t="s">
        <v>3472</v>
      </c>
      <c r="X381" s="33" t="s">
        <v>3446</v>
      </c>
      <c r="Y381" s="713" t="s">
        <v>3478</v>
      </c>
      <c r="Z381" s="33">
        <v>1</v>
      </c>
      <c r="AB381" s="33">
        <v>1</v>
      </c>
      <c r="AD381" s="504">
        <v>0.03</v>
      </c>
      <c r="AE381" s="33">
        <v>28000</v>
      </c>
      <c r="AF381" s="33">
        <v>46000</v>
      </c>
      <c r="AG381" s="33"/>
      <c r="AJ381" s="33" t="s">
        <v>3323</v>
      </c>
      <c r="AK381" s="33" t="s">
        <v>2906</v>
      </c>
    </row>
    <row r="382" spans="1:37" ht="13.5" customHeight="1">
      <c r="A382" s="182" t="s">
        <v>2471</v>
      </c>
      <c r="C382" s="196" t="s">
        <v>54</v>
      </c>
      <c r="D382" s="33" t="s">
        <v>2559</v>
      </c>
      <c r="E382" s="33" t="s">
        <v>2487</v>
      </c>
      <c r="F382" s="33">
        <v>1598</v>
      </c>
      <c r="G382" s="33">
        <v>1600</v>
      </c>
      <c r="H382" s="33" t="s">
        <v>62</v>
      </c>
      <c r="I382" s="33">
        <v>5</v>
      </c>
      <c r="J382" s="33" t="s">
        <v>2543</v>
      </c>
      <c r="P382" s="196">
        <v>1</v>
      </c>
      <c r="Q382" s="33" t="s">
        <v>1743</v>
      </c>
      <c r="R382" s="33" t="s">
        <v>2563</v>
      </c>
      <c r="S382" s="33" t="s">
        <v>1745</v>
      </c>
      <c r="T382" s="31">
        <v>1</v>
      </c>
      <c r="U382" s="33" t="s">
        <v>2593</v>
      </c>
      <c r="V382" s="33">
        <v>2</v>
      </c>
      <c r="W382" s="752" t="s">
        <v>3472</v>
      </c>
      <c r="X382" s="33" t="s">
        <v>3446</v>
      </c>
      <c r="Y382" s="713" t="s">
        <v>3478</v>
      </c>
      <c r="Z382" s="33">
        <v>1</v>
      </c>
      <c r="AB382" s="33">
        <v>1</v>
      </c>
      <c r="AD382" s="504">
        <v>0.03</v>
      </c>
      <c r="AE382" s="33">
        <v>28000</v>
      </c>
      <c r="AF382" s="33">
        <v>46000</v>
      </c>
      <c r="AG382" s="33"/>
      <c r="AJ382" s="33" t="s">
        <v>3323</v>
      </c>
      <c r="AK382" s="33" t="s">
        <v>2906</v>
      </c>
    </row>
    <row r="383" spans="1:37" ht="13.5" customHeight="1">
      <c r="A383" s="182" t="s">
        <v>2472</v>
      </c>
      <c r="C383" s="196" t="s">
        <v>54</v>
      </c>
      <c r="D383" s="33" t="s">
        <v>2559</v>
      </c>
      <c r="E383" s="33" t="s">
        <v>2487</v>
      </c>
      <c r="F383" s="33">
        <v>1598</v>
      </c>
      <c r="G383" s="33">
        <v>1600</v>
      </c>
      <c r="H383" s="33" t="s">
        <v>62</v>
      </c>
      <c r="I383" s="33">
        <v>7</v>
      </c>
      <c r="J383" s="33" t="s">
        <v>2544</v>
      </c>
      <c r="P383" s="196">
        <v>1</v>
      </c>
      <c r="Q383" s="31" t="s">
        <v>1814</v>
      </c>
      <c r="R383" s="33" t="s">
        <v>2563</v>
      </c>
      <c r="S383" s="33" t="s">
        <v>1745</v>
      </c>
      <c r="T383" s="31">
        <v>1</v>
      </c>
      <c r="U383" s="33" t="s">
        <v>2593</v>
      </c>
      <c r="V383" s="33">
        <v>2</v>
      </c>
      <c r="W383" s="752" t="s">
        <v>3472</v>
      </c>
      <c r="X383" s="33" t="s">
        <v>3446</v>
      </c>
      <c r="Y383" s="713" t="s">
        <v>3478</v>
      </c>
      <c r="Z383" s="33">
        <v>1</v>
      </c>
      <c r="AB383" s="33">
        <v>1</v>
      </c>
      <c r="AD383" s="504">
        <v>0.03</v>
      </c>
      <c r="AE383" s="33">
        <v>26000</v>
      </c>
      <c r="AF383" s="33">
        <v>41000</v>
      </c>
      <c r="AG383" s="33"/>
      <c r="AJ383" s="33" t="s">
        <v>3323</v>
      </c>
      <c r="AK383" s="33" t="s">
        <v>2906</v>
      </c>
    </row>
    <row r="384" spans="1:37" ht="13.5" customHeight="1">
      <c r="A384" s="182" t="s">
        <v>2473</v>
      </c>
      <c r="C384" s="196" t="s">
        <v>54</v>
      </c>
      <c r="D384" s="33" t="s">
        <v>2559</v>
      </c>
      <c r="E384" s="33" t="s">
        <v>2487</v>
      </c>
      <c r="F384" s="33">
        <v>1598</v>
      </c>
      <c r="G384" s="33">
        <v>1600</v>
      </c>
      <c r="H384" s="33" t="s">
        <v>62</v>
      </c>
      <c r="I384" s="33">
        <v>6</v>
      </c>
      <c r="J384" s="33" t="s">
        <v>2545</v>
      </c>
      <c r="P384" s="196">
        <v>1</v>
      </c>
      <c r="Q384" s="31" t="s">
        <v>1814</v>
      </c>
      <c r="R384" s="33" t="s">
        <v>2563</v>
      </c>
      <c r="S384" s="33" t="s">
        <v>1745</v>
      </c>
      <c r="T384" s="31">
        <v>1</v>
      </c>
      <c r="U384" s="33" t="s">
        <v>2593</v>
      </c>
      <c r="V384" s="33">
        <v>2</v>
      </c>
      <c r="W384" s="752" t="s">
        <v>3472</v>
      </c>
      <c r="X384" s="33" t="s">
        <v>3446</v>
      </c>
      <c r="Y384" s="713" t="s">
        <v>3478</v>
      </c>
      <c r="Z384" s="33">
        <v>1</v>
      </c>
      <c r="AB384" s="33">
        <v>1</v>
      </c>
      <c r="AD384" s="504">
        <v>0.03</v>
      </c>
      <c r="AE384" s="33">
        <v>28000</v>
      </c>
      <c r="AF384" s="33">
        <v>46000</v>
      </c>
      <c r="AG384" s="33"/>
      <c r="AJ384" s="33" t="s">
        <v>3323</v>
      </c>
      <c r="AK384" s="33" t="s">
        <v>2906</v>
      </c>
    </row>
    <row r="385" spans="1:37" ht="13.5" customHeight="1">
      <c r="A385" s="182" t="s">
        <v>2474</v>
      </c>
      <c r="C385" s="196" t="s">
        <v>54</v>
      </c>
      <c r="D385" s="33" t="s">
        <v>2559</v>
      </c>
      <c r="E385" s="33" t="s">
        <v>2487</v>
      </c>
      <c r="F385" s="33">
        <v>1598</v>
      </c>
      <c r="G385" s="33">
        <v>1600</v>
      </c>
      <c r="H385" s="33" t="s">
        <v>62</v>
      </c>
      <c r="I385" s="33">
        <v>5</v>
      </c>
      <c r="J385" s="33" t="s">
        <v>2546</v>
      </c>
      <c r="P385" s="196">
        <v>1</v>
      </c>
      <c r="Q385" s="33" t="s">
        <v>1743</v>
      </c>
      <c r="R385" s="33" t="s">
        <v>2563</v>
      </c>
      <c r="S385" s="33" t="s">
        <v>1745</v>
      </c>
      <c r="T385" s="31">
        <v>1</v>
      </c>
      <c r="U385" s="33" t="s">
        <v>2593</v>
      </c>
      <c r="V385" s="33">
        <v>2</v>
      </c>
      <c r="W385" s="752" t="s">
        <v>3472</v>
      </c>
      <c r="X385" s="33" t="s">
        <v>3446</v>
      </c>
      <c r="Y385" s="713" t="s">
        <v>3478</v>
      </c>
      <c r="Z385" s="33">
        <v>1</v>
      </c>
      <c r="AB385" s="33">
        <v>1</v>
      </c>
      <c r="AD385" s="504">
        <v>0.03</v>
      </c>
      <c r="AE385" s="33">
        <v>28000</v>
      </c>
      <c r="AF385" s="33">
        <v>46000</v>
      </c>
      <c r="AG385" s="33"/>
      <c r="AJ385" s="33" t="s">
        <v>3323</v>
      </c>
      <c r="AK385" s="33" t="s">
        <v>2906</v>
      </c>
    </row>
    <row r="386" spans="1:37" ht="13.5" customHeight="1">
      <c r="A386" s="182" t="s">
        <v>2475</v>
      </c>
      <c r="C386" s="196" t="s">
        <v>54</v>
      </c>
      <c r="D386" s="33" t="s">
        <v>2559</v>
      </c>
      <c r="E386" s="33" t="s">
        <v>2487</v>
      </c>
      <c r="F386" s="33">
        <v>1598</v>
      </c>
      <c r="G386" s="33">
        <v>1600</v>
      </c>
      <c r="H386" s="33" t="s">
        <v>1628</v>
      </c>
      <c r="I386" s="33">
        <v>7</v>
      </c>
      <c r="J386" s="33" t="s">
        <v>2547</v>
      </c>
      <c r="P386" s="196">
        <v>1</v>
      </c>
      <c r="Q386" s="31" t="s">
        <v>1814</v>
      </c>
      <c r="R386" s="33" t="s">
        <v>2563</v>
      </c>
      <c r="S386" s="33" t="s">
        <v>1745</v>
      </c>
      <c r="T386" s="31">
        <v>1</v>
      </c>
      <c r="U386" s="33" t="s">
        <v>2593</v>
      </c>
      <c r="V386" s="33">
        <v>2</v>
      </c>
      <c r="W386" s="752" t="s">
        <v>3472</v>
      </c>
      <c r="X386" s="33" t="s">
        <v>3446</v>
      </c>
      <c r="Y386" s="713" t="s">
        <v>3478</v>
      </c>
      <c r="Z386" s="33">
        <v>1</v>
      </c>
      <c r="AA386" s="33" t="s">
        <v>3352</v>
      </c>
      <c r="AB386" s="33">
        <v>1</v>
      </c>
      <c r="AD386" s="504">
        <v>0.03</v>
      </c>
      <c r="AE386" s="33">
        <v>26000</v>
      </c>
      <c r="AF386" s="33">
        <v>41000</v>
      </c>
      <c r="AG386" s="33"/>
      <c r="AJ386" s="33" t="s">
        <v>3323</v>
      </c>
      <c r="AK386" s="33" t="s">
        <v>2906</v>
      </c>
    </row>
    <row r="387" spans="1:37" ht="13.5" customHeight="1">
      <c r="A387" s="182" t="s">
        <v>2476</v>
      </c>
      <c r="C387" s="196" t="s">
        <v>54</v>
      </c>
      <c r="D387" s="33" t="s">
        <v>2559</v>
      </c>
      <c r="E387" s="33" t="s">
        <v>2487</v>
      </c>
      <c r="F387" s="33">
        <v>1598</v>
      </c>
      <c r="G387" s="33">
        <v>1600</v>
      </c>
      <c r="H387" s="33" t="s">
        <v>1628</v>
      </c>
      <c r="I387" s="33">
        <v>6</v>
      </c>
      <c r="J387" s="33" t="s">
        <v>2548</v>
      </c>
      <c r="P387" s="196">
        <v>1</v>
      </c>
      <c r="Q387" s="31" t="s">
        <v>1814</v>
      </c>
      <c r="R387" s="33" t="s">
        <v>2563</v>
      </c>
      <c r="S387" s="33" t="s">
        <v>1745</v>
      </c>
      <c r="T387" s="31">
        <v>1</v>
      </c>
      <c r="U387" s="33" t="s">
        <v>2593</v>
      </c>
      <c r="V387" s="33">
        <v>2</v>
      </c>
      <c r="W387" s="752" t="s">
        <v>3472</v>
      </c>
      <c r="X387" s="33" t="s">
        <v>3446</v>
      </c>
      <c r="Y387" s="713" t="s">
        <v>3478</v>
      </c>
      <c r="Z387" s="33">
        <v>1</v>
      </c>
      <c r="AA387" s="33" t="s">
        <v>3352</v>
      </c>
      <c r="AB387" s="33">
        <v>1</v>
      </c>
      <c r="AD387" s="504">
        <v>0.03</v>
      </c>
      <c r="AE387" s="33">
        <v>28000</v>
      </c>
      <c r="AF387" s="33">
        <v>46000</v>
      </c>
      <c r="AG387" s="33"/>
      <c r="AJ387" s="33" t="s">
        <v>3323</v>
      </c>
      <c r="AK387" s="33" t="s">
        <v>2906</v>
      </c>
    </row>
    <row r="388" spans="1:37" ht="13.5" customHeight="1">
      <c r="A388" s="182" t="s">
        <v>2477</v>
      </c>
      <c r="C388" s="196" t="s">
        <v>54</v>
      </c>
      <c r="D388" s="33" t="s">
        <v>2559</v>
      </c>
      <c r="E388" s="33" t="s">
        <v>2487</v>
      </c>
      <c r="F388" s="33">
        <v>1598</v>
      </c>
      <c r="G388" s="33">
        <v>1600</v>
      </c>
      <c r="H388" s="33" t="s">
        <v>1628</v>
      </c>
      <c r="I388" s="33">
        <v>5</v>
      </c>
      <c r="J388" s="33" t="s">
        <v>2549</v>
      </c>
      <c r="P388" s="196">
        <v>1</v>
      </c>
      <c r="Q388" s="33" t="s">
        <v>1743</v>
      </c>
      <c r="R388" s="33" t="s">
        <v>2563</v>
      </c>
      <c r="S388" s="33" t="s">
        <v>1745</v>
      </c>
      <c r="T388" s="31">
        <v>1</v>
      </c>
      <c r="U388" s="33" t="s">
        <v>2593</v>
      </c>
      <c r="V388" s="33">
        <v>2</v>
      </c>
      <c r="W388" s="752" t="s">
        <v>3472</v>
      </c>
      <c r="X388" s="33" t="s">
        <v>3446</v>
      </c>
      <c r="Y388" s="713" t="s">
        <v>3478</v>
      </c>
      <c r="Z388" s="33">
        <v>1</v>
      </c>
      <c r="AA388" s="33" t="s">
        <v>3352</v>
      </c>
      <c r="AB388" s="33">
        <v>1</v>
      </c>
      <c r="AD388" s="504">
        <v>0.03</v>
      </c>
      <c r="AE388" s="33">
        <v>28000</v>
      </c>
      <c r="AF388" s="33">
        <v>46000</v>
      </c>
      <c r="AG388" s="33"/>
      <c r="AJ388" s="33" t="s">
        <v>3323</v>
      </c>
      <c r="AK388" s="33" t="s">
        <v>2906</v>
      </c>
    </row>
    <row r="389" spans="1:37" ht="13.5" customHeight="1">
      <c r="A389" s="182" t="s">
        <v>2478</v>
      </c>
      <c r="C389" s="196" t="s">
        <v>54</v>
      </c>
      <c r="D389" s="33" t="s">
        <v>2559</v>
      </c>
      <c r="E389" s="33" t="s">
        <v>2487</v>
      </c>
      <c r="F389" s="33">
        <v>1598</v>
      </c>
      <c r="G389" s="33">
        <v>1600</v>
      </c>
      <c r="H389" s="33" t="s">
        <v>1628</v>
      </c>
      <c r="I389" s="33">
        <v>7</v>
      </c>
      <c r="J389" s="33" t="s">
        <v>2550</v>
      </c>
      <c r="P389" s="196">
        <v>1</v>
      </c>
      <c r="Q389" s="31" t="s">
        <v>1814</v>
      </c>
      <c r="R389" s="33" t="s">
        <v>2563</v>
      </c>
      <c r="S389" s="33" t="s">
        <v>1745</v>
      </c>
      <c r="T389" s="31">
        <v>1</v>
      </c>
      <c r="U389" s="33" t="s">
        <v>2593</v>
      </c>
      <c r="V389" s="33">
        <v>2</v>
      </c>
      <c r="W389" s="752" t="s">
        <v>3472</v>
      </c>
      <c r="X389" s="33" t="s">
        <v>3446</v>
      </c>
      <c r="Y389" s="713" t="s">
        <v>3478</v>
      </c>
      <c r="Z389" s="33">
        <v>1</v>
      </c>
      <c r="AA389" s="33" t="s">
        <v>3352</v>
      </c>
      <c r="AB389" s="33">
        <v>1</v>
      </c>
      <c r="AD389" s="504">
        <v>0.03</v>
      </c>
      <c r="AE389" s="33">
        <v>26000</v>
      </c>
      <c r="AF389" s="33">
        <v>41000</v>
      </c>
      <c r="AG389" s="33"/>
      <c r="AJ389" s="33" t="s">
        <v>3323</v>
      </c>
      <c r="AK389" s="33" t="s">
        <v>2906</v>
      </c>
    </row>
    <row r="390" spans="1:37" ht="13.5" customHeight="1">
      <c r="A390" s="182" t="s">
        <v>2479</v>
      </c>
      <c r="C390" s="196" t="s">
        <v>54</v>
      </c>
      <c r="D390" s="33" t="s">
        <v>2559</v>
      </c>
      <c r="E390" s="33" t="s">
        <v>2487</v>
      </c>
      <c r="F390" s="33">
        <v>1598</v>
      </c>
      <c r="G390" s="33">
        <v>1600</v>
      </c>
      <c r="H390" s="33" t="s">
        <v>1628</v>
      </c>
      <c r="I390" s="33">
        <v>6</v>
      </c>
      <c r="J390" s="33" t="s">
        <v>2551</v>
      </c>
      <c r="P390" s="196">
        <v>1</v>
      </c>
      <c r="Q390" s="31" t="s">
        <v>1814</v>
      </c>
      <c r="R390" s="33" t="s">
        <v>2563</v>
      </c>
      <c r="S390" s="33" t="s">
        <v>1745</v>
      </c>
      <c r="T390" s="31">
        <v>1</v>
      </c>
      <c r="U390" s="33" t="s">
        <v>2593</v>
      </c>
      <c r="V390" s="33">
        <v>2</v>
      </c>
      <c r="W390" s="752" t="s">
        <v>3472</v>
      </c>
      <c r="X390" s="33" t="s">
        <v>3446</v>
      </c>
      <c r="Y390" s="713" t="s">
        <v>3478</v>
      </c>
      <c r="Z390" s="33">
        <v>1</v>
      </c>
      <c r="AA390" s="33" t="s">
        <v>3352</v>
      </c>
      <c r="AB390" s="33">
        <v>1</v>
      </c>
      <c r="AD390" s="504">
        <v>0.03</v>
      </c>
      <c r="AE390" s="33">
        <v>28000</v>
      </c>
      <c r="AF390" s="33">
        <v>46000</v>
      </c>
      <c r="AG390" s="33"/>
      <c r="AJ390" s="33" t="s">
        <v>3323</v>
      </c>
      <c r="AK390" s="33" t="s">
        <v>2906</v>
      </c>
    </row>
    <row r="391" spans="1:37" ht="13.5" customHeight="1">
      <c r="A391" s="182" t="s">
        <v>2480</v>
      </c>
      <c r="C391" s="196" t="s">
        <v>54</v>
      </c>
      <c r="D391" s="33" t="s">
        <v>2559</v>
      </c>
      <c r="E391" s="33" t="s">
        <v>2487</v>
      </c>
      <c r="F391" s="33">
        <v>1598</v>
      </c>
      <c r="G391" s="33">
        <v>1600</v>
      </c>
      <c r="H391" s="33" t="s">
        <v>1628</v>
      </c>
      <c r="I391" s="33">
        <v>5</v>
      </c>
      <c r="J391" s="33" t="s">
        <v>2552</v>
      </c>
      <c r="P391" s="196">
        <v>1</v>
      </c>
      <c r="Q391" s="33" t="s">
        <v>1743</v>
      </c>
      <c r="R391" s="33" t="s">
        <v>2563</v>
      </c>
      <c r="S391" s="33" t="s">
        <v>1745</v>
      </c>
      <c r="T391" s="31">
        <v>1</v>
      </c>
      <c r="U391" s="33" t="s">
        <v>2593</v>
      </c>
      <c r="V391" s="33">
        <v>2</v>
      </c>
      <c r="W391" s="752" t="s">
        <v>3472</v>
      </c>
      <c r="X391" s="33" t="s">
        <v>3446</v>
      </c>
      <c r="Y391" s="713" t="s">
        <v>3478</v>
      </c>
      <c r="Z391" s="33">
        <v>1</v>
      </c>
      <c r="AA391" s="33" t="s">
        <v>3352</v>
      </c>
      <c r="AB391" s="33">
        <v>1</v>
      </c>
      <c r="AD391" s="504">
        <v>0.03</v>
      </c>
      <c r="AE391" s="33">
        <v>28000</v>
      </c>
      <c r="AF391" s="33">
        <v>46000</v>
      </c>
      <c r="AG391" s="33"/>
      <c r="AJ391" s="33" t="s">
        <v>3323</v>
      </c>
      <c r="AK391" s="33" t="s">
        <v>2906</v>
      </c>
    </row>
    <row r="392" spans="1:37" ht="13.5" customHeight="1">
      <c r="A392" s="182" t="s">
        <v>2481</v>
      </c>
      <c r="C392" s="196" t="s">
        <v>54</v>
      </c>
      <c r="D392" s="33" t="s">
        <v>2559</v>
      </c>
      <c r="E392" s="33" t="s">
        <v>2487</v>
      </c>
      <c r="F392" s="33">
        <v>1598</v>
      </c>
      <c r="G392" s="33">
        <v>1600</v>
      </c>
      <c r="H392" s="33" t="s">
        <v>1628</v>
      </c>
      <c r="I392" s="33">
        <v>7</v>
      </c>
      <c r="J392" s="33" t="s">
        <v>2553</v>
      </c>
      <c r="P392" s="196">
        <v>1</v>
      </c>
      <c r="Q392" s="31" t="s">
        <v>1814</v>
      </c>
      <c r="R392" s="33" t="s">
        <v>2563</v>
      </c>
      <c r="S392" s="33" t="s">
        <v>1745</v>
      </c>
      <c r="T392" s="31">
        <v>1</v>
      </c>
      <c r="U392" s="33" t="s">
        <v>2593</v>
      </c>
      <c r="V392" s="33">
        <v>2</v>
      </c>
      <c r="W392" s="752" t="s">
        <v>3472</v>
      </c>
      <c r="X392" s="33" t="s">
        <v>3446</v>
      </c>
      <c r="Y392" s="713" t="s">
        <v>3478</v>
      </c>
      <c r="Z392" s="33">
        <v>1</v>
      </c>
      <c r="AA392" s="33" t="s">
        <v>3352</v>
      </c>
      <c r="AB392" s="33">
        <v>1</v>
      </c>
      <c r="AD392" s="504">
        <v>0.03</v>
      </c>
      <c r="AE392" s="33">
        <v>26000</v>
      </c>
      <c r="AF392" s="33">
        <v>41000</v>
      </c>
      <c r="AG392" s="33"/>
      <c r="AJ392" s="33" t="s">
        <v>3323</v>
      </c>
      <c r="AK392" s="33" t="s">
        <v>2906</v>
      </c>
    </row>
    <row r="393" spans="1:37" ht="13.5" customHeight="1">
      <c r="A393" s="182" t="s">
        <v>2482</v>
      </c>
      <c r="C393" s="196" t="s">
        <v>54</v>
      </c>
      <c r="D393" s="33" t="s">
        <v>2559</v>
      </c>
      <c r="E393" s="33" t="s">
        <v>2487</v>
      </c>
      <c r="F393" s="33">
        <v>1598</v>
      </c>
      <c r="G393" s="33">
        <v>1600</v>
      </c>
      <c r="H393" s="33" t="s">
        <v>1628</v>
      </c>
      <c r="I393" s="33">
        <v>6</v>
      </c>
      <c r="J393" s="33" t="s">
        <v>2554</v>
      </c>
      <c r="P393" s="196">
        <v>1</v>
      </c>
      <c r="Q393" s="31" t="s">
        <v>1814</v>
      </c>
      <c r="R393" s="33" t="s">
        <v>2563</v>
      </c>
      <c r="S393" s="33" t="s">
        <v>1745</v>
      </c>
      <c r="T393" s="31">
        <v>1</v>
      </c>
      <c r="U393" s="33" t="s">
        <v>2593</v>
      </c>
      <c r="V393" s="33">
        <v>2</v>
      </c>
      <c r="W393" s="752" t="s">
        <v>3472</v>
      </c>
      <c r="X393" s="33" t="s">
        <v>3446</v>
      </c>
      <c r="Y393" s="713" t="s">
        <v>3478</v>
      </c>
      <c r="Z393" s="33">
        <v>1</v>
      </c>
      <c r="AA393" s="33" t="s">
        <v>3352</v>
      </c>
      <c r="AB393" s="33">
        <v>1</v>
      </c>
      <c r="AD393" s="504">
        <v>0.03</v>
      </c>
      <c r="AE393" s="33">
        <v>28000</v>
      </c>
      <c r="AF393" s="33">
        <v>46000</v>
      </c>
      <c r="AG393" s="33"/>
      <c r="AJ393" s="33" t="s">
        <v>3323</v>
      </c>
      <c r="AK393" s="33" t="s">
        <v>2906</v>
      </c>
    </row>
    <row r="394" spans="1:37" ht="13.5" customHeight="1">
      <c r="A394" s="182" t="s">
        <v>2483</v>
      </c>
      <c r="C394" s="196" t="s">
        <v>54</v>
      </c>
      <c r="D394" s="33" t="s">
        <v>2559</v>
      </c>
      <c r="E394" s="33" t="s">
        <v>2487</v>
      </c>
      <c r="F394" s="33">
        <v>1598</v>
      </c>
      <c r="G394" s="33">
        <v>1600</v>
      </c>
      <c r="H394" s="33" t="s">
        <v>1628</v>
      </c>
      <c r="I394" s="33">
        <v>5</v>
      </c>
      <c r="J394" s="33" t="s">
        <v>2555</v>
      </c>
      <c r="P394" s="196">
        <v>1</v>
      </c>
      <c r="Q394" s="33" t="s">
        <v>1743</v>
      </c>
      <c r="R394" s="33" t="s">
        <v>2563</v>
      </c>
      <c r="S394" s="33" t="s">
        <v>1745</v>
      </c>
      <c r="T394" s="31">
        <v>1</v>
      </c>
      <c r="U394" s="33" t="s">
        <v>2593</v>
      </c>
      <c r="V394" s="33">
        <v>2</v>
      </c>
      <c r="W394" s="752" t="s">
        <v>3472</v>
      </c>
      <c r="X394" s="33" t="s">
        <v>3446</v>
      </c>
      <c r="Y394" s="713" t="s">
        <v>3478</v>
      </c>
      <c r="Z394" s="33">
        <v>1</v>
      </c>
      <c r="AA394" s="33" t="s">
        <v>3352</v>
      </c>
      <c r="AB394" s="33">
        <v>1</v>
      </c>
      <c r="AD394" s="504">
        <v>0.03</v>
      </c>
      <c r="AE394" s="33">
        <v>28000</v>
      </c>
      <c r="AF394" s="33">
        <v>46000</v>
      </c>
      <c r="AG394" s="33"/>
      <c r="AJ394" s="33" t="s">
        <v>3323</v>
      </c>
      <c r="AK394" s="33" t="s">
        <v>2906</v>
      </c>
    </row>
    <row r="395" spans="1:37" ht="13.5" customHeight="1">
      <c r="A395" s="182" t="s">
        <v>2484</v>
      </c>
      <c r="C395" s="196" t="s">
        <v>54</v>
      </c>
      <c r="D395" s="33" t="s">
        <v>2559</v>
      </c>
      <c r="E395" s="33" t="s">
        <v>2487</v>
      </c>
      <c r="F395" s="33">
        <v>1598</v>
      </c>
      <c r="G395" s="33">
        <v>1600</v>
      </c>
      <c r="H395" s="33" t="s">
        <v>1628</v>
      </c>
      <c r="I395" s="33">
        <v>7</v>
      </c>
      <c r="J395" s="33" t="s">
        <v>2556</v>
      </c>
      <c r="P395" s="196">
        <v>1</v>
      </c>
      <c r="Q395" s="31" t="s">
        <v>1814</v>
      </c>
      <c r="R395" s="33" t="s">
        <v>2563</v>
      </c>
      <c r="S395" s="33" t="s">
        <v>1745</v>
      </c>
      <c r="T395" s="31">
        <v>1</v>
      </c>
      <c r="U395" s="33" t="s">
        <v>2593</v>
      </c>
      <c r="V395" s="33">
        <v>2</v>
      </c>
      <c r="W395" s="752" t="s">
        <v>3472</v>
      </c>
      <c r="X395" s="33" t="s">
        <v>3446</v>
      </c>
      <c r="Y395" s="713" t="s">
        <v>3478</v>
      </c>
      <c r="Z395" s="33">
        <v>1</v>
      </c>
      <c r="AA395" s="33" t="s">
        <v>3352</v>
      </c>
      <c r="AB395" s="33">
        <v>1</v>
      </c>
      <c r="AD395" s="504">
        <v>0.03</v>
      </c>
      <c r="AE395" s="33">
        <v>26000</v>
      </c>
      <c r="AF395" s="33">
        <v>41000</v>
      </c>
      <c r="AG395" s="33"/>
      <c r="AJ395" s="33" t="s">
        <v>3323</v>
      </c>
      <c r="AK395" s="33" t="s">
        <v>2906</v>
      </c>
    </row>
    <row r="396" spans="1:37" ht="13.5" customHeight="1">
      <c r="A396" s="182" t="s">
        <v>2485</v>
      </c>
      <c r="C396" s="196" t="s">
        <v>54</v>
      </c>
      <c r="D396" s="33" t="s">
        <v>2559</v>
      </c>
      <c r="E396" s="33" t="s">
        <v>2487</v>
      </c>
      <c r="F396" s="33">
        <v>1598</v>
      </c>
      <c r="G396" s="33">
        <v>1600</v>
      </c>
      <c r="H396" s="33" t="s">
        <v>1628</v>
      </c>
      <c r="I396" s="33">
        <v>6</v>
      </c>
      <c r="J396" s="33" t="s">
        <v>2557</v>
      </c>
      <c r="P396" s="196">
        <v>1</v>
      </c>
      <c r="Q396" s="31" t="s">
        <v>1814</v>
      </c>
      <c r="R396" s="33" t="s">
        <v>2563</v>
      </c>
      <c r="S396" s="33" t="s">
        <v>1745</v>
      </c>
      <c r="T396" s="31">
        <v>1</v>
      </c>
      <c r="U396" s="33" t="s">
        <v>2593</v>
      </c>
      <c r="V396" s="33">
        <v>2</v>
      </c>
      <c r="W396" s="752" t="s">
        <v>3472</v>
      </c>
      <c r="X396" s="33" t="s">
        <v>3446</v>
      </c>
      <c r="Y396" s="713" t="s">
        <v>3478</v>
      </c>
      <c r="Z396" s="33">
        <v>1</v>
      </c>
      <c r="AA396" s="33" t="s">
        <v>3352</v>
      </c>
      <c r="AB396" s="33">
        <v>1</v>
      </c>
      <c r="AD396" s="504">
        <v>0.03</v>
      </c>
      <c r="AE396" s="33">
        <v>28000</v>
      </c>
      <c r="AF396" s="33">
        <v>46000</v>
      </c>
      <c r="AG396" s="33"/>
      <c r="AJ396" s="33" t="s">
        <v>3323</v>
      </c>
      <c r="AK396" s="33" t="s">
        <v>2906</v>
      </c>
    </row>
    <row r="397" spans="1:37" ht="13.5" customHeight="1">
      <c r="A397" s="182" t="s">
        <v>2486</v>
      </c>
      <c r="C397" s="196" t="s">
        <v>54</v>
      </c>
      <c r="D397" s="33" t="s">
        <v>2559</v>
      </c>
      <c r="E397" s="33" t="s">
        <v>2487</v>
      </c>
      <c r="F397" s="33">
        <v>1598</v>
      </c>
      <c r="G397" s="33">
        <v>1600</v>
      </c>
      <c r="H397" s="33" t="s">
        <v>1628</v>
      </c>
      <c r="I397" s="33">
        <v>5</v>
      </c>
      <c r="J397" s="33" t="s">
        <v>2558</v>
      </c>
      <c r="P397" s="196">
        <v>1</v>
      </c>
      <c r="Q397" s="33" t="s">
        <v>1743</v>
      </c>
      <c r="R397" s="33" t="s">
        <v>2563</v>
      </c>
      <c r="S397" s="33" t="s">
        <v>1745</v>
      </c>
      <c r="T397" s="31">
        <v>1</v>
      </c>
      <c r="U397" s="33" t="s">
        <v>2593</v>
      </c>
      <c r="V397" s="33">
        <v>2</v>
      </c>
      <c r="W397" s="752" t="s">
        <v>3472</v>
      </c>
      <c r="X397" s="33" t="s">
        <v>3446</v>
      </c>
      <c r="Y397" s="713" t="s">
        <v>3478</v>
      </c>
      <c r="Z397" s="33">
        <v>1</v>
      </c>
      <c r="AA397" s="33" t="s">
        <v>3352</v>
      </c>
      <c r="AB397" s="33">
        <v>1</v>
      </c>
      <c r="AD397" s="504">
        <v>0.03</v>
      </c>
      <c r="AE397" s="33">
        <v>28000</v>
      </c>
      <c r="AF397" s="33">
        <v>46000</v>
      </c>
      <c r="AG397" s="33"/>
      <c r="AJ397" s="33" t="s">
        <v>3323</v>
      </c>
      <c r="AK397" s="33" t="s">
        <v>2906</v>
      </c>
    </row>
    <row r="398" spans="1:37" ht="13.5" customHeight="1">
      <c r="A398" s="182" t="s">
        <v>2994</v>
      </c>
      <c r="C398" s="196" t="s">
        <v>54</v>
      </c>
      <c r="D398" s="33" t="s">
        <v>2990</v>
      </c>
      <c r="E398" s="33" t="s">
        <v>2991</v>
      </c>
      <c r="F398" s="33">
        <v>1598</v>
      </c>
      <c r="G398" s="33">
        <v>1600</v>
      </c>
      <c r="H398" s="33" t="s">
        <v>2993</v>
      </c>
      <c r="I398" s="33">
        <v>9</v>
      </c>
      <c r="J398" s="33" t="s">
        <v>2995</v>
      </c>
      <c r="P398" s="196">
        <v>0</v>
      </c>
      <c r="Q398" s="31" t="s">
        <v>1814</v>
      </c>
      <c r="R398" s="33" t="s">
        <v>3014</v>
      </c>
      <c r="S398" s="33" t="s">
        <v>3016</v>
      </c>
      <c r="T398" s="31">
        <v>1</v>
      </c>
      <c r="V398" s="33">
        <v>10</v>
      </c>
      <c r="W398" s="752" t="s">
        <v>3621</v>
      </c>
      <c r="X398" s="33" t="s">
        <v>2910</v>
      </c>
      <c r="Y398" s="713">
        <v>8</v>
      </c>
      <c r="Z398" s="33">
        <v>8</v>
      </c>
      <c r="AA398" s="33">
        <v>7</v>
      </c>
      <c r="AD398" s="504">
        <v>0.02</v>
      </c>
      <c r="AE398" s="33">
        <v>27000</v>
      </c>
      <c r="AF398" s="33">
        <v>46000</v>
      </c>
      <c r="AG398" s="33"/>
    </row>
    <row r="399" spans="1:37" ht="13.5" customHeight="1">
      <c r="A399" s="182" t="s">
        <v>2959</v>
      </c>
      <c r="C399" s="196" t="s">
        <v>54</v>
      </c>
      <c r="D399" s="33" t="s">
        <v>2990</v>
      </c>
      <c r="E399" s="33" t="s">
        <v>2991</v>
      </c>
      <c r="F399" s="33">
        <v>1598</v>
      </c>
      <c r="G399" s="33">
        <v>1600</v>
      </c>
      <c r="H399" s="33" t="s">
        <v>2993</v>
      </c>
      <c r="I399" s="33">
        <v>9</v>
      </c>
      <c r="J399" s="33" t="s">
        <v>2996</v>
      </c>
      <c r="P399" s="196">
        <v>0</v>
      </c>
      <c r="Q399" s="31" t="s">
        <v>1814</v>
      </c>
      <c r="R399" s="33" t="s">
        <v>3014</v>
      </c>
      <c r="S399" s="33" t="s">
        <v>3016</v>
      </c>
      <c r="T399" s="31">
        <v>1</v>
      </c>
      <c r="V399" s="33">
        <v>10</v>
      </c>
      <c r="W399" s="752" t="s">
        <v>3621</v>
      </c>
      <c r="X399" s="33" t="s">
        <v>2910</v>
      </c>
      <c r="Y399" s="713">
        <v>8</v>
      </c>
      <c r="Z399" s="33">
        <v>8</v>
      </c>
      <c r="AA399" s="33">
        <v>7</v>
      </c>
      <c r="AD399" s="504">
        <v>0.02</v>
      </c>
      <c r="AE399" s="33">
        <v>27000</v>
      </c>
      <c r="AF399" s="33">
        <v>46000</v>
      </c>
      <c r="AG399" s="33"/>
    </row>
    <row r="400" spans="1:37" ht="13.5" customHeight="1">
      <c r="A400" s="182" t="s">
        <v>2960</v>
      </c>
      <c r="C400" s="196" t="s">
        <v>54</v>
      </c>
      <c r="D400" s="33" t="s">
        <v>2990</v>
      </c>
      <c r="E400" s="33" t="s">
        <v>2991</v>
      </c>
      <c r="F400" s="33">
        <v>1598</v>
      </c>
      <c r="G400" s="33">
        <v>1600</v>
      </c>
      <c r="H400" s="33" t="s">
        <v>2993</v>
      </c>
      <c r="I400" s="33">
        <v>7</v>
      </c>
      <c r="J400" s="33" t="s">
        <v>2997</v>
      </c>
      <c r="P400" s="196">
        <v>1</v>
      </c>
      <c r="Q400" s="31" t="s">
        <v>1814</v>
      </c>
      <c r="R400" s="33" t="s">
        <v>3014</v>
      </c>
      <c r="S400" s="33" t="s">
        <v>3016</v>
      </c>
      <c r="T400" s="31">
        <v>1</v>
      </c>
      <c r="V400" s="33">
        <v>10</v>
      </c>
      <c r="X400" s="33" t="s">
        <v>2910</v>
      </c>
      <c r="Y400" s="713">
        <v>8</v>
      </c>
      <c r="Z400" s="33">
        <v>8</v>
      </c>
      <c r="AA400" s="33">
        <v>8</v>
      </c>
      <c r="AD400" s="504">
        <v>0.02</v>
      </c>
      <c r="AE400" s="33">
        <v>27000</v>
      </c>
      <c r="AF400" s="33">
        <v>46000</v>
      </c>
      <c r="AG400" s="33"/>
    </row>
    <row r="401" spans="1:36" ht="13.5" customHeight="1">
      <c r="A401" s="182" t="s">
        <v>2961</v>
      </c>
      <c r="C401" s="196" t="s">
        <v>54</v>
      </c>
      <c r="D401" s="33" t="s">
        <v>2990</v>
      </c>
      <c r="E401" s="33" t="s">
        <v>2991</v>
      </c>
      <c r="F401" s="33">
        <v>1598</v>
      </c>
      <c r="G401" s="33">
        <v>1600</v>
      </c>
      <c r="H401" s="33" t="s">
        <v>2993</v>
      </c>
      <c r="I401" s="33">
        <v>4</v>
      </c>
      <c r="J401" s="33" t="s">
        <v>2998</v>
      </c>
      <c r="P401" s="196">
        <v>1</v>
      </c>
      <c r="Q401" s="33" t="s">
        <v>1814</v>
      </c>
      <c r="R401" s="33" t="s">
        <v>3014</v>
      </c>
      <c r="S401" s="33" t="s">
        <v>3016</v>
      </c>
      <c r="T401" s="31">
        <v>1</v>
      </c>
      <c r="V401" s="33">
        <v>10</v>
      </c>
      <c r="X401" s="33" t="s">
        <v>2925</v>
      </c>
      <c r="Y401" s="33">
        <v>21</v>
      </c>
      <c r="Z401" s="33">
        <v>15</v>
      </c>
      <c r="AA401" s="33">
        <v>14</v>
      </c>
      <c r="AD401" s="504">
        <v>0.02</v>
      </c>
      <c r="AE401" s="33">
        <v>41000</v>
      </c>
      <c r="AF401" s="33">
        <v>74000</v>
      </c>
      <c r="AG401" s="33"/>
    </row>
    <row r="402" spans="1:36" ht="13.5" customHeight="1">
      <c r="A402" s="182" t="s">
        <v>2962</v>
      </c>
      <c r="C402" s="196" t="s">
        <v>54</v>
      </c>
      <c r="D402" s="33" t="s">
        <v>2990</v>
      </c>
      <c r="E402" s="33" t="s">
        <v>2991</v>
      </c>
      <c r="F402" s="33">
        <v>2151</v>
      </c>
      <c r="G402" s="33">
        <v>2200</v>
      </c>
      <c r="H402" s="33" t="s">
        <v>55</v>
      </c>
      <c r="I402" s="33">
        <v>9</v>
      </c>
      <c r="J402" s="33" t="s">
        <v>1889</v>
      </c>
      <c r="P402" s="196">
        <v>0</v>
      </c>
      <c r="Q402" s="31" t="s">
        <v>1814</v>
      </c>
      <c r="R402" s="33" t="s">
        <v>3015</v>
      </c>
      <c r="S402" s="33" t="s">
        <v>3016</v>
      </c>
      <c r="T402" s="31">
        <v>1</v>
      </c>
      <c r="V402" s="33">
        <v>12</v>
      </c>
      <c r="X402" s="33" t="s">
        <v>2919</v>
      </c>
      <c r="Y402" s="713">
        <v>8</v>
      </c>
      <c r="Z402" s="33">
        <v>8</v>
      </c>
      <c r="AA402" s="33">
        <v>12</v>
      </c>
      <c r="AD402" s="504">
        <v>0.03</v>
      </c>
      <c r="AE402" s="33">
        <v>27000</v>
      </c>
      <c r="AF402" s="33">
        <v>46000</v>
      </c>
      <c r="AG402" s="33"/>
    </row>
    <row r="403" spans="1:36" ht="13.5" customHeight="1">
      <c r="A403" s="182" t="s">
        <v>2963</v>
      </c>
      <c r="C403" s="196" t="s">
        <v>54</v>
      </c>
      <c r="D403" s="33" t="s">
        <v>2990</v>
      </c>
      <c r="E403" s="33" t="s">
        <v>2991</v>
      </c>
      <c r="F403" s="33">
        <v>3470</v>
      </c>
      <c r="G403" s="33">
        <v>3500</v>
      </c>
      <c r="H403" s="33" t="s">
        <v>62</v>
      </c>
      <c r="I403" s="33">
        <v>9</v>
      </c>
      <c r="J403" s="33" t="s">
        <v>1887</v>
      </c>
      <c r="P403" s="196">
        <v>0</v>
      </c>
      <c r="Q403" s="31" t="s">
        <v>1814</v>
      </c>
      <c r="R403" s="33" t="s">
        <v>3015</v>
      </c>
      <c r="S403" s="33" t="s">
        <v>3016</v>
      </c>
      <c r="T403" s="31">
        <v>1</v>
      </c>
      <c r="V403" s="33">
        <v>10</v>
      </c>
      <c r="X403" s="33" t="s">
        <v>2919</v>
      </c>
      <c r="Y403" s="713">
        <v>8</v>
      </c>
      <c r="Z403" s="33">
        <v>8</v>
      </c>
      <c r="AA403" s="33">
        <v>11</v>
      </c>
      <c r="AD403" s="504">
        <v>0.03</v>
      </c>
      <c r="AE403" s="33">
        <v>27000</v>
      </c>
      <c r="AF403" s="33">
        <v>46000</v>
      </c>
      <c r="AG403" s="33"/>
    </row>
    <row r="404" spans="1:36" ht="13.5" customHeight="1">
      <c r="A404" s="182" t="s">
        <v>2964</v>
      </c>
      <c r="C404" s="196" t="s">
        <v>54</v>
      </c>
      <c r="D404" s="33" t="s">
        <v>2990</v>
      </c>
      <c r="E404" s="33" t="s">
        <v>2991</v>
      </c>
      <c r="F404" s="33">
        <v>3470</v>
      </c>
      <c r="G404" s="33">
        <v>3500</v>
      </c>
      <c r="H404" s="33" t="s">
        <v>62</v>
      </c>
      <c r="I404" s="33">
        <v>7</v>
      </c>
      <c r="J404" s="33" t="s">
        <v>1888</v>
      </c>
      <c r="P404" s="196">
        <v>1</v>
      </c>
      <c r="Q404" s="31" t="s">
        <v>1814</v>
      </c>
      <c r="R404" s="33" t="s">
        <v>3015</v>
      </c>
      <c r="S404" s="33" t="s">
        <v>3016</v>
      </c>
      <c r="T404" s="31">
        <v>1</v>
      </c>
      <c r="V404" s="33">
        <v>10</v>
      </c>
      <c r="X404" s="33" t="s">
        <v>2919</v>
      </c>
      <c r="Y404" s="713">
        <v>8</v>
      </c>
      <c r="Z404" s="33">
        <v>8</v>
      </c>
      <c r="AA404" s="33">
        <v>12</v>
      </c>
      <c r="AD404" s="504">
        <v>0.03</v>
      </c>
      <c r="AE404" s="33">
        <v>27000</v>
      </c>
      <c r="AF404" s="33">
        <v>46000</v>
      </c>
      <c r="AG404" s="33"/>
    </row>
    <row r="405" spans="1:36" ht="13.5" customHeight="1">
      <c r="A405" s="182" t="s">
        <v>2965</v>
      </c>
      <c r="C405" s="196" t="s">
        <v>54</v>
      </c>
      <c r="D405" s="33" t="s">
        <v>2990</v>
      </c>
      <c r="E405" s="33" t="s">
        <v>2991</v>
      </c>
      <c r="F405" s="33">
        <v>3470</v>
      </c>
      <c r="G405" s="33">
        <v>3500</v>
      </c>
      <c r="H405" s="33" t="s">
        <v>62</v>
      </c>
      <c r="I405" s="33">
        <v>4</v>
      </c>
      <c r="J405" s="33" t="s">
        <v>2999</v>
      </c>
      <c r="P405" s="196">
        <v>1</v>
      </c>
      <c r="Q405" s="33" t="s">
        <v>1814</v>
      </c>
      <c r="R405" s="33" t="s">
        <v>3015</v>
      </c>
      <c r="S405" s="33" t="s">
        <v>3016</v>
      </c>
      <c r="T405" s="31">
        <v>1</v>
      </c>
      <c r="V405" s="33">
        <v>10</v>
      </c>
      <c r="X405" s="33" t="s">
        <v>2925</v>
      </c>
      <c r="Y405" s="33">
        <v>21</v>
      </c>
      <c r="Z405" s="33">
        <v>15</v>
      </c>
      <c r="AA405" s="33">
        <v>14</v>
      </c>
      <c r="AD405" s="504">
        <v>0.03</v>
      </c>
      <c r="AE405" s="33">
        <v>41000</v>
      </c>
      <c r="AF405" s="33">
        <v>74000</v>
      </c>
      <c r="AG405" s="33"/>
    </row>
    <row r="406" spans="1:36" ht="13.5" customHeight="1">
      <c r="A406" s="182" t="s">
        <v>2966</v>
      </c>
      <c r="C406" s="196" t="s">
        <v>54</v>
      </c>
      <c r="D406" s="33" t="s">
        <v>2990</v>
      </c>
      <c r="E406" s="33" t="s">
        <v>2992</v>
      </c>
      <c r="F406" s="33">
        <v>1598</v>
      </c>
      <c r="G406" s="33">
        <v>1600</v>
      </c>
      <c r="H406" s="33" t="s">
        <v>2993</v>
      </c>
      <c r="I406" s="33">
        <v>9</v>
      </c>
      <c r="J406" s="33" t="s">
        <v>3000</v>
      </c>
      <c r="P406" s="196">
        <v>0</v>
      </c>
      <c r="Q406" s="31" t="s">
        <v>1814</v>
      </c>
      <c r="R406" s="33" t="s">
        <v>3014</v>
      </c>
      <c r="S406" s="33" t="s">
        <v>3016</v>
      </c>
      <c r="T406" s="31">
        <v>1</v>
      </c>
      <c r="V406" s="33">
        <v>2</v>
      </c>
      <c r="W406" s="752" t="s">
        <v>3564</v>
      </c>
      <c r="X406" s="33" t="s">
        <v>2908</v>
      </c>
      <c r="Y406" s="713" t="s">
        <v>3478</v>
      </c>
      <c r="Z406" s="33">
        <v>8</v>
      </c>
      <c r="AA406" s="660">
        <v>2</v>
      </c>
      <c r="AD406" s="504">
        <v>0.02</v>
      </c>
      <c r="AE406" s="33">
        <v>26000</v>
      </c>
      <c r="AF406" s="33">
        <v>41000</v>
      </c>
      <c r="AG406" s="33"/>
    </row>
    <row r="407" spans="1:36" ht="13.5" customHeight="1">
      <c r="A407" s="182" t="s">
        <v>2967</v>
      </c>
      <c r="C407" s="196" t="s">
        <v>54</v>
      </c>
      <c r="D407" s="33" t="s">
        <v>2990</v>
      </c>
      <c r="E407" s="33" t="s">
        <v>2992</v>
      </c>
      <c r="F407" s="33">
        <v>1598</v>
      </c>
      <c r="G407" s="33">
        <v>1600</v>
      </c>
      <c r="H407" s="33" t="s">
        <v>2993</v>
      </c>
      <c r="I407" s="33">
        <v>9</v>
      </c>
      <c r="J407" s="33" t="s">
        <v>3001</v>
      </c>
      <c r="P407" s="196">
        <v>0</v>
      </c>
      <c r="Q407" s="31" t="s">
        <v>1814</v>
      </c>
      <c r="R407" s="33" t="s">
        <v>3014</v>
      </c>
      <c r="S407" s="33" t="s">
        <v>3016</v>
      </c>
      <c r="T407" s="31">
        <v>1</v>
      </c>
      <c r="V407" s="33">
        <v>2</v>
      </c>
      <c r="W407" s="752" t="s">
        <v>3564</v>
      </c>
      <c r="X407" s="33" t="s">
        <v>2908</v>
      </c>
      <c r="Y407" s="713" t="s">
        <v>3478</v>
      </c>
      <c r="Z407" s="33">
        <v>8</v>
      </c>
      <c r="AA407" s="660">
        <v>2</v>
      </c>
      <c r="AD407" s="504">
        <v>0.02</v>
      </c>
      <c r="AE407" s="33">
        <v>26000</v>
      </c>
      <c r="AF407" s="33">
        <v>41000</v>
      </c>
      <c r="AG407" s="33"/>
    </row>
    <row r="408" spans="1:36" ht="13.5" customHeight="1">
      <c r="A408" s="182" t="s">
        <v>2968</v>
      </c>
      <c r="C408" s="196" t="s">
        <v>54</v>
      </c>
      <c r="D408" s="33" t="s">
        <v>2990</v>
      </c>
      <c r="E408" s="33" t="s">
        <v>2992</v>
      </c>
      <c r="F408" s="33">
        <v>1598</v>
      </c>
      <c r="G408" s="33">
        <v>1600</v>
      </c>
      <c r="H408" s="33" t="s">
        <v>2993</v>
      </c>
      <c r="I408" s="33">
        <v>9</v>
      </c>
      <c r="J408" s="33" t="s">
        <v>3002</v>
      </c>
      <c r="P408" s="196">
        <v>0</v>
      </c>
      <c r="Q408" s="31" t="s">
        <v>1814</v>
      </c>
      <c r="R408" s="33" t="s">
        <v>3014</v>
      </c>
      <c r="S408" s="33" t="s">
        <v>3016</v>
      </c>
      <c r="T408" s="31">
        <v>1</v>
      </c>
      <c r="V408" s="33">
        <v>2</v>
      </c>
      <c r="W408" s="752" t="s">
        <v>3564</v>
      </c>
      <c r="X408" s="33" t="s">
        <v>2908</v>
      </c>
      <c r="Y408" s="713" t="s">
        <v>3478</v>
      </c>
      <c r="Z408" s="33">
        <v>8</v>
      </c>
      <c r="AA408" s="660">
        <v>2</v>
      </c>
      <c r="AD408" s="504">
        <v>0.02</v>
      </c>
      <c r="AE408" s="33">
        <v>26000</v>
      </c>
      <c r="AF408" s="33">
        <v>41000</v>
      </c>
      <c r="AG408" s="33"/>
    </row>
    <row r="409" spans="1:36" ht="13.5" customHeight="1">
      <c r="A409" s="182" t="s">
        <v>2969</v>
      </c>
      <c r="C409" s="196" t="s">
        <v>54</v>
      </c>
      <c r="D409" s="33" t="s">
        <v>2990</v>
      </c>
      <c r="E409" s="33" t="s">
        <v>2992</v>
      </c>
      <c r="F409" s="33">
        <v>1598</v>
      </c>
      <c r="G409" s="33">
        <v>1600</v>
      </c>
      <c r="H409" s="33" t="s">
        <v>2993</v>
      </c>
      <c r="I409" s="33">
        <v>9</v>
      </c>
      <c r="J409" s="33" t="s">
        <v>3003</v>
      </c>
      <c r="P409" s="196">
        <v>0</v>
      </c>
      <c r="Q409" s="31" t="s">
        <v>1814</v>
      </c>
      <c r="R409" s="33" t="s">
        <v>3014</v>
      </c>
      <c r="S409" s="33" t="s">
        <v>3016</v>
      </c>
      <c r="T409" s="31">
        <v>1</v>
      </c>
      <c r="V409" s="33">
        <v>2</v>
      </c>
      <c r="W409" s="752" t="s">
        <v>3564</v>
      </c>
      <c r="X409" s="33" t="s">
        <v>2908</v>
      </c>
      <c r="Y409" s="713" t="s">
        <v>3478</v>
      </c>
      <c r="Z409" s="33">
        <v>8</v>
      </c>
      <c r="AA409" s="660">
        <v>2</v>
      </c>
      <c r="AD409" s="504">
        <v>0.02</v>
      </c>
      <c r="AE409" s="33">
        <v>26000</v>
      </c>
      <c r="AF409" s="33">
        <v>41000</v>
      </c>
      <c r="AG409" s="33"/>
    </row>
    <row r="410" spans="1:36" ht="13.5" customHeight="1">
      <c r="A410" s="182" t="s">
        <v>2970</v>
      </c>
      <c r="C410" s="196" t="s">
        <v>54</v>
      </c>
      <c r="D410" s="33" t="s">
        <v>2990</v>
      </c>
      <c r="E410" s="33" t="s">
        <v>2992</v>
      </c>
      <c r="F410" s="33">
        <v>1598</v>
      </c>
      <c r="G410" s="33">
        <v>1600</v>
      </c>
      <c r="H410" s="33" t="s">
        <v>2993</v>
      </c>
      <c r="I410" s="33">
        <v>7</v>
      </c>
      <c r="J410" s="33" t="s">
        <v>3004</v>
      </c>
      <c r="P410" s="196">
        <v>1</v>
      </c>
      <c r="Q410" s="31" t="s">
        <v>1814</v>
      </c>
      <c r="R410" s="33" t="s">
        <v>3014</v>
      </c>
      <c r="S410" s="33" t="s">
        <v>3016</v>
      </c>
      <c r="T410" s="31">
        <v>1</v>
      </c>
      <c r="V410" s="33">
        <v>2</v>
      </c>
      <c r="X410" s="33" t="s">
        <v>2908</v>
      </c>
      <c r="Y410" s="33">
        <v>5</v>
      </c>
      <c r="Z410" s="33">
        <v>9</v>
      </c>
      <c r="AA410" s="33">
        <v>3</v>
      </c>
      <c r="AD410" s="504">
        <v>0.02</v>
      </c>
      <c r="AE410" s="33">
        <v>26000</v>
      </c>
      <c r="AF410" s="33">
        <v>41000</v>
      </c>
      <c r="AG410" s="33"/>
    </row>
    <row r="411" spans="1:36" ht="13.5" customHeight="1">
      <c r="A411" s="182" t="s">
        <v>2971</v>
      </c>
      <c r="C411" s="196" t="s">
        <v>54</v>
      </c>
      <c r="D411" s="33" t="s">
        <v>2990</v>
      </c>
      <c r="E411" s="33" t="s">
        <v>2992</v>
      </c>
      <c r="F411" s="33">
        <v>1598</v>
      </c>
      <c r="G411" s="33">
        <v>1600</v>
      </c>
      <c r="H411" s="33" t="s">
        <v>2993</v>
      </c>
      <c r="I411" s="33">
        <v>7</v>
      </c>
      <c r="J411" s="33" t="s">
        <v>3005</v>
      </c>
      <c r="P411" s="196">
        <v>1</v>
      </c>
      <c r="Q411" s="31" t="s">
        <v>1814</v>
      </c>
      <c r="R411" s="33" t="s">
        <v>3014</v>
      </c>
      <c r="S411" s="33" t="s">
        <v>3016</v>
      </c>
      <c r="T411" s="31">
        <v>1</v>
      </c>
      <c r="V411" s="33">
        <v>2</v>
      </c>
      <c r="X411" s="33" t="s">
        <v>2908</v>
      </c>
      <c r="Y411" s="33">
        <v>5</v>
      </c>
      <c r="Z411" s="33">
        <v>9</v>
      </c>
      <c r="AA411" s="33">
        <v>3</v>
      </c>
      <c r="AD411" s="504">
        <v>0.02</v>
      </c>
      <c r="AE411" s="33">
        <v>26000</v>
      </c>
      <c r="AF411" s="33">
        <v>41000</v>
      </c>
      <c r="AG411" s="33"/>
    </row>
    <row r="412" spans="1:36" ht="13.5" customHeight="1">
      <c r="A412" s="182" t="s">
        <v>2972</v>
      </c>
      <c r="C412" s="196" t="s">
        <v>54</v>
      </c>
      <c r="D412" s="33" t="s">
        <v>2990</v>
      </c>
      <c r="E412" s="33" t="s">
        <v>2992</v>
      </c>
      <c r="F412" s="33">
        <v>1598</v>
      </c>
      <c r="G412" s="33">
        <v>1600</v>
      </c>
      <c r="H412" s="33" t="s">
        <v>2993</v>
      </c>
      <c r="I412" s="33">
        <v>7</v>
      </c>
      <c r="J412" s="33" t="s">
        <v>3006</v>
      </c>
      <c r="P412" s="196">
        <v>1</v>
      </c>
      <c r="Q412" s="31" t="s">
        <v>1814</v>
      </c>
      <c r="R412" s="33" t="s">
        <v>3014</v>
      </c>
      <c r="S412" s="33" t="s">
        <v>3016</v>
      </c>
      <c r="T412" s="31">
        <v>1</v>
      </c>
      <c r="V412" s="33">
        <v>2</v>
      </c>
      <c r="X412" s="33" t="s">
        <v>2908</v>
      </c>
      <c r="Y412" s="33">
        <v>5</v>
      </c>
      <c r="Z412" s="33">
        <v>9</v>
      </c>
      <c r="AA412" s="33">
        <v>3</v>
      </c>
      <c r="AD412" s="504">
        <v>0.02</v>
      </c>
      <c r="AE412" s="33">
        <v>26000</v>
      </c>
      <c r="AF412" s="33">
        <v>41000</v>
      </c>
      <c r="AG412" s="33"/>
    </row>
    <row r="413" spans="1:36" ht="13.5" customHeight="1">
      <c r="A413" s="182" t="s">
        <v>2973</v>
      </c>
      <c r="C413" s="196" t="s">
        <v>54</v>
      </c>
      <c r="D413" s="33" t="s">
        <v>2990</v>
      </c>
      <c r="E413" s="33" t="s">
        <v>2992</v>
      </c>
      <c r="F413" s="33">
        <v>1598</v>
      </c>
      <c r="G413" s="33">
        <v>1600</v>
      </c>
      <c r="H413" s="33" t="s">
        <v>2993</v>
      </c>
      <c r="I413" s="33">
        <v>7</v>
      </c>
      <c r="J413" s="33" t="s">
        <v>3007</v>
      </c>
      <c r="P413" s="196">
        <v>1</v>
      </c>
      <c r="Q413" s="31" t="s">
        <v>1814</v>
      </c>
      <c r="R413" s="33" t="s">
        <v>3014</v>
      </c>
      <c r="S413" s="33" t="s">
        <v>3016</v>
      </c>
      <c r="T413" s="31">
        <v>1</v>
      </c>
      <c r="V413" s="33">
        <v>2</v>
      </c>
      <c r="X413" s="33" t="s">
        <v>2908</v>
      </c>
      <c r="Y413" s="33">
        <v>5</v>
      </c>
      <c r="Z413" s="33">
        <v>9</v>
      </c>
      <c r="AA413" s="33">
        <v>3</v>
      </c>
      <c r="AD413" s="504">
        <v>0.02</v>
      </c>
      <c r="AE413" s="33">
        <v>26000</v>
      </c>
      <c r="AF413" s="33">
        <v>41000</v>
      </c>
      <c r="AG413" s="33"/>
    </row>
    <row r="414" spans="1:36" ht="13.5" customHeight="1">
      <c r="A414" s="182" t="s">
        <v>2974</v>
      </c>
      <c r="C414" s="196" t="s">
        <v>54</v>
      </c>
      <c r="D414" s="33" t="s">
        <v>2990</v>
      </c>
      <c r="E414" s="33" t="s">
        <v>2992</v>
      </c>
      <c r="F414" s="33">
        <v>2151</v>
      </c>
      <c r="G414" s="33">
        <v>2200</v>
      </c>
      <c r="H414" s="33" t="s">
        <v>55</v>
      </c>
      <c r="I414" s="33">
        <v>9</v>
      </c>
      <c r="J414" s="33" t="s">
        <v>3008</v>
      </c>
      <c r="P414" s="196">
        <v>0</v>
      </c>
      <c r="Q414" s="31" t="s">
        <v>1814</v>
      </c>
      <c r="R414" s="33" t="s">
        <v>3015</v>
      </c>
      <c r="S414" s="33" t="s">
        <v>3016</v>
      </c>
      <c r="T414" s="31">
        <v>1</v>
      </c>
      <c r="V414" s="33">
        <v>10</v>
      </c>
      <c r="X414" s="33" t="s">
        <v>2908</v>
      </c>
      <c r="Y414" s="713" t="s">
        <v>3480</v>
      </c>
      <c r="Z414" s="33">
        <v>8</v>
      </c>
      <c r="AA414" s="33">
        <v>6</v>
      </c>
      <c r="AD414" s="504">
        <v>0.03</v>
      </c>
      <c r="AE414" s="33">
        <v>18000</v>
      </c>
      <c r="AF414" s="33">
        <v>30000</v>
      </c>
      <c r="AG414" s="33"/>
    </row>
    <row r="415" spans="1:36" ht="13.5" customHeight="1">
      <c r="A415" s="182" t="s">
        <v>2975</v>
      </c>
      <c r="C415" s="196" t="s">
        <v>54</v>
      </c>
      <c r="D415" s="33" t="s">
        <v>2990</v>
      </c>
      <c r="E415" s="33" t="s">
        <v>2992</v>
      </c>
      <c r="F415" s="33">
        <v>2151</v>
      </c>
      <c r="G415" s="33">
        <v>2200</v>
      </c>
      <c r="H415" s="33" t="s">
        <v>55</v>
      </c>
      <c r="I415" s="33">
        <v>9</v>
      </c>
      <c r="J415" s="33" t="s">
        <v>1873</v>
      </c>
      <c r="P415" s="196">
        <v>0</v>
      </c>
      <c r="Q415" s="31" t="s">
        <v>1814</v>
      </c>
      <c r="R415" s="33" t="s">
        <v>3015</v>
      </c>
      <c r="S415" s="33" t="s">
        <v>3016</v>
      </c>
      <c r="T415" s="31">
        <v>1</v>
      </c>
      <c r="V415" s="33">
        <v>10</v>
      </c>
      <c r="X415" s="33" t="s">
        <v>2908</v>
      </c>
      <c r="Y415" s="713" t="s">
        <v>3480</v>
      </c>
      <c r="Z415" s="33">
        <v>8</v>
      </c>
      <c r="AA415" s="33">
        <v>6</v>
      </c>
      <c r="AD415" s="504">
        <v>0.03</v>
      </c>
      <c r="AE415" s="33">
        <v>18000</v>
      </c>
      <c r="AF415" s="33">
        <v>30000</v>
      </c>
      <c r="AG415" s="33"/>
    </row>
    <row r="416" spans="1:36" ht="13.5" customHeight="1">
      <c r="A416" s="182" t="s">
        <v>2976</v>
      </c>
      <c r="C416" s="196" t="s">
        <v>54</v>
      </c>
      <c r="D416" s="33" t="s">
        <v>2990</v>
      </c>
      <c r="E416" s="33" t="s">
        <v>2992</v>
      </c>
      <c r="F416" s="33">
        <v>2151</v>
      </c>
      <c r="G416" s="33">
        <v>2200</v>
      </c>
      <c r="H416" s="33" t="s">
        <v>55</v>
      </c>
      <c r="I416" s="33">
        <v>9</v>
      </c>
      <c r="J416" s="33" t="s">
        <v>1871</v>
      </c>
      <c r="P416" s="196">
        <v>0</v>
      </c>
      <c r="Q416" s="31" t="s">
        <v>1814</v>
      </c>
      <c r="R416" s="33" t="s">
        <v>3015</v>
      </c>
      <c r="S416" s="33" t="s">
        <v>3016</v>
      </c>
      <c r="T416" s="33">
        <v>1</v>
      </c>
      <c r="V416" s="33">
        <v>10</v>
      </c>
      <c r="X416" s="33" t="s">
        <v>2908</v>
      </c>
      <c r="Y416" s="713" t="s">
        <v>3480</v>
      </c>
      <c r="Z416" s="33">
        <v>8</v>
      </c>
      <c r="AA416" s="33">
        <v>6</v>
      </c>
      <c r="AD416" s="504">
        <v>0.03</v>
      </c>
      <c r="AE416" s="33">
        <v>18000</v>
      </c>
      <c r="AF416" s="33">
        <v>30000</v>
      </c>
      <c r="AG416" s="33"/>
      <c r="AJ416" s="216"/>
    </row>
    <row r="417" spans="1:36" ht="13.5" customHeight="1">
      <c r="A417" s="182" t="s">
        <v>2977</v>
      </c>
      <c r="C417" s="196" t="s">
        <v>54</v>
      </c>
      <c r="D417" s="33" t="s">
        <v>2990</v>
      </c>
      <c r="E417" s="33" t="s">
        <v>2992</v>
      </c>
      <c r="F417" s="33">
        <v>2151</v>
      </c>
      <c r="G417" s="33">
        <v>2200</v>
      </c>
      <c r="H417" s="33" t="s">
        <v>55</v>
      </c>
      <c r="I417" s="33">
        <v>9</v>
      </c>
      <c r="J417" s="33" t="s">
        <v>1869</v>
      </c>
      <c r="P417" s="196">
        <v>0</v>
      </c>
      <c r="Q417" s="31" t="s">
        <v>1814</v>
      </c>
      <c r="R417" s="33" t="s">
        <v>3015</v>
      </c>
      <c r="S417" s="33" t="s">
        <v>1783</v>
      </c>
      <c r="T417" s="33">
        <v>1</v>
      </c>
      <c r="V417" s="33">
        <v>10</v>
      </c>
      <c r="X417" s="33" t="s">
        <v>2908</v>
      </c>
      <c r="Y417" s="713" t="s">
        <v>3480</v>
      </c>
      <c r="Z417" s="33">
        <v>8</v>
      </c>
      <c r="AA417" s="33">
        <v>6</v>
      </c>
      <c r="AD417" s="504">
        <v>0.03</v>
      </c>
      <c r="AE417" s="33">
        <v>18000</v>
      </c>
      <c r="AF417" s="33">
        <v>30000</v>
      </c>
      <c r="AG417" s="33"/>
      <c r="AJ417" s="216"/>
    </row>
    <row r="418" spans="1:36" ht="13.5" customHeight="1">
      <c r="A418" s="182" t="s">
        <v>2978</v>
      </c>
      <c r="C418" s="196" t="s">
        <v>54</v>
      </c>
      <c r="D418" s="33" t="s">
        <v>60</v>
      </c>
      <c r="E418" s="33" t="s">
        <v>2992</v>
      </c>
      <c r="F418" s="33">
        <v>2151</v>
      </c>
      <c r="G418" s="33">
        <v>2200</v>
      </c>
      <c r="H418" s="33" t="s">
        <v>55</v>
      </c>
      <c r="I418" s="33">
        <v>7</v>
      </c>
      <c r="J418" s="33" t="s">
        <v>3009</v>
      </c>
      <c r="P418" s="196">
        <v>1</v>
      </c>
      <c r="Q418" s="31" t="s">
        <v>1814</v>
      </c>
      <c r="R418" s="33" t="s">
        <v>3015</v>
      </c>
      <c r="S418" s="33" t="s">
        <v>1783</v>
      </c>
      <c r="T418" s="33">
        <v>1</v>
      </c>
      <c r="V418" s="33">
        <v>10</v>
      </c>
      <c r="X418" s="33" t="s">
        <v>2908</v>
      </c>
      <c r="Y418" s="33">
        <v>5</v>
      </c>
      <c r="Z418" s="33">
        <v>9</v>
      </c>
      <c r="AA418" s="33">
        <v>6</v>
      </c>
      <c r="AD418" s="504">
        <v>0.03</v>
      </c>
      <c r="AE418" s="33">
        <v>19000</v>
      </c>
      <c r="AF418" s="33">
        <v>31000</v>
      </c>
      <c r="AG418" s="33"/>
      <c r="AJ418" s="216"/>
    </row>
    <row r="419" spans="1:36" ht="13.5" customHeight="1">
      <c r="A419" s="182" t="s">
        <v>2979</v>
      </c>
      <c r="C419" s="196" t="s">
        <v>54</v>
      </c>
      <c r="D419" s="33" t="s">
        <v>60</v>
      </c>
      <c r="E419" s="33" t="s">
        <v>2992</v>
      </c>
      <c r="F419" s="33">
        <v>2151</v>
      </c>
      <c r="G419" s="33">
        <v>2200</v>
      </c>
      <c r="H419" s="33" t="s">
        <v>55</v>
      </c>
      <c r="I419" s="33">
        <v>7</v>
      </c>
      <c r="J419" s="33" t="s">
        <v>1884</v>
      </c>
      <c r="P419" s="196">
        <v>1</v>
      </c>
      <c r="Q419" s="31" t="s">
        <v>1814</v>
      </c>
      <c r="R419" s="33" t="s">
        <v>3015</v>
      </c>
      <c r="S419" s="33" t="s">
        <v>1783</v>
      </c>
      <c r="T419" s="33">
        <v>1</v>
      </c>
      <c r="V419" s="33">
        <v>10</v>
      </c>
      <c r="X419" s="33" t="s">
        <v>2908</v>
      </c>
      <c r="Y419" s="33">
        <v>5</v>
      </c>
      <c r="Z419" s="33">
        <v>9</v>
      </c>
      <c r="AA419" s="33">
        <v>6</v>
      </c>
      <c r="AD419" s="504">
        <v>0.03</v>
      </c>
      <c r="AE419" s="33">
        <v>19000</v>
      </c>
      <c r="AF419" s="33">
        <v>31000</v>
      </c>
      <c r="AG419" s="33"/>
      <c r="AJ419" s="216"/>
    </row>
    <row r="420" spans="1:36" ht="13.5" customHeight="1">
      <c r="A420" s="182" t="s">
        <v>2980</v>
      </c>
      <c r="C420" s="196" t="s">
        <v>54</v>
      </c>
      <c r="D420" s="33" t="s">
        <v>60</v>
      </c>
      <c r="E420" s="33" t="s">
        <v>2992</v>
      </c>
      <c r="F420" s="33">
        <v>2151</v>
      </c>
      <c r="G420" s="33">
        <v>2200</v>
      </c>
      <c r="H420" s="33" t="s">
        <v>55</v>
      </c>
      <c r="I420" s="33">
        <v>7</v>
      </c>
      <c r="J420" s="33" t="s">
        <v>3010</v>
      </c>
      <c r="P420" s="196">
        <v>1</v>
      </c>
      <c r="Q420" s="31" t="s">
        <v>1814</v>
      </c>
      <c r="R420" s="33" t="s">
        <v>3015</v>
      </c>
      <c r="S420" s="33" t="s">
        <v>1783</v>
      </c>
      <c r="T420" s="33">
        <v>1</v>
      </c>
      <c r="V420" s="33">
        <v>10</v>
      </c>
      <c r="X420" s="33" t="s">
        <v>2908</v>
      </c>
      <c r="Y420" s="33">
        <v>5</v>
      </c>
      <c r="Z420" s="33">
        <v>9</v>
      </c>
      <c r="AA420" s="33">
        <v>6</v>
      </c>
      <c r="AD420" s="504">
        <v>0.03</v>
      </c>
      <c r="AE420" s="33">
        <v>19000</v>
      </c>
      <c r="AF420" s="33">
        <v>31000</v>
      </c>
      <c r="AG420" s="33"/>
      <c r="AJ420" s="216"/>
    </row>
    <row r="421" spans="1:36" ht="13.5" customHeight="1">
      <c r="A421" s="182" t="s">
        <v>2981</v>
      </c>
      <c r="C421" s="196" t="s">
        <v>54</v>
      </c>
      <c r="D421" s="33" t="s">
        <v>60</v>
      </c>
      <c r="E421" s="33" t="s">
        <v>2992</v>
      </c>
      <c r="F421" s="33">
        <v>2151</v>
      </c>
      <c r="G421" s="33">
        <v>2200</v>
      </c>
      <c r="H421" s="33" t="s">
        <v>55</v>
      </c>
      <c r="I421" s="33">
        <v>7</v>
      </c>
      <c r="J421" s="33" t="s">
        <v>1882</v>
      </c>
      <c r="P421" s="196">
        <v>1</v>
      </c>
      <c r="Q421" s="31" t="s">
        <v>1814</v>
      </c>
      <c r="R421" s="33" t="s">
        <v>3015</v>
      </c>
      <c r="S421" s="33" t="s">
        <v>1783</v>
      </c>
      <c r="T421" s="33">
        <v>1</v>
      </c>
      <c r="V421" s="33">
        <v>10</v>
      </c>
      <c r="X421" s="33" t="s">
        <v>2908</v>
      </c>
      <c r="Y421" s="33">
        <v>5</v>
      </c>
      <c r="Z421" s="33">
        <v>9</v>
      </c>
      <c r="AA421" s="33">
        <v>6</v>
      </c>
      <c r="AD421" s="504">
        <v>0.03</v>
      </c>
      <c r="AE421" s="33">
        <v>19000</v>
      </c>
      <c r="AF421" s="33">
        <v>31000</v>
      </c>
      <c r="AG421" s="33"/>
      <c r="AJ421" s="216"/>
    </row>
    <row r="422" spans="1:36" ht="13.5" customHeight="1">
      <c r="A422" s="182" t="s">
        <v>2982</v>
      </c>
      <c r="C422" s="196" t="s">
        <v>54</v>
      </c>
      <c r="D422" s="33" t="s">
        <v>60</v>
      </c>
      <c r="E422" s="33" t="s">
        <v>2992</v>
      </c>
      <c r="F422" s="33">
        <v>3470</v>
      </c>
      <c r="G422" s="33">
        <v>3500</v>
      </c>
      <c r="H422" s="33" t="s">
        <v>62</v>
      </c>
      <c r="I422" s="33">
        <v>9</v>
      </c>
      <c r="J422" s="33" t="s">
        <v>3011</v>
      </c>
      <c r="P422" s="196">
        <v>0</v>
      </c>
      <c r="Q422" s="31" t="s">
        <v>1814</v>
      </c>
      <c r="R422" s="33" t="s">
        <v>3015</v>
      </c>
      <c r="S422" s="33" t="s">
        <v>1783</v>
      </c>
      <c r="T422" s="33">
        <v>1</v>
      </c>
      <c r="V422" s="33">
        <v>3</v>
      </c>
      <c r="X422" s="33" t="s">
        <v>2908</v>
      </c>
      <c r="Y422" s="713" t="s">
        <v>3480</v>
      </c>
      <c r="Z422" s="33">
        <v>8</v>
      </c>
      <c r="AA422" s="33">
        <v>5</v>
      </c>
      <c r="AD422" s="504">
        <v>0.03</v>
      </c>
      <c r="AE422" s="33">
        <v>20000</v>
      </c>
      <c r="AF422" s="33">
        <v>33000</v>
      </c>
      <c r="AG422" s="33"/>
      <c r="AJ422" s="216"/>
    </row>
    <row r="423" spans="1:36" ht="13.5" customHeight="1">
      <c r="A423" s="182" t="s">
        <v>2983</v>
      </c>
      <c r="C423" s="196" t="s">
        <v>54</v>
      </c>
      <c r="D423" s="33" t="s">
        <v>60</v>
      </c>
      <c r="E423" s="33" t="s">
        <v>2992</v>
      </c>
      <c r="F423" s="33">
        <v>3470</v>
      </c>
      <c r="G423" s="33">
        <v>3500</v>
      </c>
      <c r="H423" s="33" t="s">
        <v>62</v>
      </c>
      <c r="I423" s="33">
        <v>9</v>
      </c>
      <c r="J423" s="33" t="s">
        <v>1880</v>
      </c>
      <c r="P423" s="196">
        <v>0</v>
      </c>
      <c r="Q423" s="31" t="s">
        <v>1814</v>
      </c>
      <c r="R423" s="33" t="s">
        <v>3015</v>
      </c>
      <c r="S423" s="33" t="s">
        <v>1783</v>
      </c>
      <c r="T423" s="33">
        <v>1</v>
      </c>
      <c r="V423" s="33">
        <v>3</v>
      </c>
      <c r="X423" s="33" t="s">
        <v>2908</v>
      </c>
      <c r="Y423" s="713" t="s">
        <v>3480</v>
      </c>
      <c r="Z423" s="33">
        <v>8</v>
      </c>
      <c r="AA423" s="33">
        <v>5</v>
      </c>
      <c r="AD423" s="504">
        <v>0.03</v>
      </c>
      <c r="AE423" s="33">
        <v>20000</v>
      </c>
      <c r="AF423" s="33">
        <v>33000</v>
      </c>
      <c r="AG423" s="33"/>
      <c r="AJ423" s="216"/>
    </row>
    <row r="424" spans="1:36" ht="13.5" customHeight="1">
      <c r="A424" s="182" t="s">
        <v>2984</v>
      </c>
      <c r="C424" s="196" t="s">
        <v>54</v>
      </c>
      <c r="D424" s="33" t="s">
        <v>60</v>
      </c>
      <c r="E424" s="33" t="s">
        <v>2992</v>
      </c>
      <c r="F424" s="33">
        <v>3470</v>
      </c>
      <c r="G424" s="33">
        <v>3500</v>
      </c>
      <c r="H424" s="33" t="s">
        <v>62</v>
      </c>
      <c r="I424" s="33">
        <v>9</v>
      </c>
      <c r="J424" s="33" t="s">
        <v>1879</v>
      </c>
      <c r="P424" s="196">
        <v>0</v>
      </c>
      <c r="Q424" s="31" t="s">
        <v>1814</v>
      </c>
      <c r="R424" s="33" t="s">
        <v>3015</v>
      </c>
      <c r="S424" s="33" t="s">
        <v>1783</v>
      </c>
      <c r="T424" s="33">
        <v>1</v>
      </c>
      <c r="V424" s="33">
        <v>3</v>
      </c>
      <c r="X424" s="33" t="s">
        <v>2908</v>
      </c>
      <c r="Y424" s="713" t="s">
        <v>3480</v>
      </c>
      <c r="Z424" s="33">
        <v>8</v>
      </c>
      <c r="AA424" s="33">
        <v>5</v>
      </c>
      <c r="AD424" s="504">
        <v>0.03</v>
      </c>
      <c r="AE424" s="33">
        <v>20000</v>
      </c>
      <c r="AF424" s="33">
        <v>33000</v>
      </c>
      <c r="AG424" s="33"/>
      <c r="AJ424" s="216"/>
    </row>
    <row r="425" spans="1:36" ht="13.5" customHeight="1">
      <c r="A425" s="182" t="s">
        <v>2985</v>
      </c>
      <c r="C425" s="196" t="s">
        <v>54</v>
      </c>
      <c r="D425" s="33" t="s">
        <v>60</v>
      </c>
      <c r="E425" s="33" t="s">
        <v>2992</v>
      </c>
      <c r="F425" s="33">
        <v>3470</v>
      </c>
      <c r="G425" s="33">
        <v>3500</v>
      </c>
      <c r="H425" s="33" t="s">
        <v>62</v>
      </c>
      <c r="I425" s="33">
        <v>9</v>
      </c>
      <c r="J425" s="33" t="s">
        <v>1878</v>
      </c>
      <c r="P425" s="196">
        <v>0</v>
      </c>
      <c r="Q425" s="31" t="s">
        <v>1814</v>
      </c>
      <c r="R425" s="33" t="s">
        <v>3015</v>
      </c>
      <c r="S425" s="33" t="s">
        <v>1783</v>
      </c>
      <c r="T425" s="33">
        <v>1</v>
      </c>
      <c r="V425" s="33">
        <v>3</v>
      </c>
      <c r="X425" s="33" t="s">
        <v>2908</v>
      </c>
      <c r="Y425" s="713" t="s">
        <v>3480</v>
      </c>
      <c r="Z425" s="33">
        <v>8</v>
      </c>
      <c r="AA425" s="33">
        <v>5</v>
      </c>
      <c r="AD425" s="504">
        <v>0.03</v>
      </c>
      <c r="AE425" s="33">
        <v>20000</v>
      </c>
      <c r="AF425" s="33">
        <v>33000</v>
      </c>
      <c r="AG425" s="33"/>
      <c r="AJ425" s="216"/>
    </row>
    <row r="426" spans="1:36" ht="13.5" customHeight="1">
      <c r="A426" s="182" t="s">
        <v>2986</v>
      </c>
      <c r="C426" s="196" t="s">
        <v>54</v>
      </c>
      <c r="D426" s="33" t="s">
        <v>60</v>
      </c>
      <c r="E426" s="33" t="s">
        <v>2992</v>
      </c>
      <c r="F426" s="33">
        <v>3470</v>
      </c>
      <c r="G426" s="33">
        <v>3500</v>
      </c>
      <c r="H426" s="33" t="s">
        <v>62</v>
      </c>
      <c r="I426" s="33">
        <v>7</v>
      </c>
      <c r="J426" s="33" t="s">
        <v>3012</v>
      </c>
      <c r="P426" s="196">
        <v>1</v>
      </c>
      <c r="Q426" s="33" t="s">
        <v>1814</v>
      </c>
      <c r="R426" s="33" t="s">
        <v>3015</v>
      </c>
      <c r="S426" s="33" t="s">
        <v>1783</v>
      </c>
      <c r="T426" s="33">
        <v>1</v>
      </c>
      <c r="V426" s="33">
        <v>3</v>
      </c>
      <c r="X426" s="33" t="s">
        <v>2908</v>
      </c>
      <c r="Y426" s="33">
        <v>5</v>
      </c>
      <c r="Z426" s="33">
        <v>9</v>
      </c>
      <c r="AA426" s="33">
        <v>5</v>
      </c>
      <c r="AD426" s="504">
        <v>0.03</v>
      </c>
      <c r="AE426" s="33">
        <v>20000</v>
      </c>
      <c r="AF426" s="33">
        <v>33000</v>
      </c>
      <c r="AG426" s="33"/>
      <c r="AJ426" s="216"/>
    </row>
    <row r="427" spans="1:36" ht="13.5" customHeight="1">
      <c r="A427" s="182" t="s">
        <v>2987</v>
      </c>
      <c r="C427" s="196" t="s">
        <v>54</v>
      </c>
      <c r="D427" s="33" t="s">
        <v>60</v>
      </c>
      <c r="E427" s="33" t="s">
        <v>2992</v>
      </c>
      <c r="F427" s="33">
        <v>3470</v>
      </c>
      <c r="G427" s="33">
        <v>3500</v>
      </c>
      <c r="H427" s="33" t="s">
        <v>62</v>
      </c>
      <c r="I427" s="33">
        <v>7</v>
      </c>
      <c r="J427" s="33" t="s">
        <v>1886</v>
      </c>
      <c r="P427" s="196">
        <v>1</v>
      </c>
      <c r="Q427" s="33" t="s">
        <v>1814</v>
      </c>
      <c r="R427" s="33" t="s">
        <v>3015</v>
      </c>
      <c r="S427" s="33" t="s">
        <v>1783</v>
      </c>
      <c r="T427" s="33">
        <v>1</v>
      </c>
      <c r="V427" s="33">
        <v>3</v>
      </c>
      <c r="X427" s="33" t="s">
        <v>2908</v>
      </c>
      <c r="Y427" s="33">
        <v>5</v>
      </c>
      <c r="Z427" s="33">
        <v>9</v>
      </c>
      <c r="AA427" s="33">
        <v>5</v>
      </c>
      <c r="AD427" s="504">
        <v>0.03</v>
      </c>
      <c r="AE427" s="33">
        <v>20000</v>
      </c>
      <c r="AF427" s="33">
        <v>33000</v>
      </c>
      <c r="AG427" s="33"/>
      <c r="AJ427" s="216"/>
    </row>
    <row r="428" spans="1:36" ht="13.5" customHeight="1">
      <c r="A428" s="182" t="s">
        <v>2988</v>
      </c>
      <c r="C428" s="196" t="s">
        <v>54</v>
      </c>
      <c r="D428" s="33" t="s">
        <v>60</v>
      </c>
      <c r="E428" s="33" t="s">
        <v>2992</v>
      </c>
      <c r="F428" s="33">
        <v>3470</v>
      </c>
      <c r="G428" s="33">
        <v>3500</v>
      </c>
      <c r="H428" s="33" t="s">
        <v>62</v>
      </c>
      <c r="I428" s="33">
        <v>7</v>
      </c>
      <c r="J428" s="33" t="s">
        <v>3013</v>
      </c>
      <c r="P428" s="196">
        <v>1</v>
      </c>
      <c r="Q428" s="33" t="s">
        <v>1814</v>
      </c>
      <c r="R428" s="33" t="s">
        <v>3015</v>
      </c>
      <c r="S428" s="33" t="s">
        <v>1783</v>
      </c>
      <c r="T428" s="33">
        <v>1</v>
      </c>
      <c r="V428" s="33">
        <v>3</v>
      </c>
      <c r="X428" s="33" t="s">
        <v>2908</v>
      </c>
      <c r="Y428" s="33">
        <v>5</v>
      </c>
      <c r="Z428" s="33">
        <v>9</v>
      </c>
      <c r="AA428" s="33">
        <v>5</v>
      </c>
      <c r="AD428" s="504">
        <v>0.03</v>
      </c>
      <c r="AE428" s="33">
        <v>20000</v>
      </c>
      <c r="AF428" s="33">
        <v>33000</v>
      </c>
      <c r="AG428" s="33"/>
      <c r="AJ428" s="216"/>
    </row>
    <row r="429" spans="1:36" ht="13.5" customHeight="1">
      <c r="A429" s="182" t="s">
        <v>2989</v>
      </c>
      <c r="C429" s="196" t="s">
        <v>54</v>
      </c>
      <c r="D429" s="33" t="s">
        <v>60</v>
      </c>
      <c r="E429" s="33" t="s">
        <v>2992</v>
      </c>
      <c r="F429" s="33">
        <v>3470</v>
      </c>
      <c r="G429" s="33">
        <v>3500</v>
      </c>
      <c r="H429" s="33" t="s">
        <v>62</v>
      </c>
      <c r="I429" s="33">
        <v>7</v>
      </c>
      <c r="J429" s="33" t="s">
        <v>1885</v>
      </c>
      <c r="P429" s="196">
        <v>1</v>
      </c>
      <c r="Q429" s="33" t="s">
        <v>1814</v>
      </c>
      <c r="R429" s="33" t="s">
        <v>3015</v>
      </c>
      <c r="S429" s="33" t="s">
        <v>1783</v>
      </c>
      <c r="T429" s="33">
        <v>1</v>
      </c>
      <c r="V429" s="33">
        <v>3</v>
      </c>
      <c r="X429" s="33" t="s">
        <v>2908</v>
      </c>
      <c r="Y429" s="33">
        <v>5</v>
      </c>
      <c r="Z429" s="33">
        <v>9</v>
      </c>
      <c r="AA429" s="33">
        <v>5</v>
      </c>
      <c r="AD429" s="504">
        <v>0.03</v>
      </c>
      <c r="AE429" s="33">
        <v>20000</v>
      </c>
      <c r="AF429" s="33">
        <v>33000</v>
      </c>
      <c r="AG429" s="33"/>
      <c r="AJ429" s="216"/>
    </row>
    <row r="430" spans="1:36" ht="13.5" customHeight="1">
      <c r="A430" s="182" t="s">
        <v>3025</v>
      </c>
      <c r="C430" s="196" t="s">
        <v>54</v>
      </c>
      <c r="D430" s="33" t="s">
        <v>274</v>
      </c>
      <c r="E430" s="33" t="s">
        <v>3023</v>
      </c>
      <c r="F430" s="33">
        <v>1999</v>
      </c>
      <c r="G430" s="33">
        <v>2000</v>
      </c>
      <c r="H430" s="33" t="s">
        <v>3283</v>
      </c>
      <c r="I430" s="33">
        <v>5</v>
      </c>
      <c r="J430" s="33" t="s">
        <v>3020</v>
      </c>
      <c r="P430" s="197">
        <v>1</v>
      </c>
      <c r="Q430" s="31" t="s">
        <v>1743</v>
      </c>
      <c r="R430" s="31" t="s">
        <v>2719</v>
      </c>
      <c r="S430" s="31" t="s">
        <v>1745</v>
      </c>
      <c r="T430" s="31">
        <v>1</v>
      </c>
      <c r="V430" s="33">
        <v>10</v>
      </c>
      <c r="W430" s="752" t="s">
        <v>3625</v>
      </c>
      <c r="X430" s="33" t="s">
        <v>2914</v>
      </c>
      <c r="Y430" s="713">
        <v>4</v>
      </c>
      <c r="Z430" s="33">
        <v>10</v>
      </c>
      <c r="AA430" s="33">
        <v>7</v>
      </c>
      <c r="AB430" s="33">
        <v>8</v>
      </c>
      <c r="AD430" s="504">
        <v>4.4999999999999998E-2</v>
      </c>
      <c r="AE430" s="33">
        <v>16000</v>
      </c>
      <c r="AF430" s="33">
        <v>29000</v>
      </c>
      <c r="AG430" s="33"/>
    </row>
    <row r="431" spans="1:36" ht="13.5" customHeight="1">
      <c r="A431" s="182" t="s">
        <v>3026</v>
      </c>
      <c r="C431" s="196" t="s">
        <v>54</v>
      </c>
      <c r="D431" s="33" t="s">
        <v>274</v>
      </c>
      <c r="E431" s="33" t="s">
        <v>3023</v>
      </c>
      <c r="F431" s="33">
        <v>1999</v>
      </c>
      <c r="G431" s="33">
        <v>2000</v>
      </c>
      <c r="H431" s="33" t="s">
        <v>3283</v>
      </c>
      <c r="I431" s="33">
        <v>5</v>
      </c>
      <c r="J431" s="33" t="s">
        <v>3021</v>
      </c>
      <c r="P431" s="197">
        <v>1</v>
      </c>
      <c r="Q431" s="31" t="s">
        <v>1743</v>
      </c>
      <c r="R431" s="31" t="s">
        <v>312</v>
      </c>
      <c r="S431" s="31" t="s">
        <v>1745</v>
      </c>
      <c r="T431" s="31">
        <v>1</v>
      </c>
      <c r="V431" s="33">
        <v>10</v>
      </c>
      <c r="W431" s="752" t="s">
        <v>3625</v>
      </c>
      <c r="X431" s="33" t="s">
        <v>2914</v>
      </c>
      <c r="Y431" s="713">
        <v>4</v>
      </c>
      <c r="Z431" s="33">
        <v>10</v>
      </c>
      <c r="AA431" s="33">
        <v>7</v>
      </c>
      <c r="AB431" s="33">
        <v>8</v>
      </c>
      <c r="AD431" s="504">
        <v>4.4999999999999998E-2</v>
      </c>
      <c r="AE431" s="33">
        <v>16000</v>
      </c>
      <c r="AF431" s="33">
        <v>29000</v>
      </c>
      <c r="AG431" s="33"/>
    </row>
    <row r="432" spans="1:36" ht="13.5" customHeight="1">
      <c r="A432" s="182" t="s">
        <v>3027</v>
      </c>
      <c r="C432" s="196" t="s">
        <v>54</v>
      </c>
      <c r="D432" s="33" t="s">
        <v>274</v>
      </c>
      <c r="E432" s="33" t="s">
        <v>3023</v>
      </c>
      <c r="F432" s="33">
        <v>1999</v>
      </c>
      <c r="G432" s="33">
        <v>2000</v>
      </c>
      <c r="H432" s="33" t="s">
        <v>3283</v>
      </c>
      <c r="I432" s="33">
        <v>5</v>
      </c>
      <c r="J432" s="33" t="s">
        <v>3022</v>
      </c>
      <c r="P432" s="197">
        <v>1</v>
      </c>
      <c r="Q432" s="31" t="s">
        <v>1743</v>
      </c>
      <c r="R432" s="31" t="s">
        <v>312</v>
      </c>
      <c r="S432" s="31" t="s">
        <v>1745</v>
      </c>
      <c r="T432" s="31">
        <v>1</v>
      </c>
      <c r="V432" s="33">
        <v>10</v>
      </c>
      <c r="W432" s="752" t="s">
        <v>3625</v>
      </c>
      <c r="X432" s="33" t="s">
        <v>2914</v>
      </c>
      <c r="Y432" s="713">
        <v>4</v>
      </c>
      <c r="Z432" s="33">
        <v>10</v>
      </c>
      <c r="AA432" s="33">
        <v>7</v>
      </c>
      <c r="AB432" s="33">
        <v>8</v>
      </c>
      <c r="AD432" s="504">
        <v>4.4999999999999998E-2</v>
      </c>
      <c r="AE432" s="33">
        <v>16000</v>
      </c>
      <c r="AF432" s="33">
        <v>29000</v>
      </c>
      <c r="AG432" s="33"/>
    </row>
    <row r="433" spans="1:37" ht="13.5" customHeight="1">
      <c r="A433" s="182" t="s">
        <v>3028</v>
      </c>
      <c r="C433" s="196" t="s">
        <v>54</v>
      </c>
      <c r="D433" s="33" t="s">
        <v>274</v>
      </c>
      <c r="E433" s="33" t="s">
        <v>3023</v>
      </c>
      <c r="F433" s="33">
        <v>1999</v>
      </c>
      <c r="G433" s="33">
        <v>2000</v>
      </c>
      <c r="H433" s="33" t="s">
        <v>62</v>
      </c>
      <c r="I433" s="33">
        <v>5</v>
      </c>
      <c r="J433" s="33" t="s">
        <v>1749</v>
      </c>
      <c r="P433" s="197">
        <v>1</v>
      </c>
      <c r="Q433" s="31" t="s">
        <v>1743</v>
      </c>
      <c r="R433" s="31" t="s">
        <v>312</v>
      </c>
      <c r="S433" s="31" t="s">
        <v>1745</v>
      </c>
      <c r="T433" s="31">
        <v>1</v>
      </c>
      <c r="V433" s="33">
        <v>8</v>
      </c>
      <c r="W433" s="752" t="s">
        <v>3555</v>
      </c>
      <c r="X433" s="708" t="s">
        <v>3446</v>
      </c>
      <c r="Y433" s="713">
        <v>3</v>
      </c>
      <c r="Z433" s="33">
        <v>9</v>
      </c>
      <c r="AA433" s="33">
        <v>6</v>
      </c>
      <c r="AD433" s="504">
        <v>4.4999999999999998E-2</v>
      </c>
      <c r="AE433" s="33">
        <v>14000</v>
      </c>
      <c r="AF433" s="33">
        <v>26000</v>
      </c>
      <c r="AG433" s="33"/>
      <c r="AK433" s="33" t="s">
        <v>2912</v>
      </c>
    </row>
    <row r="434" spans="1:37" ht="13.5" customHeight="1">
      <c r="A434" s="182" t="s">
        <v>3029</v>
      </c>
      <c r="C434" s="196" t="s">
        <v>54</v>
      </c>
      <c r="D434" s="33" t="s">
        <v>274</v>
      </c>
      <c r="E434" s="33" t="s">
        <v>3023</v>
      </c>
      <c r="F434" s="33">
        <v>1999</v>
      </c>
      <c r="G434" s="33">
        <v>2000</v>
      </c>
      <c r="H434" s="33" t="s">
        <v>62</v>
      </c>
      <c r="I434" s="33">
        <v>5</v>
      </c>
      <c r="J434" s="33" t="s">
        <v>1748</v>
      </c>
      <c r="P434" s="197">
        <v>1</v>
      </c>
      <c r="Q434" s="31" t="s">
        <v>1743</v>
      </c>
      <c r="R434" s="31" t="s">
        <v>312</v>
      </c>
      <c r="S434" s="31" t="s">
        <v>1745</v>
      </c>
      <c r="T434" s="31">
        <v>1</v>
      </c>
      <c r="V434" s="33">
        <v>8</v>
      </c>
      <c r="W434" s="752" t="s">
        <v>3555</v>
      </c>
      <c r="X434" s="708" t="s">
        <v>3446</v>
      </c>
      <c r="Y434" s="713">
        <v>3</v>
      </c>
      <c r="Z434" s="33">
        <v>9</v>
      </c>
      <c r="AA434" s="33">
        <v>6</v>
      </c>
      <c r="AD434" s="504">
        <v>4.4999999999999998E-2</v>
      </c>
      <c r="AE434" s="33">
        <v>14000</v>
      </c>
      <c r="AF434" s="33">
        <v>26000</v>
      </c>
      <c r="AG434" s="33"/>
      <c r="AK434" s="33" t="s">
        <v>2912</v>
      </c>
    </row>
    <row r="435" spans="1:37" ht="13.5" customHeight="1">
      <c r="A435" s="182" t="s">
        <v>3030</v>
      </c>
      <c r="C435" s="196" t="s">
        <v>54</v>
      </c>
      <c r="D435" s="33" t="s">
        <v>274</v>
      </c>
      <c r="E435" s="33" t="s">
        <v>3023</v>
      </c>
      <c r="F435" s="33">
        <v>1999</v>
      </c>
      <c r="G435" s="33">
        <v>2000</v>
      </c>
      <c r="H435" s="33" t="s">
        <v>62</v>
      </c>
      <c r="I435" s="33">
        <v>5</v>
      </c>
      <c r="J435" s="33" t="s">
        <v>1747</v>
      </c>
      <c r="P435" s="197">
        <v>1</v>
      </c>
      <c r="Q435" s="31" t="s">
        <v>1743</v>
      </c>
      <c r="R435" s="31" t="s">
        <v>312</v>
      </c>
      <c r="S435" s="31" t="s">
        <v>1745</v>
      </c>
      <c r="T435" s="31">
        <v>1</v>
      </c>
      <c r="V435" s="33">
        <v>8</v>
      </c>
      <c r="W435" s="752" t="s">
        <v>3555</v>
      </c>
      <c r="X435" s="708" t="s">
        <v>3446</v>
      </c>
      <c r="Y435" s="713">
        <v>3</v>
      </c>
      <c r="Z435" s="33">
        <v>9</v>
      </c>
      <c r="AA435" s="33">
        <v>6</v>
      </c>
      <c r="AD435" s="504">
        <v>4.4999999999999998E-2</v>
      </c>
      <c r="AE435" s="33">
        <v>14000</v>
      </c>
      <c r="AF435" s="33">
        <v>26000</v>
      </c>
      <c r="AG435" s="33"/>
      <c r="AK435" s="33" t="s">
        <v>2912</v>
      </c>
    </row>
    <row r="436" spans="1:37" ht="13.5" customHeight="1">
      <c r="A436" s="182" t="s">
        <v>3489</v>
      </c>
      <c r="C436" s="196" t="s">
        <v>54</v>
      </c>
      <c r="D436" s="33" t="s">
        <v>274</v>
      </c>
      <c r="E436" s="33" t="s">
        <v>3023</v>
      </c>
      <c r="F436" s="33">
        <v>1999</v>
      </c>
      <c r="G436" s="33">
        <v>2000</v>
      </c>
      <c r="H436" s="33" t="s">
        <v>62</v>
      </c>
      <c r="I436" s="33">
        <v>5</v>
      </c>
      <c r="J436" s="33" t="s">
        <v>3490</v>
      </c>
      <c r="P436" s="197">
        <v>1</v>
      </c>
      <c r="Q436" s="31" t="s">
        <v>1743</v>
      </c>
      <c r="R436" s="31" t="s">
        <v>312</v>
      </c>
      <c r="S436" s="31" t="s">
        <v>1745</v>
      </c>
      <c r="T436" s="31">
        <v>1</v>
      </c>
      <c r="V436" s="33">
        <v>8</v>
      </c>
      <c r="W436" s="752" t="s">
        <v>3555</v>
      </c>
      <c r="X436" s="708" t="s">
        <v>3446</v>
      </c>
      <c r="Y436" s="713">
        <v>3</v>
      </c>
      <c r="Z436" s="33">
        <v>9</v>
      </c>
      <c r="AA436" s="33">
        <v>6</v>
      </c>
      <c r="AD436" s="504">
        <v>4.4999999999999998E-2</v>
      </c>
      <c r="AE436" s="33">
        <v>14000</v>
      </c>
      <c r="AF436" s="33">
        <v>26000</v>
      </c>
      <c r="AG436" s="33"/>
    </row>
    <row r="437" spans="1:37" ht="13.5" customHeight="1">
      <c r="A437" s="182" t="s">
        <v>3481</v>
      </c>
      <c r="C437" s="196" t="s">
        <v>54</v>
      </c>
      <c r="D437" s="33" t="s">
        <v>274</v>
      </c>
      <c r="E437" s="33" t="s">
        <v>3023</v>
      </c>
      <c r="F437" s="33">
        <v>1598</v>
      </c>
      <c r="G437" s="33">
        <v>1600</v>
      </c>
      <c r="H437" s="33" t="s">
        <v>62</v>
      </c>
      <c r="I437" s="33">
        <v>5</v>
      </c>
      <c r="J437" s="33" t="s">
        <v>1752</v>
      </c>
      <c r="P437" s="197">
        <v>1</v>
      </c>
      <c r="Q437" s="31" t="s">
        <v>1743</v>
      </c>
      <c r="R437" s="31" t="s">
        <v>1744</v>
      </c>
      <c r="S437" s="31" t="s">
        <v>1745</v>
      </c>
      <c r="T437" s="31">
        <v>1</v>
      </c>
      <c r="V437" s="33">
        <v>8</v>
      </c>
      <c r="W437" s="752" t="s">
        <v>3618</v>
      </c>
      <c r="X437" s="708" t="s">
        <v>3446</v>
      </c>
      <c r="Y437" s="713">
        <v>3</v>
      </c>
      <c r="Z437" s="33">
        <v>9</v>
      </c>
      <c r="AA437" s="33">
        <v>6</v>
      </c>
      <c r="AD437" s="504">
        <v>4.4999999999999998E-2</v>
      </c>
      <c r="AE437" s="33">
        <v>15000</v>
      </c>
      <c r="AF437" s="33">
        <v>27000</v>
      </c>
      <c r="AG437" s="33"/>
      <c r="AK437" s="33" t="s">
        <v>2912</v>
      </c>
    </row>
    <row r="438" spans="1:37" ht="13.5" customHeight="1">
      <c r="A438" s="182" t="s">
        <v>3031</v>
      </c>
      <c r="C438" s="196" t="s">
        <v>54</v>
      </c>
      <c r="D438" s="33" t="s">
        <v>274</v>
      </c>
      <c r="E438" s="33" t="s">
        <v>3023</v>
      </c>
      <c r="F438" s="33">
        <v>1598</v>
      </c>
      <c r="G438" s="33">
        <v>1600</v>
      </c>
      <c r="H438" s="33" t="s">
        <v>62</v>
      </c>
      <c r="I438" s="33">
        <v>5</v>
      </c>
      <c r="J438" s="33" t="s">
        <v>1751</v>
      </c>
      <c r="P438" s="197">
        <v>1</v>
      </c>
      <c r="Q438" s="31" t="s">
        <v>1743</v>
      </c>
      <c r="R438" s="31" t="s">
        <v>1744</v>
      </c>
      <c r="S438" s="31" t="s">
        <v>1745</v>
      </c>
      <c r="T438" s="31">
        <v>1</v>
      </c>
      <c r="V438" s="33">
        <v>8</v>
      </c>
      <c r="W438" s="752" t="s">
        <v>3618</v>
      </c>
      <c r="X438" s="708" t="s">
        <v>3446</v>
      </c>
      <c r="Y438" s="713">
        <v>3</v>
      </c>
      <c r="Z438" s="33">
        <v>9</v>
      </c>
      <c r="AA438" s="33">
        <v>6</v>
      </c>
      <c r="AD438" s="504">
        <v>4.4999999999999998E-2</v>
      </c>
      <c r="AE438" s="33">
        <v>15000</v>
      </c>
      <c r="AF438" s="33">
        <v>27000</v>
      </c>
      <c r="AG438" s="33"/>
      <c r="AK438" s="33" t="s">
        <v>2912</v>
      </c>
    </row>
    <row r="439" spans="1:37" ht="13.5" customHeight="1">
      <c r="A439" s="182" t="s">
        <v>3032</v>
      </c>
      <c r="C439" s="196" t="s">
        <v>54</v>
      </c>
      <c r="D439" s="33" t="s">
        <v>274</v>
      </c>
      <c r="E439" s="33" t="s">
        <v>3023</v>
      </c>
      <c r="F439" s="33">
        <v>1598</v>
      </c>
      <c r="G439" s="33">
        <v>1600</v>
      </c>
      <c r="H439" s="33" t="s">
        <v>62</v>
      </c>
      <c r="I439" s="33">
        <v>5</v>
      </c>
      <c r="J439" s="33" t="s">
        <v>1750</v>
      </c>
      <c r="P439" s="197">
        <v>1</v>
      </c>
      <c r="Q439" s="31" t="s">
        <v>1743</v>
      </c>
      <c r="R439" s="31" t="s">
        <v>1744</v>
      </c>
      <c r="S439" s="31" t="s">
        <v>1745</v>
      </c>
      <c r="T439" s="31">
        <v>1</v>
      </c>
      <c r="V439" s="33">
        <v>8</v>
      </c>
      <c r="W439" s="752" t="s">
        <v>3618</v>
      </c>
      <c r="X439" s="708" t="s">
        <v>3446</v>
      </c>
      <c r="Y439" s="713">
        <v>3</v>
      </c>
      <c r="Z439" s="33">
        <v>9</v>
      </c>
      <c r="AA439" s="33">
        <v>6</v>
      </c>
      <c r="AD439" s="504">
        <v>4.4999999999999998E-2</v>
      </c>
      <c r="AE439" s="33">
        <v>15000</v>
      </c>
      <c r="AF439" s="33">
        <v>27000</v>
      </c>
      <c r="AG439" s="33"/>
      <c r="AK439" s="33" t="s">
        <v>2912</v>
      </c>
    </row>
    <row r="440" spans="1:37" ht="13.5" customHeight="1">
      <c r="A440" s="182" t="s">
        <v>3017</v>
      </c>
      <c r="C440" s="196" t="s">
        <v>54</v>
      </c>
      <c r="D440" s="33" t="s">
        <v>274</v>
      </c>
      <c r="E440" s="33" t="s">
        <v>3024</v>
      </c>
      <c r="F440" s="33">
        <v>1999</v>
      </c>
      <c r="G440" s="33">
        <v>2000</v>
      </c>
      <c r="H440" s="33" t="s">
        <v>1628</v>
      </c>
      <c r="I440" s="33">
        <v>5</v>
      </c>
      <c r="J440" s="33" t="s">
        <v>1754</v>
      </c>
      <c r="P440" s="197">
        <v>1</v>
      </c>
      <c r="Q440" s="31" t="s">
        <v>1743</v>
      </c>
      <c r="R440" s="31" t="s">
        <v>1746</v>
      </c>
      <c r="S440" s="31" t="s">
        <v>1745</v>
      </c>
      <c r="T440" s="31">
        <v>1</v>
      </c>
      <c r="V440" s="33">
        <v>8</v>
      </c>
      <c r="W440" s="752" t="s">
        <v>3619</v>
      </c>
      <c r="X440" s="708" t="s">
        <v>3446</v>
      </c>
      <c r="Y440" s="713">
        <v>5</v>
      </c>
      <c r="Z440" s="33">
        <v>9</v>
      </c>
      <c r="AA440" s="33">
        <v>8</v>
      </c>
      <c r="AD440" s="504">
        <v>4.4999999999999998E-2</v>
      </c>
      <c r="AE440" s="33">
        <v>24000</v>
      </c>
      <c r="AF440" s="33">
        <v>39000</v>
      </c>
      <c r="AG440" s="33"/>
      <c r="AK440" s="33" t="s">
        <v>2912</v>
      </c>
    </row>
    <row r="441" spans="1:37" ht="13.5" customHeight="1">
      <c r="A441" s="182" t="s">
        <v>3018</v>
      </c>
      <c r="C441" s="196" t="s">
        <v>54</v>
      </c>
      <c r="D441" s="33" t="s">
        <v>274</v>
      </c>
      <c r="E441" s="33" t="s">
        <v>3024</v>
      </c>
      <c r="F441" s="33">
        <v>1999</v>
      </c>
      <c r="G441" s="33">
        <v>2000</v>
      </c>
      <c r="H441" s="33" t="s">
        <v>1628</v>
      </c>
      <c r="I441" s="33">
        <v>5</v>
      </c>
      <c r="J441" s="33" t="s">
        <v>1753</v>
      </c>
      <c r="P441" s="197">
        <v>1</v>
      </c>
      <c r="Q441" s="31" t="s">
        <v>1743</v>
      </c>
      <c r="R441" s="31" t="s">
        <v>1746</v>
      </c>
      <c r="S441" s="31" t="s">
        <v>1745</v>
      </c>
      <c r="T441" s="31">
        <v>1</v>
      </c>
      <c r="V441" s="33">
        <v>8</v>
      </c>
      <c r="W441" s="752" t="s">
        <v>3619</v>
      </c>
      <c r="X441" s="708" t="s">
        <v>3446</v>
      </c>
      <c r="Y441" s="713">
        <v>5</v>
      </c>
      <c r="Z441" s="33">
        <v>9</v>
      </c>
      <c r="AA441" s="33">
        <v>8</v>
      </c>
      <c r="AD441" s="504">
        <v>4.4999999999999998E-2</v>
      </c>
      <c r="AE441" s="33">
        <v>24000</v>
      </c>
      <c r="AF441" s="33">
        <v>39000</v>
      </c>
      <c r="AG441" s="33"/>
      <c r="AK441" s="33" t="s">
        <v>2912</v>
      </c>
    </row>
    <row r="442" spans="1:37" ht="13.5" customHeight="1">
      <c r="A442" s="182" t="s">
        <v>3019</v>
      </c>
      <c r="C442" s="196" t="s">
        <v>54</v>
      </c>
      <c r="D442" s="33" t="s">
        <v>274</v>
      </c>
      <c r="E442" s="33" t="s">
        <v>3024</v>
      </c>
      <c r="F442" s="33">
        <v>1999</v>
      </c>
      <c r="G442" s="33">
        <v>2000</v>
      </c>
      <c r="H442" s="33" t="s">
        <v>1628</v>
      </c>
      <c r="I442" s="33">
        <v>5</v>
      </c>
      <c r="J442" s="33" t="s">
        <v>1631</v>
      </c>
      <c r="P442" s="197">
        <v>1</v>
      </c>
      <c r="Q442" s="31" t="s">
        <v>1743</v>
      </c>
      <c r="R442" s="31" t="s">
        <v>1746</v>
      </c>
      <c r="S442" s="31" t="s">
        <v>1745</v>
      </c>
      <c r="T442" s="31">
        <v>1</v>
      </c>
      <c r="V442" s="33">
        <v>8</v>
      </c>
      <c r="W442" s="752" t="s">
        <v>3619</v>
      </c>
      <c r="X442" s="708" t="s">
        <v>3446</v>
      </c>
      <c r="Y442" s="713">
        <v>5</v>
      </c>
      <c r="Z442" s="33">
        <v>9</v>
      </c>
      <c r="AA442" s="33">
        <v>8</v>
      </c>
      <c r="AD442" s="504">
        <v>4.4999999999999998E-2</v>
      </c>
      <c r="AE442" s="33">
        <v>24000</v>
      </c>
      <c r="AF442" s="33">
        <v>39000</v>
      </c>
      <c r="AG442" s="33"/>
      <c r="AK442" s="33" t="s">
        <v>2912</v>
      </c>
    </row>
    <row r="443" spans="1:37" ht="13.5" customHeight="1">
      <c r="A443" s="182" t="s">
        <v>3061</v>
      </c>
      <c r="C443" s="196" t="s">
        <v>2637</v>
      </c>
      <c r="D443" s="33" t="s">
        <v>2640</v>
      </c>
      <c r="E443" s="33" t="s">
        <v>2641</v>
      </c>
      <c r="F443" s="33">
        <v>1497</v>
      </c>
      <c r="G443" s="33">
        <v>1500</v>
      </c>
      <c r="H443" s="33" t="s">
        <v>2714</v>
      </c>
      <c r="I443" s="670">
        <v>5</v>
      </c>
      <c r="J443" s="670" t="s">
        <v>3063</v>
      </c>
      <c r="K443" s="670"/>
      <c r="L443" s="670"/>
      <c r="M443" s="670"/>
      <c r="N443" s="670"/>
      <c r="O443" s="670"/>
      <c r="P443" s="671">
        <v>1</v>
      </c>
      <c r="Q443" s="670" t="s">
        <v>2715</v>
      </c>
      <c r="R443" s="670" t="s">
        <v>2718</v>
      </c>
      <c r="S443" s="670" t="s">
        <v>2900</v>
      </c>
      <c r="T443" s="670">
        <v>0</v>
      </c>
      <c r="U443" s="670"/>
      <c r="V443" s="670">
        <v>18</v>
      </c>
      <c r="X443" s="33" t="s">
        <v>2920</v>
      </c>
      <c r="Y443" s="33">
        <v>13</v>
      </c>
      <c r="AD443" s="724">
        <v>2.9940000000000001E-2</v>
      </c>
      <c r="AE443" s="33">
        <v>25000</v>
      </c>
      <c r="AF443" s="33">
        <v>43000</v>
      </c>
      <c r="AG443" s="33"/>
    </row>
    <row r="444" spans="1:37" ht="13.5" customHeight="1">
      <c r="A444" s="182" t="s">
        <v>3062</v>
      </c>
      <c r="C444" s="196" t="s">
        <v>2637</v>
      </c>
      <c r="D444" s="33" t="s">
        <v>2640</v>
      </c>
      <c r="E444" s="33" t="s">
        <v>2641</v>
      </c>
      <c r="F444" s="33">
        <v>1497</v>
      </c>
      <c r="G444" s="33">
        <v>1500</v>
      </c>
      <c r="H444" s="33" t="s">
        <v>2714</v>
      </c>
      <c r="I444" s="670">
        <v>5</v>
      </c>
      <c r="J444" s="670" t="s">
        <v>3064</v>
      </c>
      <c r="K444" s="670"/>
      <c r="L444" s="670"/>
      <c r="M444" s="670"/>
      <c r="N444" s="670"/>
      <c r="O444" s="670"/>
      <c r="P444" s="671">
        <v>1</v>
      </c>
      <c r="Q444" s="670" t="s">
        <v>2715</v>
      </c>
      <c r="R444" s="670" t="s">
        <v>2718</v>
      </c>
      <c r="S444" s="670" t="s">
        <v>2900</v>
      </c>
      <c r="T444" s="670">
        <v>0</v>
      </c>
      <c r="U444" s="670"/>
      <c r="V444" s="670">
        <v>18</v>
      </c>
      <c r="X444" s="33" t="s">
        <v>2920</v>
      </c>
      <c r="Y444" s="33">
        <v>13</v>
      </c>
      <c r="AD444" s="724">
        <v>2.9940000000000001E-2</v>
      </c>
      <c r="AE444" s="33">
        <v>25000</v>
      </c>
      <c r="AF444" s="33">
        <v>43000</v>
      </c>
      <c r="AG444" s="33"/>
    </row>
    <row r="445" spans="1:37" ht="13.5" customHeight="1">
      <c r="A445" s="182" t="s">
        <v>2650</v>
      </c>
      <c r="C445" s="196" t="s">
        <v>2637</v>
      </c>
      <c r="D445" s="33" t="s">
        <v>770</v>
      </c>
      <c r="E445" s="33" t="s">
        <v>2642</v>
      </c>
      <c r="F445" s="33">
        <v>2157</v>
      </c>
      <c r="G445" s="33">
        <v>2200</v>
      </c>
      <c r="H445" s="33" t="s">
        <v>55</v>
      </c>
      <c r="I445" s="33">
        <v>7</v>
      </c>
      <c r="J445" s="33" t="s">
        <v>2680</v>
      </c>
      <c r="P445" s="196">
        <v>1</v>
      </c>
      <c r="Q445" s="33" t="s">
        <v>2716</v>
      </c>
      <c r="R445" s="33" t="s">
        <v>2717</v>
      </c>
      <c r="S445" s="33" t="s">
        <v>2900</v>
      </c>
      <c r="T445" s="33">
        <v>0</v>
      </c>
      <c r="U445" s="33" t="s">
        <v>2721</v>
      </c>
      <c r="V445" s="33">
        <v>20</v>
      </c>
      <c r="X445" s="33" t="s">
        <v>2921</v>
      </c>
      <c r="Y445" s="713">
        <v>14</v>
      </c>
      <c r="AD445" s="505">
        <v>0.03</v>
      </c>
      <c r="AE445" s="33">
        <v>29000</v>
      </c>
      <c r="AF445" s="33">
        <v>50000</v>
      </c>
      <c r="AG445" s="33"/>
    </row>
    <row r="446" spans="1:37" ht="13.5" customHeight="1">
      <c r="A446" s="182" t="s">
        <v>2651</v>
      </c>
      <c r="C446" s="196" t="s">
        <v>2637</v>
      </c>
      <c r="D446" s="33" t="s">
        <v>770</v>
      </c>
      <c r="E446" s="33" t="s">
        <v>2642</v>
      </c>
      <c r="F446" s="33">
        <v>2157</v>
      </c>
      <c r="G446" s="33">
        <v>2200</v>
      </c>
      <c r="H446" s="33" t="s">
        <v>55</v>
      </c>
      <c r="I446" s="33">
        <v>7</v>
      </c>
      <c r="J446" s="33" t="s">
        <v>2681</v>
      </c>
      <c r="P446" s="196">
        <v>1</v>
      </c>
      <c r="Q446" s="33" t="s">
        <v>2716</v>
      </c>
      <c r="R446" s="33" t="s">
        <v>2717</v>
      </c>
      <c r="S446" s="33" t="s">
        <v>2900</v>
      </c>
      <c r="T446" s="33">
        <v>0</v>
      </c>
      <c r="U446" s="33" t="s">
        <v>2721</v>
      </c>
      <c r="V446" s="33">
        <v>20</v>
      </c>
      <c r="X446" s="33" t="s">
        <v>2921</v>
      </c>
      <c r="Y446" s="713">
        <v>14</v>
      </c>
      <c r="AD446" s="505">
        <v>0.03</v>
      </c>
      <c r="AE446" s="33">
        <v>29000</v>
      </c>
      <c r="AF446" s="33">
        <v>50000</v>
      </c>
      <c r="AG446" s="33"/>
    </row>
    <row r="447" spans="1:37" ht="13.5" customHeight="1">
      <c r="A447" s="182" t="s">
        <v>2652</v>
      </c>
      <c r="C447" s="196" t="s">
        <v>2637</v>
      </c>
      <c r="D447" s="33" t="s">
        <v>770</v>
      </c>
      <c r="E447" s="33" t="s">
        <v>2642</v>
      </c>
      <c r="F447" s="33">
        <v>2157</v>
      </c>
      <c r="G447" s="33">
        <v>2200</v>
      </c>
      <c r="H447" s="33" t="s">
        <v>55</v>
      </c>
      <c r="I447" s="33">
        <v>7</v>
      </c>
      <c r="J447" s="33" t="s">
        <v>2682</v>
      </c>
      <c r="P447" s="196">
        <v>1</v>
      </c>
      <c r="Q447" s="33" t="s">
        <v>2716</v>
      </c>
      <c r="R447" s="33" t="s">
        <v>2717</v>
      </c>
      <c r="S447" s="33" t="s">
        <v>2900</v>
      </c>
      <c r="T447" s="33">
        <v>0</v>
      </c>
      <c r="U447" s="33" t="s">
        <v>2721</v>
      </c>
      <c r="V447" s="33">
        <v>20</v>
      </c>
      <c r="X447" s="33" t="s">
        <v>2921</v>
      </c>
      <c r="Y447" s="713">
        <v>14</v>
      </c>
      <c r="AD447" s="505">
        <v>0.03</v>
      </c>
      <c r="AE447" s="33">
        <v>29000</v>
      </c>
      <c r="AF447" s="33">
        <v>50000</v>
      </c>
      <c r="AG447" s="33"/>
    </row>
    <row r="448" spans="1:37" ht="13.5" customHeight="1">
      <c r="A448" s="182" t="s">
        <v>2653</v>
      </c>
      <c r="C448" s="196" t="s">
        <v>2637</v>
      </c>
      <c r="D448" s="33" t="s">
        <v>770</v>
      </c>
      <c r="E448" s="33" t="s">
        <v>2642</v>
      </c>
      <c r="F448" s="33">
        <v>2157</v>
      </c>
      <c r="G448" s="33">
        <v>2200</v>
      </c>
      <c r="H448" s="33" t="s">
        <v>55</v>
      </c>
      <c r="I448" s="33">
        <v>7</v>
      </c>
      <c r="J448" s="33" t="s">
        <v>2683</v>
      </c>
      <c r="P448" s="196">
        <v>1</v>
      </c>
      <c r="Q448" s="33" t="s">
        <v>2716</v>
      </c>
      <c r="R448" s="33" t="s">
        <v>2717</v>
      </c>
      <c r="S448" s="33" t="s">
        <v>2900</v>
      </c>
      <c r="T448" s="33">
        <v>0</v>
      </c>
      <c r="U448" s="33" t="s">
        <v>2721</v>
      </c>
      <c r="V448" s="33">
        <v>20</v>
      </c>
      <c r="X448" s="33" t="s">
        <v>2921</v>
      </c>
      <c r="Y448" s="713">
        <v>14</v>
      </c>
      <c r="AD448" s="505">
        <v>0.03</v>
      </c>
      <c r="AE448" s="33">
        <v>29000</v>
      </c>
      <c r="AF448" s="33">
        <v>50000</v>
      </c>
      <c r="AG448" s="33"/>
    </row>
    <row r="449" spans="1:33" ht="13.5" customHeight="1">
      <c r="A449" s="182" t="s">
        <v>2654</v>
      </c>
      <c r="C449" s="196" t="s">
        <v>2637</v>
      </c>
      <c r="D449" s="33" t="s">
        <v>770</v>
      </c>
      <c r="E449" s="33" t="s">
        <v>2642</v>
      </c>
      <c r="F449" s="33">
        <v>2157</v>
      </c>
      <c r="G449" s="33">
        <v>2200</v>
      </c>
      <c r="H449" s="33" t="s">
        <v>55</v>
      </c>
      <c r="I449" s="33">
        <v>5</v>
      </c>
      <c r="J449" s="33" t="s">
        <v>2684</v>
      </c>
      <c r="P449" s="196">
        <v>1</v>
      </c>
      <c r="Q449" s="33" t="s">
        <v>2715</v>
      </c>
      <c r="R449" s="33" t="s">
        <v>2717</v>
      </c>
      <c r="S449" s="33" t="s">
        <v>2900</v>
      </c>
      <c r="T449" s="33">
        <v>0</v>
      </c>
      <c r="U449" s="33" t="s">
        <v>2721</v>
      </c>
      <c r="V449" s="33">
        <v>20</v>
      </c>
      <c r="X449" s="33" t="s">
        <v>2921</v>
      </c>
      <c r="Y449" s="713">
        <v>14</v>
      </c>
      <c r="AD449" s="505">
        <v>0.03</v>
      </c>
      <c r="AE449" s="33">
        <v>29000</v>
      </c>
      <c r="AF449" s="33">
        <v>50000</v>
      </c>
      <c r="AG449" s="33"/>
    </row>
    <row r="450" spans="1:33" ht="13.5" customHeight="1">
      <c r="A450" s="182" t="s">
        <v>2655</v>
      </c>
      <c r="C450" s="196" t="s">
        <v>2637</v>
      </c>
      <c r="D450" s="33" t="s">
        <v>770</v>
      </c>
      <c r="E450" s="33" t="s">
        <v>2642</v>
      </c>
      <c r="F450" s="33">
        <v>2157</v>
      </c>
      <c r="G450" s="33">
        <v>2200</v>
      </c>
      <c r="H450" s="33" t="s">
        <v>55</v>
      </c>
      <c r="I450" s="33">
        <v>5</v>
      </c>
      <c r="J450" s="33" t="s">
        <v>2685</v>
      </c>
      <c r="P450" s="196">
        <v>1</v>
      </c>
      <c r="Q450" s="33" t="s">
        <v>2715</v>
      </c>
      <c r="R450" s="33" t="s">
        <v>2717</v>
      </c>
      <c r="S450" s="33" t="s">
        <v>2900</v>
      </c>
      <c r="T450" s="33">
        <v>0</v>
      </c>
      <c r="U450" s="33" t="s">
        <v>2721</v>
      </c>
      <c r="V450" s="33">
        <v>20</v>
      </c>
      <c r="X450" s="33" t="s">
        <v>2921</v>
      </c>
      <c r="Y450" s="713">
        <v>14</v>
      </c>
      <c r="AD450" s="505">
        <v>0.03</v>
      </c>
      <c r="AE450" s="33">
        <v>29000</v>
      </c>
      <c r="AF450" s="33">
        <v>50000</v>
      </c>
      <c r="AG450" s="33"/>
    </row>
    <row r="451" spans="1:33" ht="13.5" customHeight="1">
      <c r="A451" s="182" t="s">
        <v>2656</v>
      </c>
      <c r="C451" s="196" t="s">
        <v>2637</v>
      </c>
      <c r="D451" s="33" t="s">
        <v>770</v>
      </c>
      <c r="E451" s="33" t="s">
        <v>2642</v>
      </c>
      <c r="F451" s="33">
        <v>2157</v>
      </c>
      <c r="G451" s="33">
        <v>2200</v>
      </c>
      <c r="H451" s="33" t="s">
        <v>55</v>
      </c>
      <c r="I451" s="33">
        <v>5</v>
      </c>
      <c r="J451" s="33" t="s">
        <v>2686</v>
      </c>
      <c r="P451" s="196">
        <v>1</v>
      </c>
      <c r="Q451" s="33" t="s">
        <v>2715</v>
      </c>
      <c r="R451" s="33" t="s">
        <v>2717</v>
      </c>
      <c r="S451" s="33" t="s">
        <v>2900</v>
      </c>
      <c r="T451" s="33">
        <v>0</v>
      </c>
      <c r="U451" s="33" t="s">
        <v>2721</v>
      </c>
      <c r="V451" s="33">
        <v>20</v>
      </c>
      <c r="X451" s="33" t="s">
        <v>2921</v>
      </c>
      <c r="Y451" s="713">
        <v>14</v>
      </c>
      <c r="AD451" s="505">
        <v>0.03</v>
      </c>
      <c r="AE451" s="33">
        <v>29000</v>
      </c>
      <c r="AF451" s="33">
        <v>50000</v>
      </c>
      <c r="AG451" s="33"/>
    </row>
    <row r="452" spans="1:33" ht="13.5" customHeight="1">
      <c r="A452" s="182" t="s">
        <v>2657</v>
      </c>
      <c r="C452" s="196" t="s">
        <v>2637</v>
      </c>
      <c r="D452" s="33" t="s">
        <v>770</v>
      </c>
      <c r="E452" s="33" t="s">
        <v>2642</v>
      </c>
      <c r="F452" s="33">
        <v>2157</v>
      </c>
      <c r="G452" s="33">
        <v>2200</v>
      </c>
      <c r="H452" s="33" t="s">
        <v>55</v>
      </c>
      <c r="I452" s="33">
        <v>5</v>
      </c>
      <c r="J452" s="33" t="s">
        <v>2687</v>
      </c>
      <c r="P452" s="196">
        <v>1</v>
      </c>
      <c r="Q452" s="33" t="s">
        <v>2715</v>
      </c>
      <c r="R452" s="33" t="s">
        <v>2717</v>
      </c>
      <c r="S452" s="33" t="s">
        <v>2900</v>
      </c>
      <c r="T452" s="33">
        <v>0</v>
      </c>
      <c r="U452" s="33" t="s">
        <v>2721</v>
      </c>
      <c r="V452" s="33">
        <v>20</v>
      </c>
      <c r="X452" s="33" t="s">
        <v>2921</v>
      </c>
      <c r="Y452" s="713">
        <v>14</v>
      </c>
      <c r="AD452" s="505">
        <v>0.03</v>
      </c>
      <c r="AE452" s="33">
        <v>29000</v>
      </c>
      <c r="AF452" s="33">
        <v>50000</v>
      </c>
      <c r="AG452" s="33"/>
    </row>
    <row r="453" spans="1:33" ht="13.5" customHeight="1">
      <c r="A453" s="182" t="s">
        <v>2658</v>
      </c>
      <c r="C453" s="196" t="s">
        <v>2637</v>
      </c>
      <c r="D453" s="33" t="s">
        <v>1193</v>
      </c>
      <c r="E453" s="33" t="s">
        <v>2643</v>
      </c>
      <c r="F453" s="33">
        <v>1497</v>
      </c>
      <c r="G453" s="33">
        <v>1500</v>
      </c>
      <c r="H453" s="33" t="s">
        <v>2714</v>
      </c>
      <c r="I453" s="33">
        <v>5</v>
      </c>
      <c r="J453" s="33" t="s">
        <v>2688</v>
      </c>
      <c r="P453" s="196">
        <v>1</v>
      </c>
      <c r="Q453" s="33" t="s">
        <v>2715</v>
      </c>
      <c r="R453" s="33" t="s">
        <v>2718</v>
      </c>
      <c r="S453" s="33" t="s">
        <v>2900</v>
      </c>
      <c r="T453" s="33">
        <v>0</v>
      </c>
      <c r="U453" s="33" t="s">
        <v>2721</v>
      </c>
      <c r="V453" s="33">
        <v>21</v>
      </c>
      <c r="X453" s="33" t="s">
        <v>2924</v>
      </c>
      <c r="Y453" s="33">
        <v>14</v>
      </c>
      <c r="AD453" s="505">
        <v>0.03</v>
      </c>
      <c r="AE453" s="33">
        <v>25000</v>
      </c>
      <c r="AF453" s="33">
        <v>43000</v>
      </c>
      <c r="AG453" s="33"/>
    </row>
    <row r="454" spans="1:33" ht="13.5" customHeight="1">
      <c r="A454" s="182" t="s">
        <v>2659</v>
      </c>
      <c r="C454" s="196" t="s">
        <v>2637</v>
      </c>
      <c r="D454" s="33" t="s">
        <v>1193</v>
      </c>
      <c r="E454" s="33" t="s">
        <v>2643</v>
      </c>
      <c r="F454" s="33">
        <v>1497</v>
      </c>
      <c r="G454" s="33">
        <v>1500</v>
      </c>
      <c r="H454" s="33" t="s">
        <v>2714</v>
      </c>
      <c r="I454" s="33">
        <v>5</v>
      </c>
      <c r="J454" s="33" t="s">
        <v>2689</v>
      </c>
      <c r="P454" s="196">
        <v>1</v>
      </c>
      <c r="Q454" s="33" t="s">
        <v>2715</v>
      </c>
      <c r="R454" s="33" t="s">
        <v>2718</v>
      </c>
      <c r="S454" s="33" t="s">
        <v>2900</v>
      </c>
      <c r="T454" s="33">
        <v>0</v>
      </c>
      <c r="U454" s="33" t="s">
        <v>2721</v>
      </c>
      <c r="V454" s="33">
        <v>21</v>
      </c>
      <c r="X454" s="33" t="s">
        <v>2924</v>
      </c>
      <c r="Y454" s="33">
        <v>14</v>
      </c>
      <c r="AD454" s="505">
        <v>0.03</v>
      </c>
      <c r="AE454" s="33">
        <v>25000</v>
      </c>
      <c r="AF454" s="33">
        <v>43000</v>
      </c>
      <c r="AG454" s="33"/>
    </row>
    <row r="455" spans="1:33" ht="13.5" customHeight="1">
      <c r="A455" s="182" t="s">
        <v>2660</v>
      </c>
      <c r="C455" s="196" t="s">
        <v>2637</v>
      </c>
      <c r="D455" s="33" t="s">
        <v>1193</v>
      </c>
      <c r="E455" s="33" t="s">
        <v>2644</v>
      </c>
      <c r="F455" s="33">
        <v>1597</v>
      </c>
      <c r="G455" s="33">
        <v>1600</v>
      </c>
      <c r="H455" s="33" t="s">
        <v>2714</v>
      </c>
      <c r="I455" s="33">
        <v>5</v>
      </c>
      <c r="J455" s="33" t="s">
        <v>2690</v>
      </c>
      <c r="P455" s="196">
        <v>1</v>
      </c>
      <c r="Q455" s="33" t="s">
        <v>2715</v>
      </c>
      <c r="R455" s="33" t="s">
        <v>2718</v>
      </c>
      <c r="S455" s="33" t="s">
        <v>2900</v>
      </c>
      <c r="T455" s="33">
        <v>0</v>
      </c>
      <c r="U455" s="33" t="s">
        <v>2721</v>
      </c>
      <c r="V455" s="33">
        <v>21</v>
      </c>
      <c r="X455" s="33" t="s">
        <v>2924</v>
      </c>
      <c r="Y455" s="33">
        <v>13</v>
      </c>
      <c r="AD455" s="505">
        <v>0.03</v>
      </c>
      <c r="AE455" s="33">
        <v>25000</v>
      </c>
      <c r="AF455" s="33">
        <v>43000</v>
      </c>
      <c r="AG455" s="33"/>
    </row>
    <row r="456" spans="1:33" ht="13.5" customHeight="1">
      <c r="A456" s="182" t="s">
        <v>2661</v>
      </c>
      <c r="C456" s="196" t="s">
        <v>2637</v>
      </c>
      <c r="D456" s="33" t="s">
        <v>1193</v>
      </c>
      <c r="E456" s="33" t="s">
        <v>2644</v>
      </c>
      <c r="F456" s="33">
        <v>1597</v>
      </c>
      <c r="G456" s="33">
        <v>1600</v>
      </c>
      <c r="H456" s="33" t="s">
        <v>2714</v>
      </c>
      <c r="I456" s="33">
        <v>5</v>
      </c>
      <c r="J456" s="33" t="s">
        <v>2691</v>
      </c>
      <c r="P456" s="196">
        <v>1</v>
      </c>
      <c r="Q456" s="33" t="s">
        <v>2715</v>
      </c>
      <c r="R456" s="33" t="s">
        <v>2718</v>
      </c>
      <c r="S456" s="33" t="s">
        <v>2900</v>
      </c>
      <c r="T456" s="33">
        <v>0</v>
      </c>
      <c r="U456" s="33" t="s">
        <v>2721</v>
      </c>
      <c r="V456" s="33">
        <v>21</v>
      </c>
      <c r="X456" s="33" t="s">
        <v>2924</v>
      </c>
      <c r="Y456" s="33">
        <v>13</v>
      </c>
      <c r="AD456" s="505">
        <v>0.03</v>
      </c>
      <c r="AE456" s="33">
        <v>25000</v>
      </c>
      <c r="AF456" s="33">
        <v>43000</v>
      </c>
      <c r="AG456" s="33"/>
    </row>
    <row r="457" spans="1:33" ht="13.5" customHeight="1">
      <c r="A457" s="182" t="s">
        <v>2662</v>
      </c>
      <c r="C457" s="196" t="s">
        <v>2637</v>
      </c>
      <c r="D457" s="33" t="s">
        <v>1193</v>
      </c>
      <c r="E457" s="33" t="s">
        <v>2644</v>
      </c>
      <c r="F457" s="33">
        <v>1497</v>
      </c>
      <c r="G457" s="33">
        <v>1500</v>
      </c>
      <c r="H457" s="33" t="s">
        <v>2714</v>
      </c>
      <c r="I457" s="33">
        <v>5</v>
      </c>
      <c r="J457" s="33" t="s">
        <v>2692</v>
      </c>
      <c r="P457" s="196">
        <v>1</v>
      </c>
      <c r="Q457" s="33" t="s">
        <v>2715</v>
      </c>
      <c r="R457" s="33" t="s">
        <v>2718</v>
      </c>
      <c r="S457" s="33" t="s">
        <v>2900</v>
      </c>
      <c r="T457" s="33">
        <v>0</v>
      </c>
      <c r="U457" s="33" t="s">
        <v>2721</v>
      </c>
      <c r="V457" s="33">
        <v>21</v>
      </c>
      <c r="X457" s="33" t="s">
        <v>2924</v>
      </c>
      <c r="Y457" s="33">
        <v>13</v>
      </c>
      <c r="AD457" s="505">
        <v>0.03</v>
      </c>
      <c r="AE457" s="33">
        <v>25000</v>
      </c>
      <c r="AF457" s="33">
        <v>43000</v>
      </c>
      <c r="AG457" s="33"/>
    </row>
    <row r="458" spans="1:33" ht="13.5" customHeight="1">
      <c r="A458" s="182" t="s">
        <v>2663</v>
      </c>
      <c r="C458" s="196" t="s">
        <v>2637</v>
      </c>
      <c r="D458" s="33" t="s">
        <v>1193</v>
      </c>
      <c r="E458" s="33" t="s">
        <v>2644</v>
      </c>
      <c r="F458" s="33">
        <v>1497</v>
      </c>
      <c r="G458" s="33">
        <v>1500</v>
      </c>
      <c r="H458" s="33" t="s">
        <v>2714</v>
      </c>
      <c r="I458" s="33">
        <v>5</v>
      </c>
      <c r="J458" s="33" t="s">
        <v>2693</v>
      </c>
      <c r="P458" s="196">
        <v>1</v>
      </c>
      <c r="Q458" s="33" t="s">
        <v>2715</v>
      </c>
      <c r="R458" s="33" t="s">
        <v>2718</v>
      </c>
      <c r="S458" s="33" t="s">
        <v>2900</v>
      </c>
      <c r="T458" s="33">
        <v>0</v>
      </c>
      <c r="U458" s="33" t="s">
        <v>2721</v>
      </c>
      <c r="V458" s="33">
        <v>21</v>
      </c>
      <c r="X458" s="33" t="s">
        <v>2924</v>
      </c>
      <c r="Y458" s="33">
        <v>13</v>
      </c>
      <c r="AD458" s="505">
        <v>0.03</v>
      </c>
      <c r="AE458" s="33">
        <v>25000</v>
      </c>
      <c r="AF458" s="33">
        <v>43000</v>
      </c>
      <c r="AG458" s="33"/>
    </row>
    <row r="459" spans="1:33" ht="13.5" customHeight="1">
      <c r="A459" s="182" t="s">
        <v>2664</v>
      </c>
      <c r="C459" s="196" t="s">
        <v>2637</v>
      </c>
      <c r="D459" s="33" t="s">
        <v>1193</v>
      </c>
      <c r="E459" s="33" t="s">
        <v>2644</v>
      </c>
      <c r="F459" s="33">
        <v>1497</v>
      </c>
      <c r="G459" s="33">
        <v>1500</v>
      </c>
      <c r="H459" s="33" t="s">
        <v>2714</v>
      </c>
      <c r="I459" s="33">
        <v>5</v>
      </c>
      <c r="J459" s="33" t="s">
        <v>2694</v>
      </c>
      <c r="P459" s="196">
        <v>1</v>
      </c>
      <c r="Q459" s="33" t="s">
        <v>2715</v>
      </c>
      <c r="R459" s="33" t="s">
        <v>2718</v>
      </c>
      <c r="S459" s="33" t="s">
        <v>2900</v>
      </c>
      <c r="T459" s="33">
        <v>0</v>
      </c>
      <c r="U459" s="33" t="s">
        <v>2721</v>
      </c>
      <c r="V459" s="33">
        <v>21</v>
      </c>
      <c r="X459" s="33" t="s">
        <v>2924</v>
      </c>
      <c r="Y459" s="33">
        <v>13</v>
      </c>
      <c r="AD459" s="505">
        <v>0.03</v>
      </c>
      <c r="AE459" s="33">
        <v>25000</v>
      </c>
      <c r="AF459" s="33">
        <v>43000</v>
      </c>
      <c r="AG459" s="33"/>
    </row>
    <row r="460" spans="1:33" ht="13.5" customHeight="1">
      <c r="A460" s="182" t="s">
        <v>2665</v>
      </c>
      <c r="C460" s="196" t="s">
        <v>2637</v>
      </c>
      <c r="D460" s="33" t="s">
        <v>798</v>
      </c>
      <c r="E460" s="33" t="s">
        <v>2645</v>
      </c>
      <c r="F460" s="33">
        <v>1497</v>
      </c>
      <c r="G460" s="33">
        <v>1500</v>
      </c>
      <c r="H460" s="33" t="s">
        <v>2714</v>
      </c>
      <c r="I460" s="33">
        <v>5</v>
      </c>
      <c r="J460" s="33" t="s">
        <v>2695</v>
      </c>
      <c r="P460" s="196">
        <v>1</v>
      </c>
      <c r="Q460" s="33" t="s">
        <v>2715</v>
      </c>
      <c r="R460" s="33" t="s">
        <v>2718</v>
      </c>
      <c r="S460" s="33" t="s">
        <v>2900</v>
      </c>
      <c r="T460" s="33">
        <v>0</v>
      </c>
      <c r="U460" s="33" t="s">
        <v>2721</v>
      </c>
      <c r="V460" s="33">
        <v>21</v>
      </c>
      <c r="X460" s="33" t="s">
        <v>2923</v>
      </c>
      <c r="Y460" s="33">
        <v>15</v>
      </c>
      <c r="AD460" s="505">
        <v>0.03</v>
      </c>
      <c r="AE460" s="33">
        <v>27000</v>
      </c>
      <c r="AF460" s="33">
        <v>42000</v>
      </c>
      <c r="AG460" s="33"/>
    </row>
    <row r="461" spans="1:33" ht="13.5" customHeight="1">
      <c r="A461" s="182" t="s">
        <v>2666</v>
      </c>
      <c r="C461" s="196" t="s">
        <v>2637</v>
      </c>
      <c r="D461" s="33" t="s">
        <v>798</v>
      </c>
      <c r="E461" s="33" t="s">
        <v>2645</v>
      </c>
      <c r="F461" s="33">
        <v>1497</v>
      </c>
      <c r="G461" s="33">
        <v>1500</v>
      </c>
      <c r="H461" s="33" t="s">
        <v>2714</v>
      </c>
      <c r="I461" s="33">
        <v>5</v>
      </c>
      <c r="J461" s="33" t="s">
        <v>2696</v>
      </c>
      <c r="P461" s="196">
        <v>1</v>
      </c>
      <c r="Q461" s="33" t="s">
        <v>2715</v>
      </c>
      <c r="R461" s="33" t="s">
        <v>2718</v>
      </c>
      <c r="S461" s="33" t="s">
        <v>2900</v>
      </c>
      <c r="T461" s="33">
        <v>0</v>
      </c>
      <c r="U461" s="33" t="s">
        <v>2721</v>
      </c>
      <c r="V461" s="33">
        <v>21</v>
      </c>
      <c r="X461" s="33" t="s">
        <v>2923</v>
      </c>
      <c r="Y461" s="33">
        <v>15</v>
      </c>
      <c r="AD461" s="505">
        <v>0.03</v>
      </c>
      <c r="AE461" s="33">
        <v>27000</v>
      </c>
      <c r="AF461" s="33">
        <v>42000</v>
      </c>
      <c r="AG461" s="33"/>
    </row>
    <row r="462" spans="1:33" ht="13.5" customHeight="1">
      <c r="A462" s="182" t="s">
        <v>2667</v>
      </c>
      <c r="C462" s="196" t="s">
        <v>2637</v>
      </c>
      <c r="D462" s="33" t="s">
        <v>798</v>
      </c>
      <c r="E462" s="33" t="s">
        <v>2645</v>
      </c>
      <c r="F462" s="33">
        <v>1497</v>
      </c>
      <c r="G462" s="33">
        <v>1500</v>
      </c>
      <c r="H462" s="33" t="s">
        <v>2714</v>
      </c>
      <c r="I462" s="33">
        <v>5</v>
      </c>
      <c r="J462" s="33" t="s">
        <v>2697</v>
      </c>
      <c r="P462" s="196">
        <v>1</v>
      </c>
      <c r="Q462" s="33" t="s">
        <v>2715</v>
      </c>
      <c r="R462" s="33" t="s">
        <v>2718</v>
      </c>
      <c r="S462" s="33" t="s">
        <v>2900</v>
      </c>
      <c r="T462" s="33">
        <v>0</v>
      </c>
      <c r="U462" s="33" t="s">
        <v>2721</v>
      </c>
      <c r="V462" s="33">
        <v>21</v>
      </c>
      <c r="X462" s="33" t="s">
        <v>2923</v>
      </c>
      <c r="Y462" s="33">
        <v>15</v>
      </c>
      <c r="AD462" s="505">
        <v>0.03</v>
      </c>
      <c r="AE462" s="33">
        <v>27000</v>
      </c>
      <c r="AF462" s="33">
        <v>42000</v>
      </c>
      <c r="AG462" s="33"/>
    </row>
    <row r="463" spans="1:33" ht="13.5" customHeight="1">
      <c r="A463" s="182" t="s">
        <v>3413</v>
      </c>
      <c r="C463" s="196" t="s">
        <v>2637</v>
      </c>
      <c r="D463" s="33" t="s">
        <v>3418</v>
      </c>
      <c r="E463" s="33" t="s">
        <v>3417</v>
      </c>
      <c r="F463" s="33">
        <v>1497</v>
      </c>
      <c r="G463" s="33">
        <v>1500</v>
      </c>
      <c r="H463" s="33" t="s">
        <v>142</v>
      </c>
      <c r="I463" s="33">
        <v>5</v>
      </c>
      <c r="J463" s="33" t="s">
        <v>3419</v>
      </c>
      <c r="P463" s="196">
        <v>1</v>
      </c>
      <c r="Q463" s="33" t="s">
        <v>117</v>
      </c>
      <c r="R463" s="33" t="s">
        <v>2563</v>
      </c>
      <c r="S463" s="33" t="s">
        <v>2900</v>
      </c>
      <c r="V463" s="660">
        <v>18</v>
      </c>
      <c r="X463" s="660" t="s">
        <v>3423</v>
      </c>
      <c r="Y463" s="33"/>
      <c r="AD463" s="724">
        <v>2.9940000000000001E-2</v>
      </c>
      <c r="AE463" s="33">
        <v>25000</v>
      </c>
      <c r="AF463" s="33">
        <v>43000</v>
      </c>
      <c r="AG463" s="33"/>
    </row>
    <row r="464" spans="1:33" ht="13.5" customHeight="1">
      <c r="A464" s="182" t="s">
        <v>3414</v>
      </c>
      <c r="C464" s="196" t="s">
        <v>2637</v>
      </c>
      <c r="D464" s="33" t="s">
        <v>3418</v>
      </c>
      <c r="E464" s="33" t="s">
        <v>3417</v>
      </c>
      <c r="F464" s="33">
        <v>1497</v>
      </c>
      <c r="G464" s="33">
        <v>1500</v>
      </c>
      <c r="H464" s="33" t="s">
        <v>142</v>
      </c>
      <c r="I464" s="33">
        <v>5</v>
      </c>
      <c r="J464" s="33" t="s">
        <v>3420</v>
      </c>
      <c r="P464" s="196">
        <v>1</v>
      </c>
      <c r="Q464" s="33" t="s">
        <v>117</v>
      </c>
      <c r="R464" s="33" t="s">
        <v>2563</v>
      </c>
      <c r="S464" s="33" t="s">
        <v>2900</v>
      </c>
      <c r="V464" s="660">
        <v>18</v>
      </c>
      <c r="X464" s="660" t="s">
        <v>3423</v>
      </c>
      <c r="Y464" s="33"/>
      <c r="AD464" s="724">
        <v>2.9940000000000001E-2</v>
      </c>
      <c r="AE464" s="33">
        <v>25000</v>
      </c>
      <c r="AF464" s="33">
        <v>43000</v>
      </c>
      <c r="AG464" s="33"/>
    </row>
    <row r="465" spans="1:33" ht="13.5" customHeight="1">
      <c r="A465" s="182" t="s">
        <v>3415</v>
      </c>
      <c r="C465" s="196" t="s">
        <v>2637</v>
      </c>
      <c r="D465" s="33" t="s">
        <v>3418</v>
      </c>
      <c r="E465" s="33" t="s">
        <v>3417</v>
      </c>
      <c r="F465" s="33">
        <v>1497</v>
      </c>
      <c r="G465" s="33">
        <v>1500</v>
      </c>
      <c r="H465" s="33" t="s">
        <v>142</v>
      </c>
      <c r="I465" s="33">
        <v>5</v>
      </c>
      <c r="J465" s="33" t="s">
        <v>3421</v>
      </c>
      <c r="P465" s="196">
        <v>1</v>
      </c>
      <c r="Q465" s="33" t="s">
        <v>117</v>
      </c>
      <c r="R465" s="33" t="s">
        <v>2563</v>
      </c>
      <c r="S465" s="33" t="s">
        <v>2900</v>
      </c>
      <c r="V465" s="660">
        <v>18</v>
      </c>
      <c r="X465" s="660" t="s">
        <v>3423</v>
      </c>
      <c r="Y465" s="33"/>
      <c r="AD465" s="724">
        <v>2.9940000000000001E-2</v>
      </c>
      <c r="AE465" s="33">
        <v>25000</v>
      </c>
      <c r="AF465" s="33">
        <v>43000</v>
      </c>
      <c r="AG465" s="33"/>
    </row>
    <row r="466" spans="1:33" ht="13.5" customHeight="1">
      <c r="A466" s="182" t="s">
        <v>3416</v>
      </c>
      <c r="C466" s="196" t="s">
        <v>2637</v>
      </c>
      <c r="D466" s="33" t="s">
        <v>3418</v>
      </c>
      <c r="E466" s="33" t="s">
        <v>3417</v>
      </c>
      <c r="F466" s="33">
        <v>1497</v>
      </c>
      <c r="G466" s="33">
        <v>1500</v>
      </c>
      <c r="H466" s="33" t="s">
        <v>142</v>
      </c>
      <c r="I466" s="33">
        <v>5</v>
      </c>
      <c r="J466" s="33" t="s">
        <v>3422</v>
      </c>
      <c r="P466" s="196">
        <v>1</v>
      </c>
      <c r="Q466" s="33" t="s">
        <v>117</v>
      </c>
      <c r="R466" s="33" t="s">
        <v>2563</v>
      </c>
      <c r="S466" s="33" t="s">
        <v>2900</v>
      </c>
      <c r="V466" s="660">
        <v>18</v>
      </c>
      <c r="X466" s="660" t="s">
        <v>3423</v>
      </c>
      <c r="Y466" s="33"/>
      <c r="AD466" s="724">
        <v>2.9940000000000001E-2</v>
      </c>
      <c r="AE466" s="33">
        <v>25000</v>
      </c>
      <c r="AF466" s="33">
        <v>43000</v>
      </c>
      <c r="AG466" s="33"/>
    </row>
    <row r="467" spans="1:33" ht="13.5" customHeight="1">
      <c r="A467" s="182" t="s">
        <v>3263</v>
      </c>
      <c r="C467" s="196" t="s">
        <v>2638</v>
      </c>
      <c r="D467" s="33" t="s">
        <v>1150</v>
      </c>
      <c r="E467" s="33" t="s">
        <v>3267</v>
      </c>
      <c r="F467" s="33">
        <v>1997</v>
      </c>
      <c r="G467" s="33">
        <v>2000</v>
      </c>
      <c r="H467" s="33" t="s">
        <v>2714</v>
      </c>
      <c r="I467" s="33">
        <v>5</v>
      </c>
      <c r="J467" s="33" t="s">
        <v>2701</v>
      </c>
      <c r="P467" s="196">
        <v>1</v>
      </c>
      <c r="Q467" s="33" t="s">
        <v>2715</v>
      </c>
      <c r="R467" s="33" t="s">
        <v>2718</v>
      </c>
      <c r="S467" s="33" t="s">
        <v>2901</v>
      </c>
      <c r="T467" s="33">
        <v>1</v>
      </c>
      <c r="U467" s="33" t="s">
        <v>1637</v>
      </c>
      <c r="V467" s="33">
        <v>16</v>
      </c>
      <c r="X467" s="33" t="s">
        <v>2919</v>
      </c>
      <c r="Y467" s="33">
        <v>13</v>
      </c>
      <c r="AD467" s="505">
        <v>0.12</v>
      </c>
      <c r="AE467" s="33">
        <v>18000</v>
      </c>
      <c r="AF467" s="33">
        <v>32000</v>
      </c>
      <c r="AG467" s="33"/>
    </row>
    <row r="468" spans="1:33" ht="13.5" customHeight="1">
      <c r="A468" s="182" t="s">
        <v>3264</v>
      </c>
      <c r="C468" s="196" t="s">
        <v>2638</v>
      </c>
      <c r="D468" s="33" t="s">
        <v>1150</v>
      </c>
      <c r="E468" s="33" t="s">
        <v>3267</v>
      </c>
      <c r="F468" s="33">
        <v>1997</v>
      </c>
      <c r="G468" s="33">
        <v>2000</v>
      </c>
      <c r="H468" s="33" t="s">
        <v>2714</v>
      </c>
      <c r="I468" s="33">
        <v>5</v>
      </c>
      <c r="J468" s="33" t="s">
        <v>2700</v>
      </c>
      <c r="P468" s="196">
        <v>1</v>
      </c>
      <c r="Q468" s="33" t="s">
        <v>2715</v>
      </c>
      <c r="R468" s="33" t="s">
        <v>2718</v>
      </c>
      <c r="S468" s="33" t="s">
        <v>2901</v>
      </c>
      <c r="T468" s="33">
        <v>1</v>
      </c>
      <c r="U468" s="33" t="s">
        <v>1637</v>
      </c>
      <c r="V468" s="33">
        <v>16</v>
      </c>
      <c r="X468" s="33" t="s">
        <v>2919</v>
      </c>
      <c r="Y468" s="33">
        <v>13</v>
      </c>
      <c r="AD468" s="505">
        <v>0.12</v>
      </c>
      <c r="AE468" s="33">
        <v>18000</v>
      </c>
      <c r="AF468" s="33">
        <v>32000</v>
      </c>
      <c r="AG468" s="33"/>
    </row>
    <row r="469" spans="1:33" ht="13.5" customHeight="1">
      <c r="A469" s="182" t="s">
        <v>3265</v>
      </c>
      <c r="C469" s="196" t="s">
        <v>2638</v>
      </c>
      <c r="D469" s="33" t="s">
        <v>1150</v>
      </c>
      <c r="E469" s="33" t="s">
        <v>3267</v>
      </c>
      <c r="F469" s="33">
        <v>1998</v>
      </c>
      <c r="G469" s="33">
        <v>2000</v>
      </c>
      <c r="H469" s="33" t="s">
        <v>165</v>
      </c>
      <c r="I469" s="33">
        <v>5</v>
      </c>
      <c r="J469" s="33" t="s">
        <v>2698</v>
      </c>
      <c r="P469" s="196">
        <v>1</v>
      </c>
      <c r="Q469" s="33" t="s">
        <v>2715</v>
      </c>
      <c r="R469" s="33" t="s">
        <v>2718</v>
      </c>
      <c r="S469" s="33" t="s">
        <v>2901</v>
      </c>
      <c r="T469" s="33">
        <v>1</v>
      </c>
      <c r="U469" s="33" t="s">
        <v>1636</v>
      </c>
      <c r="V469" s="33">
        <v>16</v>
      </c>
      <c r="X469" s="33" t="s">
        <v>2922</v>
      </c>
      <c r="Y469" s="33">
        <v>13</v>
      </c>
      <c r="AD469" s="505">
        <v>0.12</v>
      </c>
      <c r="AE469" s="33">
        <v>19000</v>
      </c>
      <c r="AF469" s="33">
        <v>33000</v>
      </c>
      <c r="AG469" s="33"/>
    </row>
    <row r="470" spans="1:33" ht="13.5" customHeight="1">
      <c r="A470" s="182" t="s">
        <v>3266</v>
      </c>
      <c r="C470" s="196" t="s">
        <v>2638</v>
      </c>
      <c r="D470" s="33" t="s">
        <v>1150</v>
      </c>
      <c r="E470" s="33" t="s">
        <v>3267</v>
      </c>
      <c r="F470" s="33">
        <v>1998</v>
      </c>
      <c r="G470" s="33">
        <v>2000</v>
      </c>
      <c r="H470" s="33" t="s">
        <v>165</v>
      </c>
      <c r="I470" s="33">
        <v>5</v>
      </c>
      <c r="J470" s="33" t="s">
        <v>2699</v>
      </c>
      <c r="P470" s="196">
        <v>1</v>
      </c>
      <c r="Q470" s="33" t="s">
        <v>2715</v>
      </c>
      <c r="R470" s="33" t="s">
        <v>2718</v>
      </c>
      <c r="S470" s="33" t="s">
        <v>2901</v>
      </c>
      <c r="T470" s="33">
        <v>1</v>
      </c>
      <c r="U470" s="33" t="s">
        <v>1636</v>
      </c>
      <c r="V470" s="33">
        <v>16</v>
      </c>
      <c r="X470" s="33" t="s">
        <v>2922</v>
      </c>
      <c r="Y470" s="33">
        <v>13</v>
      </c>
      <c r="AD470" s="505">
        <v>0.12</v>
      </c>
      <c r="AE470" s="33">
        <v>19000</v>
      </c>
      <c r="AF470" s="33">
        <v>33000</v>
      </c>
      <c r="AG470" s="33"/>
    </row>
    <row r="471" spans="1:33" ht="13.5" customHeight="1">
      <c r="A471" s="182" t="s">
        <v>3255</v>
      </c>
      <c r="C471" s="196" t="s">
        <v>2638</v>
      </c>
      <c r="D471" s="33" t="s">
        <v>3253</v>
      </c>
      <c r="E471" s="33" t="s">
        <v>3254</v>
      </c>
      <c r="F471" s="33">
        <v>1598</v>
      </c>
      <c r="G471" s="33">
        <v>1600</v>
      </c>
      <c r="H471" s="33" t="s">
        <v>2095</v>
      </c>
      <c r="I471" s="33">
        <v>5</v>
      </c>
      <c r="J471" s="33" t="s">
        <v>3255</v>
      </c>
      <c r="P471" s="196">
        <v>1</v>
      </c>
      <c r="Q471" s="33" t="s">
        <v>117</v>
      </c>
      <c r="R471" s="33" t="s">
        <v>2563</v>
      </c>
      <c r="S471" s="33" t="s">
        <v>2901</v>
      </c>
      <c r="T471" s="33">
        <v>1</v>
      </c>
      <c r="U471" s="33" t="s">
        <v>1636</v>
      </c>
      <c r="V471" s="33">
        <v>18</v>
      </c>
      <c r="X471" s="33" t="s">
        <v>2920</v>
      </c>
      <c r="Y471" s="713">
        <v>11</v>
      </c>
      <c r="AD471" s="777">
        <v>0</v>
      </c>
      <c r="AE471" s="33">
        <v>20000</v>
      </c>
      <c r="AF471" s="33">
        <v>35000</v>
      </c>
      <c r="AG471" s="33"/>
    </row>
    <row r="472" spans="1:33" ht="13.5" customHeight="1">
      <c r="A472" s="182" t="s">
        <v>3256</v>
      </c>
      <c r="C472" s="196" t="s">
        <v>2638</v>
      </c>
      <c r="D472" s="33" t="s">
        <v>3253</v>
      </c>
      <c r="E472" s="33" t="s">
        <v>3254</v>
      </c>
      <c r="F472" s="33">
        <v>1598</v>
      </c>
      <c r="G472" s="33">
        <v>1600</v>
      </c>
      <c r="H472" s="33" t="s">
        <v>2095</v>
      </c>
      <c r="I472" s="33">
        <v>5</v>
      </c>
      <c r="J472" s="33" t="s">
        <v>3256</v>
      </c>
      <c r="P472" s="196">
        <v>1</v>
      </c>
      <c r="Q472" s="33" t="s">
        <v>117</v>
      </c>
      <c r="R472" s="33" t="s">
        <v>2563</v>
      </c>
      <c r="S472" s="33" t="s">
        <v>2901</v>
      </c>
      <c r="T472" s="33">
        <v>1</v>
      </c>
      <c r="U472" s="33" t="s">
        <v>1636</v>
      </c>
      <c r="V472" s="33">
        <v>18</v>
      </c>
      <c r="X472" s="33" t="s">
        <v>2920</v>
      </c>
      <c r="Y472" s="713">
        <v>11</v>
      </c>
      <c r="AD472" s="777">
        <v>0</v>
      </c>
      <c r="AE472" s="33">
        <v>20000</v>
      </c>
      <c r="AF472" s="33">
        <v>35000</v>
      </c>
      <c r="AG472" s="33"/>
    </row>
    <row r="473" spans="1:33" ht="13.5" customHeight="1">
      <c r="A473" s="182" t="s">
        <v>3257</v>
      </c>
      <c r="C473" s="196" t="s">
        <v>2638</v>
      </c>
      <c r="D473" s="33" t="s">
        <v>3253</v>
      </c>
      <c r="E473" s="33" t="s">
        <v>3254</v>
      </c>
      <c r="F473" s="33">
        <v>1598</v>
      </c>
      <c r="G473" s="33">
        <v>1600</v>
      </c>
      <c r="H473" s="33" t="s">
        <v>2095</v>
      </c>
      <c r="I473" s="33">
        <v>5</v>
      </c>
      <c r="J473" s="33" t="s">
        <v>3257</v>
      </c>
      <c r="P473" s="196">
        <v>1</v>
      </c>
      <c r="Q473" s="33" t="s">
        <v>117</v>
      </c>
      <c r="R473" s="33" t="s">
        <v>2563</v>
      </c>
      <c r="S473" s="33" t="s">
        <v>2901</v>
      </c>
      <c r="T473" s="33">
        <v>1</v>
      </c>
      <c r="U473" s="33" t="s">
        <v>1636</v>
      </c>
      <c r="V473" s="33">
        <v>18</v>
      </c>
      <c r="X473" s="33" t="s">
        <v>2920</v>
      </c>
      <c r="Y473" s="713">
        <v>11</v>
      </c>
      <c r="AD473" s="777">
        <v>0</v>
      </c>
      <c r="AE473" s="33">
        <v>20000</v>
      </c>
      <c r="AF473" s="33">
        <v>35000</v>
      </c>
      <c r="AG473" s="33"/>
    </row>
    <row r="474" spans="1:33" ht="13.5" customHeight="1">
      <c r="A474" s="182" t="s">
        <v>3258</v>
      </c>
      <c r="C474" s="196" t="s">
        <v>2638</v>
      </c>
      <c r="D474" s="33" t="s">
        <v>3253</v>
      </c>
      <c r="E474" s="33" t="s">
        <v>3253</v>
      </c>
      <c r="F474" s="33">
        <v>1332</v>
      </c>
      <c r="G474" s="33">
        <v>1400</v>
      </c>
      <c r="H474" s="33" t="s">
        <v>142</v>
      </c>
      <c r="I474" s="33">
        <v>5</v>
      </c>
      <c r="J474" s="33" t="s">
        <v>3258</v>
      </c>
      <c r="P474" s="196">
        <v>1</v>
      </c>
      <c r="Q474" s="33" t="s">
        <v>117</v>
      </c>
      <c r="R474" s="33" t="s">
        <v>2563</v>
      </c>
      <c r="S474" s="33" t="s">
        <v>2901</v>
      </c>
      <c r="T474" s="33">
        <v>1</v>
      </c>
      <c r="U474" s="33" t="s">
        <v>1637</v>
      </c>
      <c r="V474" s="33">
        <v>18</v>
      </c>
      <c r="X474" s="33" t="s">
        <v>2920</v>
      </c>
      <c r="Y474" s="713">
        <v>12</v>
      </c>
      <c r="AD474" s="504">
        <v>0.13</v>
      </c>
      <c r="AE474" s="33">
        <v>18000</v>
      </c>
      <c r="AF474" s="33">
        <v>31000</v>
      </c>
      <c r="AG474" s="33"/>
    </row>
    <row r="475" spans="1:33" ht="13.5" customHeight="1">
      <c r="A475" s="182" t="s">
        <v>3259</v>
      </c>
      <c r="C475" s="196" t="s">
        <v>2638</v>
      </c>
      <c r="D475" s="33" t="s">
        <v>3253</v>
      </c>
      <c r="E475" s="33" t="s">
        <v>3253</v>
      </c>
      <c r="F475" s="33">
        <v>1598</v>
      </c>
      <c r="G475" s="33">
        <v>1600</v>
      </c>
      <c r="H475" s="33" t="s">
        <v>142</v>
      </c>
      <c r="I475" s="33">
        <v>5</v>
      </c>
      <c r="J475" s="33" t="s">
        <v>3259</v>
      </c>
      <c r="P475" s="196">
        <v>1</v>
      </c>
      <c r="Q475" s="33" t="s">
        <v>117</v>
      </c>
      <c r="R475" s="33" t="s">
        <v>2563</v>
      </c>
      <c r="S475" s="33" t="s">
        <v>2901</v>
      </c>
      <c r="T475" s="33">
        <v>1</v>
      </c>
      <c r="U475" s="33" t="s">
        <v>1637</v>
      </c>
      <c r="V475" s="33">
        <v>18</v>
      </c>
      <c r="X475" s="33" t="s">
        <v>2920</v>
      </c>
      <c r="Y475" s="713">
        <v>12</v>
      </c>
      <c r="AD475" s="504">
        <v>0.13</v>
      </c>
      <c r="AE475" s="33">
        <v>18000</v>
      </c>
      <c r="AF475" s="33">
        <v>31000</v>
      </c>
      <c r="AG475" s="33"/>
    </row>
    <row r="476" spans="1:33" ht="13.5" customHeight="1">
      <c r="A476" s="182" t="s">
        <v>3260</v>
      </c>
      <c r="C476" s="196" t="s">
        <v>2638</v>
      </c>
      <c r="D476" s="33" t="s">
        <v>3253</v>
      </c>
      <c r="E476" s="33" t="s">
        <v>3253</v>
      </c>
      <c r="F476" s="33">
        <v>1598</v>
      </c>
      <c r="G476" s="33">
        <v>1600</v>
      </c>
      <c r="H476" s="33" t="s">
        <v>142</v>
      </c>
      <c r="I476" s="33">
        <v>5</v>
      </c>
      <c r="J476" s="33" t="s">
        <v>3260</v>
      </c>
      <c r="P476" s="196">
        <v>1</v>
      </c>
      <c r="Q476" s="33" t="s">
        <v>117</v>
      </c>
      <c r="R476" s="33" t="s">
        <v>2563</v>
      </c>
      <c r="S476" s="33" t="s">
        <v>2901</v>
      </c>
      <c r="T476" s="33">
        <v>1</v>
      </c>
      <c r="U476" s="33" t="s">
        <v>1637</v>
      </c>
      <c r="V476" s="33">
        <v>18</v>
      </c>
      <c r="X476" s="33" t="s">
        <v>2920</v>
      </c>
      <c r="Y476" s="713">
        <v>12</v>
      </c>
      <c r="AD476" s="504">
        <v>0.13</v>
      </c>
      <c r="AE476" s="33">
        <v>18000</v>
      </c>
      <c r="AF476" s="33">
        <v>31000</v>
      </c>
      <c r="AG476" s="33"/>
    </row>
    <row r="477" spans="1:33" ht="13.5" customHeight="1">
      <c r="A477" s="182" t="s">
        <v>3261</v>
      </c>
      <c r="C477" s="196" t="s">
        <v>2638</v>
      </c>
      <c r="D477" s="33" t="s">
        <v>3253</v>
      </c>
      <c r="E477" s="33" t="s">
        <v>3253</v>
      </c>
      <c r="F477" s="33">
        <v>1598</v>
      </c>
      <c r="G477" s="33">
        <v>1600</v>
      </c>
      <c r="H477" s="33" t="s">
        <v>142</v>
      </c>
      <c r="I477" s="33">
        <v>5</v>
      </c>
      <c r="J477" s="33" t="s">
        <v>3261</v>
      </c>
      <c r="P477" s="196">
        <v>1</v>
      </c>
      <c r="Q477" s="33" t="s">
        <v>117</v>
      </c>
      <c r="R477" s="33" t="s">
        <v>2563</v>
      </c>
      <c r="S477" s="33" t="s">
        <v>2901</v>
      </c>
      <c r="T477" s="33">
        <v>1</v>
      </c>
      <c r="U477" s="33" t="s">
        <v>1637</v>
      </c>
      <c r="V477" s="33">
        <v>18</v>
      </c>
      <c r="X477" s="33" t="s">
        <v>2920</v>
      </c>
      <c r="Y477" s="713">
        <v>12</v>
      </c>
      <c r="AD477" s="504">
        <v>0.13</v>
      </c>
      <c r="AE477" s="33">
        <v>18000</v>
      </c>
      <c r="AF477" s="33">
        <v>31000</v>
      </c>
      <c r="AG477" s="33"/>
    </row>
    <row r="478" spans="1:33" ht="13.5" customHeight="1">
      <c r="A478" s="182" t="s">
        <v>3345</v>
      </c>
      <c r="C478" s="196" t="s">
        <v>2638</v>
      </c>
      <c r="D478" s="33" t="s">
        <v>301</v>
      </c>
      <c r="E478" s="33" t="s">
        <v>2647</v>
      </c>
      <c r="F478" s="33">
        <v>1998</v>
      </c>
      <c r="G478" s="33">
        <v>2000</v>
      </c>
      <c r="H478" s="33" t="s">
        <v>165</v>
      </c>
      <c r="I478" s="33">
        <v>5</v>
      </c>
      <c r="J478" s="33" t="s">
        <v>3346</v>
      </c>
      <c r="P478" s="196">
        <v>1</v>
      </c>
      <c r="Q478" s="33" t="s">
        <v>2715</v>
      </c>
      <c r="R478" s="33" t="s">
        <v>2719</v>
      </c>
      <c r="S478" s="33" t="s">
        <v>2901</v>
      </c>
      <c r="T478" s="33">
        <v>1</v>
      </c>
      <c r="U478" s="33" t="s">
        <v>2722</v>
      </c>
      <c r="V478" s="33">
        <v>22</v>
      </c>
      <c r="X478" s="33" t="s">
        <v>2922</v>
      </c>
      <c r="Y478" s="33">
        <v>18</v>
      </c>
      <c r="AD478" s="505">
        <v>0.05</v>
      </c>
      <c r="AE478" s="33">
        <v>17000</v>
      </c>
      <c r="AF478" s="33">
        <v>31000</v>
      </c>
      <c r="AG478" s="33"/>
    </row>
    <row r="479" spans="1:33" ht="13.5" customHeight="1">
      <c r="A479" s="182" t="s">
        <v>2668</v>
      </c>
      <c r="C479" s="196" t="s">
        <v>2638</v>
      </c>
      <c r="D479" s="33" t="s">
        <v>301</v>
      </c>
      <c r="E479" s="33" t="s">
        <v>2647</v>
      </c>
      <c r="F479" s="33">
        <v>1798</v>
      </c>
      <c r="G479" s="33">
        <v>1800</v>
      </c>
      <c r="H479" s="33" t="s">
        <v>2714</v>
      </c>
      <c r="I479" s="33">
        <v>5</v>
      </c>
      <c r="J479" s="33" t="s">
        <v>2703</v>
      </c>
      <c r="P479" s="196">
        <v>1</v>
      </c>
      <c r="Q479" s="33" t="s">
        <v>2715</v>
      </c>
      <c r="R479" s="33" t="s">
        <v>2719</v>
      </c>
      <c r="S479" s="33" t="s">
        <v>2901</v>
      </c>
      <c r="T479" s="33">
        <v>1</v>
      </c>
      <c r="U479" s="33" t="s">
        <v>1640</v>
      </c>
      <c r="V479" s="33">
        <v>22</v>
      </c>
      <c r="X479" s="33" t="s">
        <v>2920</v>
      </c>
      <c r="Y479" s="33">
        <v>18</v>
      </c>
      <c r="AD479" s="505">
        <v>0.05</v>
      </c>
      <c r="AE479" s="33">
        <v>17000</v>
      </c>
      <c r="AF479" s="33">
        <v>31000</v>
      </c>
      <c r="AG479" s="33"/>
    </row>
    <row r="480" spans="1:33" ht="13.5" customHeight="1">
      <c r="A480" s="182" t="s">
        <v>2669</v>
      </c>
      <c r="C480" s="196" t="s">
        <v>2638</v>
      </c>
      <c r="D480" s="33" t="s">
        <v>301</v>
      </c>
      <c r="E480" s="33" t="s">
        <v>2647</v>
      </c>
      <c r="F480" s="33">
        <v>1332</v>
      </c>
      <c r="G480" s="33">
        <v>1400</v>
      </c>
      <c r="H480" s="33" t="s">
        <v>2714</v>
      </c>
      <c r="I480" s="33">
        <v>5</v>
      </c>
      <c r="J480" s="33" t="s">
        <v>2702</v>
      </c>
      <c r="P480" s="196">
        <v>1</v>
      </c>
      <c r="Q480" s="33" t="s">
        <v>2715</v>
      </c>
      <c r="R480" s="33" t="s">
        <v>2720</v>
      </c>
      <c r="S480" s="33" t="s">
        <v>2901</v>
      </c>
      <c r="T480" s="33">
        <v>1</v>
      </c>
      <c r="U480" s="33" t="s">
        <v>1640</v>
      </c>
      <c r="V480" s="33">
        <v>22</v>
      </c>
      <c r="X480" s="33" t="s">
        <v>2920</v>
      </c>
      <c r="Y480" s="33">
        <v>18</v>
      </c>
      <c r="AD480" s="505">
        <v>0.05</v>
      </c>
      <c r="AE480" s="33">
        <v>17000</v>
      </c>
      <c r="AF480" s="33">
        <v>31000</v>
      </c>
      <c r="AG480" s="33"/>
    </row>
    <row r="481" spans="1:33" ht="13.5" customHeight="1">
      <c r="A481" s="182" t="s">
        <v>2670</v>
      </c>
      <c r="C481" s="196" t="s">
        <v>2638</v>
      </c>
      <c r="D481" s="33" t="s">
        <v>301</v>
      </c>
      <c r="E481" s="33" t="s">
        <v>2647</v>
      </c>
      <c r="F481" s="33">
        <v>1332</v>
      </c>
      <c r="G481" s="33">
        <v>1400</v>
      </c>
      <c r="H481" s="33" t="s">
        <v>2714</v>
      </c>
      <c r="I481" s="33">
        <v>5</v>
      </c>
      <c r="J481" s="33" t="s">
        <v>2704</v>
      </c>
      <c r="P481" s="196">
        <v>1</v>
      </c>
      <c r="Q481" s="33" t="s">
        <v>2715</v>
      </c>
      <c r="R481" s="33" t="s">
        <v>2720</v>
      </c>
      <c r="S481" s="33" t="s">
        <v>2901</v>
      </c>
      <c r="T481" s="33">
        <v>1</v>
      </c>
      <c r="U481" s="33" t="s">
        <v>1640</v>
      </c>
      <c r="V481" s="33">
        <v>22</v>
      </c>
      <c r="X481" s="33" t="s">
        <v>2920</v>
      </c>
      <c r="Y481" s="33">
        <v>18</v>
      </c>
      <c r="AD481" s="505">
        <v>0.05</v>
      </c>
      <c r="AE481" s="33">
        <v>17000</v>
      </c>
      <c r="AF481" s="33">
        <v>31000</v>
      </c>
      <c r="AG481" s="33"/>
    </row>
    <row r="482" spans="1:33" ht="13.5" customHeight="1">
      <c r="A482" s="182" t="s">
        <v>2671</v>
      </c>
      <c r="C482" s="196" t="s">
        <v>2638</v>
      </c>
      <c r="D482" s="33" t="s">
        <v>301</v>
      </c>
      <c r="E482" s="33" t="s">
        <v>2647</v>
      </c>
      <c r="F482" s="33">
        <v>1798</v>
      </c>
      <c r="G482" s="33">
        <v>1800</v>
      </c>
      <c r="H482" s="33" t="s">
        <v>2714</v>
      </c>
      <c r="I482" s="33">
        <v>5</v>
      </c>
      <c r="J482" s="33" t="s">
        <v>2705</v>
      </c>
      <c r="P482" s="196">
        <v>1</v>
      </c>
      <c r="Q482" s="33" t="s">
        <v>2715</v>
      </c>
      <c r="R482" s="33" t="s">
        <v>2719</v>
      </c>
      <c r="S482" s="33" t="s">
        <v>2901</v>
      </c>
      <c r="T482" s="33">
        <v>1</v>
      </c>
      <c r="U482" s="33" t="s">
        <v>1640</v>
      </c>
      <c r="V482" s="33">
        <v>22</v>
      </c>
      <c r="X482" s="33" t="s">
        <v>2920</v>
      </c>
      <c r="Y482" s="33">
        <v>18</v>
      </c>
      <c r="AD482" s="505">
        <v>0.05</v>
      </c>
      <c r="AE482" s="33">
        <v>17000</v>
      </c>
      <c r="AF482" s="33">
        <v>31000</v>
      </c>
      <c r="AG482" s="33"/>
    </row>
    <row r="483" spans="1:33" ht="13.5" customHeight="1">
      <c r="A483" s="182" t="s">
        <v>3357</v>
      </c>
      <c r="C483" s="196" t="s">
        <v>2638</v>
      </c>
      <c r="D483" s="33" t="s">
        <v>3364</v>
      </c>
      <c r="E483" s="33" t="s">
        <v>3365</v>
      </c>
      <c r="F483" s="33">
        <v>1499</v>
      </c>
      <c r="G483" s="33">
        <v>1500</v>
      </c>
      <c r="H483" s="33" t="s">
        <v>2095</v>
      </c>
      <c r="I483" s="33">
        <v>5</v>
      </c>
      <c r="J483" s="33" t="s">
        <v>3366</v>
      </c>
      <c r="P483" s="196">
        <v>1</v>
      </c>
      <c r="Q483" s="33" t="s">
        <v>117</v>
      </c>
      <c r="R483" s="33" t="s">
        <v>2563</v>
      </c>
      <c r="S483" s="33" t="s">
        <v>2901</v>
      </c>
      <c r="T483" s="33">
        <v>1</v>
      </c>
      <c r="V483" s="33">
        <v>16</v>
      </c>
      <c r="X483" s="33" t="s">
        <v>3374</v>
      </c>
      <c r="Y483" s="33">
        <v>8</v>
      </c>
      <c r="AD483" s="776">
        <v>0</v>
      </c>
      <c r="AE483" s="33">
        <v>20000</v>
      </c>
      <c r="AF483" s="33">
        <v>35000</v>
      </c>
      <c r="AG483" s="33"/>
    </row>
    <row r="484" spans="1:33" ht="13.5" customHeight="1">
      <c r="A484" s="182" t="s">
        <v>3361</v>
      </c>
      <c r="C484" s="196" t="s">
        <v>2638</v>
      </c>
      <c r="D484" s="33" t="s">
        <v>3364</v>
      </c>
      <c r="E484" s="33" t="s">
        <v>3364</v>
      </c>
      <c r="F484" s="33">
        <v>1969</v>
      </c>
      <c r="G484" s="33">
        <v>2000</v>
      </c>
      <c r="H484" s="33" t="s">
        <v>142</v>
      </c>
      <c r="I484" s="33">
        <v>5</v>
      </c>
      <c r="J484" s="33" t="s">
        <v>3370</v>
      </c>
      <c r="P484" s="196">
        <v>1</v>
      </c>
      <c r="Q484" s="33" t="s">
        <v>117</v>
      </c>
      <c r="R484" s="33" t="s">
        <v>2563</v>
      </c>
      <c r="S484" s="33" t="s">
        <v>2901</v>
      </c>
      <c r="T484" s="33">
        <v>1</v>
      </c>
      <c r="V484" s="33">
        <v>16</v>
      </c>
      <c r="X484" s="33" t="s">
        <v>3374</v>
      </c>
      <c r="Y484" s="713">
        <v>11</v>
      </c>
      <c r="AD484" s="776">
        <v>0</v>
      </c>
      <c r="AE484" s="33">
        <v>18000</v>
      </c>
      <c r="AF484" s="33">
        <v>31000</v>
      </c>
      <c r="AG484" s="33"/>
    </row>
    <row r="485" spans="1:33" ht="13.5" customHeight="1">
      <c r="A485" s="182" t="s">
        <v>3358</v>
      </c>
      <c r="C485" s="196" t="s">
        <v>2638</v>
      </c>
      <c r="D485" s="33" t="s">
        <v>3364</v>
      </c>
      <c r="E485" s="33" t="s">
        <v>3365</v>
      </c>
      <c r="F485" s="33">
        <v>1499</v>
      </c>
      <c r="G485" s="33">
        <v>1500</v>
      </c>
      <c r="H485" s="33" t="s">
        <v>2095</v>
      </c>
      <c r="I485" s="33">
        <v>5</v>
      </c>
      <c r="J485" s="33" t="s">
        <v>3367</v>
      </c>
      <c r="P485" s="196">
        <v>1</v>
      </c>
      <c r="Q485" s="33" t="s">
        <v>117</v>
      </c>
      <c r="R485" s="33" t="s">
        <v>2563</v>
      </c>
      <c r="S485" s="33" t="s">
        <v>2901</v>
      </c>
      <c r="T485" s="33">
        <v>1</v>
      </c>
      <c r="V485" s="33">
        <v>16</v>
      </c>
      <c r="X485" s="33" t="s">
        <v>3374</v>
      </c>
      <c r="Y485" s="33">
        <v>8</v>
      </c>
      <c r="AD485" s="505">
        <v>0.03</v>
      </c>
      <c r="AE485" s="33">
        <v>20000</v>
      </c>
      <c r="AF485" s="33">
        <v>35000</v>
      </c>
      <c r="AG485" s="33"/>
    </row>
    <row r="486" spans="1:33" ht="13.5" customHeight="1">
      <c r="A486" s="182" t="s">
        <v>3359</v>
      </c>
      <c r="C486" s="196" t="s">
        <v>2638</v>
      </c>
      <c r="D486" s="33" t="s">
        <v>3364</v>
      </c>
      <c r="E486" s="33" t="s">
        <v>3365</v>
      </c>
      <c r="F486" s="33">
        <v>1499</v>
      </c>
      <c r="G486" s="33">
        <v>1500</v>
      </c>
      <c r="H486" s="33" t="s">
        <v>2095</v>
      </c>
      <c r="I486" s="33">
        <v>5</v>
      </c>
      <c r="J486" s="33" t="s">
        <v>3368</v>
      </c>
      <c r="P486" s="196">
        <v>1</v>
      </c>
      <c r="Q486" s="33" t="s">
        <v>117</v>
      </c>
      <c r="R486" s="33" t="s">
        <v>2563</v>
      </c>
      <c r="S486" s="33" t="s">
        <v>2901</v>
      </c>
      <c r="T486" s="33">
        <v>1</v>
      </c>
      <c r="V486" s="33">
        <v>16</v>
      </c>
      <c r="X486" s="33" t="s">
        <v>3374</v>
      </c>
      <c r="Y486" s="33">
        <v>8</v>
      </c>
      <c r="AD486" s="505">
        <v>0.03</v>
      </c>
      <c r="AE486" s="33">
        <v>20000</v>
      </c>
      <c r="AF486" s="33">
        <v>35000</v>
      </c>
      <c r="AG486" s="33"/>
    </row>
    <row r="487" spans="1:33" ht="13.5" customHeight="1">
      <c r="A487" s="182" t="s">
        <v>3360</v>
      </c>
      <c r="C487" s="196" t="s">
        <v>2638</v>
      </c>
      <c r="D487" s="33" t="s">
        <v>3364</v>
      </c>
      <c r="E487" s="33" t="s">
        <v>3364</v>
      </c>
      <c r="F487" s="33">
        <v>1969</v>
      </c>
      <c r="G487" s="33">
        <v>2000</v>
      </c>
      <c r="H487" s="33" t="s">
        <v>142</v>
      </c>
      <c r="I487" s="33">
        <v>5</v>
      </c>
      <c r="J487" s="33" t="s">
        <v>3369</v>
      </c>
      <c r="P487" s="196">
        <v>1</v>
      </c>
      <c r="Q487" s="33" t="s">
        <v>117</v>
      </c>
      <c r="R487" s="33" t="s">
        <v>2563</v>
      </c>
      <c r="S487" s="33" t="s">
        <v>2901</v>
      </c>
      <c r="T487" s="33">
        <v>1</v>
      </c>
      <c r="V487" s="33">
        <v>16</v>
      </c>
      <c r="X487" s="33" t="s">
        <v>3374</v>
      </c>
      <c r="Y487" s="713">
        <v>11</v>
      </c>
      <c r="AD487" s="505">
        <v>0.03</v>
      </c>
      <c r="AE487" s="33">
        <v>18000</v>
      </c>
      <c r="AF487" s="33">
        <v>31000</v>
      </c>
      <c r="AG487" s="33"/>
    </row>
    <row r="488" spans="1:33" ht="13.5" customHeight="1">
      <c r="A488" s="182" t="s">
        <v>3362</v>
      </c>
      <c r="C488" s="196" t="s">
        <v>2638</v>
      </c>
      <c r="D488" s="33" t="s">
        <v>3364</v>
      </c>
      <c r="E488" s="33" t="s">
        <v>3364</v>
      </c>
      <c r="F488" s="33">
        <v>1969</v>
      </c>
      <c r="G488" s="33">
        <v>2000</v>
      </c>
      <c r="H488" s="33" t="s">
        <v>142</v>
      </c>
      <c r="I488" s="33">
        <v>5</v>
      </c>
      <c r="J488" s="33" t="s">
        <v>3371</v>
      </c>
      <c r="P488" s="196">
        <v>1</v>
      </c>
      <c r="Q488" s="33" t="s">
        <v>117</v>
      </c>
      <c r="R488" s="33" t="s">
        <v>2563</v>
      </c>
      <c r="S488" s="33" t="s">
        <v>2901</v>
      </c>
      <c r="T488" s="33">
        <v>1</v>
      </c>
      <c r="V488" s="33">
        <v>16</v>
      </c>
      <c r="X488" s="33" t="s">
        <v>3374</v>
      </c>
      <c r="Y488" s="713">
        <v>11</v>
      </c>
      <c r="AD488" s="505">
        <v>0.03</v>
      </c>
      <c r="AE488" s="33">
        <v>18000</v>
      </c>
      <c r="AF488" s="33">
        <v>31000</v>
      </c>
      <c r="AG488" s="33"/>
    </row>
    <row r="489" spans="1:33" ht="13.5" customHeight="1">
      <c r="A489" s="182" t="s">
        <v>3363</v>
      </c>
      <c r="C489" s="196" t="s">
        <v>2638</v>
      </c>
      <c r="D489" s="33" t="s">
        <v>3364</v>
      </c>
      <c r="E489" s="33" t="s">
        <v>3364</v>
      </c>
      <c r="F489" s="33">
        <v>1969</v>
      </c>
      <c r="G489" s="33">
        <v>2000</v>
      </c>
      <c r="H489" s="33" t="s">
        <v>142</v>
      </c>
      <c r="I489" s="33">
        <v>5</v>
      </c>
      <c r="J489" s="33" t="s">
        <v>3372</v>
      </c>
      <c r="P489" s="196">
        <v>1</v>
      </c>
      <c r="Q489" s="33" t="s">
        <v>117</v>
      </c>
      <c r="R489" s="33" t="s">
        <v>2563</v>
      </c>
      <c r="S489" s="33" t="s">
        <v>2901</v>
      </c>
      <c r="T489" s="33">
        <v>1</v>
      </c>
      <c r="V489" s="33">
        <v>16</v>
      </c>
      <c r="X489" s="33" t="s">
        <v>3374</v>
      </c>
      <c r="Y489" s="713">
        <v>11</v>
      </c>
      <c r="AD489" s="505">
        <v>0.03</v>
      </c>
      <c r="AE489" s="33">
        <v>18000</v>
      </c>
      <c r="AF489" s="33">
        <v>31000</v>
      </c>
      <c r="AG489" s="33"/>
    </row>
    <row r="490" spans="1:33" ht="13.5" customHeight="1">
      <c r="A490" s="182" t="s">
        <v>2672</v>
      </c>
      <c r="C490" s="196" t="s">
        <v>2639</v>
      </c>
      <c r="D490" s="33" t="s">
        <v>805</v>
      </c>
      <c r="E490" s="33" t="s">
        <v>2648</v>
      </c>
      <c r="F490" s="33">
        <v>1199</v>
      </c>
      <c r="G490" s="33">
        <v>1200</v>
      </c>
      <c r="H490" s="33" t="s">
        <v>2714</v>
      </c>
      <c r="I490" s="33">
        <v>5</v>
      </c>
      <c r="J490" s="33" t="s">
        <v>3268</v>
      </c>
      <c r="P490" s="196">
        <v>1</v>
      </c>
      <c r="Q490" s="33" t="s">
        <v>2715</v>
      </c>
      <c r="R490" s="33" t="s">
        <v>2563</v>
      </c>
      <c r="S490" s="33" t="s">
        <v>2902</v>
      </c>
      <c r="T490" s="33">
        <v>0</v>
      </c>
      <c r="U490" s="33" t="s">
        <v>2723</v>
      </c>
      <c r="V490" s="33">
        <v>18</v>
      </c>
      <c r="X490" s="33" t="s">
        <v>2921</v>
      </c>
      <c r="Y490" s="713">
        <v>13</v>
      </c>
      <c r="AD490" s="504">
        <v>7.0000000000000007E-2</v>
      </c>
      <c r="AE490" s="33">
        <v>17000</v>
      </c>
      <c r="AF490" s="33">
        <v>28000</v>
      </c>
      <c r="AG490" s="33"/>
    </row>
    <row r="491" spans="1:33" ht="13.5" customHeight="1">
      <c r="A491" s="182" t="s">
        <v>3243</v>
      </c>
      <c r="C491" s="196" t="s">
        <v>2639</v>
      </c>
      <c r="D491" s="33" t="s">
        <v>805</v>
      </c>
      <c r="E491" s="33" t="s">
        <v>2648</v>
      </c>
      <c r="F491" s="33">
        <v>1199</v>
      </c>
      <c r="G491" s="33">
        <v>1200</v>
      </c>
      <c r="H491" s="33" t="s">
        <v>2714</v>
      </c>
      <c r="I491" s="33">
        <v>5</v>
      </c>
      <c r="J491" s="33" t="s">
        <v>2706</v>
      </c>
      <c r="P491" s="196">
        <v>1</v>
      </c>
      <c r="Q491" s="33" t="s">
        <v>2715</v>
      </c>
      <c r="R491" s="33" t="s">
        <v>2563</v>
      </c>
      <c r="S491" s="33" t="s">
        <v>2902</v>
      </c>
      <c r="T491" s="33">
        <v>0</v>
      </c>
      <c r="U491" s="33" t="s">
        <v>2723</v>
      </c>
      <c r="V491" s="33">
        <v>18</v>
      </c>
      <c r="X491" s="33" t="s">
        <v>2921</v>
      </c>
      <c r="Y491" s="713">
        <v>13</v>
      </c>
      <c r="AD491" s="504">
        <v>7.0000000000000007E-2</v>
      </c>
      <c r="AE491" s="33">
        <v>17000</v>
      </c>
      <c r="AF491" s="33">
        <v>28000</v>
      </c>
      <c r="AG491" s="33"/>
    </row>
    <row r="492" spans="1:33" ht="13.5" customHeight="1">
      <c r="A492" s="182" t="s">
        <v>2673</v>
      </c>
      <c r="C492" s="196" t="s">
        <v>2639</v>
      </c>
      <c r="D492" s="33" t="s">
        <v>805</v>
      </c>
      <c r="E492" s="33" t="s">
        <v>2648</v>
      </c>
      <c r="F492" s="33">
        <v>1199</v>
      </c>
      <c r="G492" s="33">
        <v>1200</v>
      </c>
      <c r="H492" s="33" t="s">
        <v>2714</v>
      </c>
      <c r="I492" s="33">
        <v>5</v>
      </c>
      <c r="J492" s="33" t="s">
        <v>2707</v>
      </c>
      <c r="P492" s="196">
        <v>1</v>
      </c>
      <c r="Q492" s="33" t="s">
        <v>2715</v>
      </c>
      <c r="R492" s="33" t="s">
        <v>2563</v>
      </c>
      <c r="S492" s="33" t="s">
        <v>2902</v>
      </c>
      <c r="T492" s="33">
        <v>0</v>
      </c>
      <c r="U492" s="33" t="s">
        <v>2723</v>
      </c>
      <c r="V492" s="33">
        <v>18</v>
      </c>
      <c r="X492" s="33" t="s">
        <v>2921</v>
      </c>
      <c r="Y492" s="713">
        <v>13</v>
      </c>
      <c r="AD492" s="504">
        <v>7.0000000000000007E-2</v>
      </c>
      <c r="AE492" s="33">
        <v>17000</v>
      </c>
      <c r="AF492" s="33">
        <v>28000</v>
      </c>
      <c r="AG492" s="33"/>
    </row>
    <row r="493" spans="1:33" ht="13.5" customHeight="1">
      <c r="A493" s="182" t="s">
        <v>2674</v>
      </c>
      <c r="C493" s="196" t="s">
        <v>2639</v>
      </c>
      <c r="D493" s="33" t="s">
        <v>843</v>
      </c>
      <c r="E493" s="33" t="s">
        <v>2649</v>
      </c>
      <c r="F493" s="33">
        <v>1341</v>
      </c>
      <c r="G493" s="33">
        <v>1400</v>
      </c>
      <c r="H493" s="33" t="s">
        <v>2714</v>
      </c>
      <c r="I493" s="33">
        <v>5</v>
      </c>
      <c r="J493" s="33" t="s">
        <v>2708</v>
      </c>
      <c r="P493" s="196">
        <v>1</v>
      </c>
      <c r="Q493" s="33" t="s">
        <v>2715</v>
      </c>
      <c r="R493" s="33" t="s">
        <v>2563</v>
      </c>
      <c r="S493" s="33" t="s">
        <v>2903</v>
      </c>
      <c r="T493" s="33">
        <v>0</v>
      </c>
      <c r="U493" s="33" t="s">
        <v>2724</v>
      </c>
      <c r="V493" s="33">
        <v>21</v>
      </c>
      <c r="X493" s="33" t="s">
        <v>2927</v>
      </c>
      <c r="Y493" s="713">
        <v>13</v>
      </c>
      <c r="AD493" s="505">
        <v>0.13</v>
      </c>
      <c r="AE493" s="33">
        <v>15000</v>
      </c>
      <c r="AF493" s="33">
        <v>26000</v>
      </c>
      <c r="AG493" s="33"/>
    </row>
    <row r="494" spans="1:33" ht="13.5" customHeight="1">
      <c r="A494" s="182" t="s">
        <v>2675</v>
      </c>
      <c r="C494" s="196" t="s">
        <v>2639</v>
      </c>
      <c r="D494" s="33" t="s">
        <v>843</v>
      </c>
      <c r="E494" s="33" t="s">
        <v>2649</v>
      </c>
      <c r="F494" s="33">
        <v>1341</v>
      </c>
      <c r="G494" s="33">
        <v>1400</v>
      </c>
      <c r="H494" s="33" t="s">
        <v>2714</v>
      </c>
      <c r="I494" s="33">
        <v>5</v>
      </c>
      <c r="J494" s="33" t="s">
        <v>2709</v>
      </c>
      <c r="P494" s="196">
        <v>1</v>
      </c>
      <c r="Q494" s="33" t="s">
        <v>2715</v>
      </c>
      <c r="R494" s="33" t="s">
        <v>2563</v>
      </c>
      <c r="S494" s="33" t="s">
        <v>2903</v>
      </c>
      <c r="T494" s="33">
        <v>0</v>
      </c>
      <c r="U494" s="33" t="s">
        <v>2724</v>
      </c>
      <c r="V494" s="33">
        <v>21</v>
      </c>
      <c r="X494" s="33" t="s">
        <v>2927</v>
      </c>
      <c r="Y494" s="713">
        <v>13</v>
      </c>
      <c r="AD494" s="505">
        <v>0.13</v>
      </c>
      <c r="AE494" s="33">
        <v>15000</v>
      </c>
      <c r="AF494" s="33">
        <v>26000</v>
      </c>
      <c r="AG494" s="33"/>
    </row>
    <row r="495" spans="1:33" ht="13.5" customHeight="1">
      <c r="A495" s="182" t="s">
        <v>2676</v>
      </c>
      <c r="C495" s="196" t="s">
        <v>2639</v>
      </c>
      <c r="D495" s="33" t="s">
        <v>843</v>
      </c>
      <c r="E495" s="33" t="s">
        <v>2649</v>
      </c>
      <c r="F495" s="33">
        <v>1341</v>
      </c>
      <c r="G495" s="33">
        <v>1400</v>
      </c>
      <c r="H495" s="33" t="s">
        <v>2714</v>
      </c>
      <c r="I495" s="33">
        <v>5</v>
      </c>
      <c r="J495" s="33" t="s">
        <v>2710</v>
      </c>
      <c r="P495" s="196">
        <v>1</v>
      </c>
      <c r="Q495" s="33" t="s">
        <v>2715</v>
      </c>
      <c r="R495" s="33" t="s">
        <v>2563</v>
      </c>
      <c r="S495" s="33" t="s">
        <v>2903</v>
      </c>
      <c r="T495" s="33">
        <v>0</v>
      </c>
      <c r="U495" s="33" t="s">
        <v>2724</v>
      </c>
      <c r="V495" s="33">
        <v>21</v>
      </c>
      <c r="X495" s="33" t="s">
        <v>2927</v>
      </c>
      <c r="Y495" s="713">
        <v>13</v>
      </c>
      <c r="AD495" s="505">
        <v>0.13</v>
      </c>
      <c r="AE495" s="33">
        <v>15000</v>
      </c>
      <c r="AF495" s="33">
        <v>26000</v>
      </c>
      <c r="AG495" s="33"/>
    </row>
    <row r="496" spans="1:33" ht="13.5" customHeight="1">
      <c r="A496" s="182" t="s">
        <v>2951</v>
      </c>
      <c r="C496" s="196" t="s">
        <v>2639</v>
      </c>
      <c r="D496" s="33" t="s">
        <v>843</v>
      </c>
      <c r="E496" s="33" t="s">
        <v>2649</v>
      </c>
      <c r="F496" s="33">
        <v>1341</v>
      </c>
      <c r="G496" s="33">
        <v>1400</v>
      </c>
      <c r="H496" s="33" t="s">
        <v>142</v>
      </c>
      <c r="I496" s="33">
        <v>5</v>
      </c>
      <c r="J496" s="33" t="s">
        <v>2952</v>
      </c>
      <c r="P496" s="196">
        <v>1</v>
      </c>
      <c r="Q496" s="33" t="s">
        <v>117</v>
      </c>
      <c r="R496" s="33" t="s">
        <v>2563</v>
      </c>
      <c r="S496" s="33" t="s">
        <v>2903</v>
      </c>
      <c r="T496" s="33">
        <v>0</v>
      </c>
      <c r="U496" s="33" t="s">
        <v>2724</v>
      </c>
      <c r="V496" s="33">
        <v>21</v>
      </c>
      <c r="X496" s="33" t="s">
        <v>2927</v>
      </c>
      <c r="Y496" s="713">
        <v>13</v>
      </c>
      <c r="AD496" s="505">
        <v>0.13</v>
      </c>
      <c r="AE496" s="33">
        <v>15000</v>
      </c>
      <c r="AF496" s="33">
        <v>26000</v>
      </c>
      <c r="AG496" s="33"/>
    </row>
    <row r="497" spans="1:33" ht="13.5" customHeight="1">
      <c r="A497" s="182" t="s">
        <v>2677</v>
      </c>
      <c r="C497" s="196" t="s">
        <v>2639</v>
      </c>
      <c r="D497" s="33" t="s">
        <v>843</v>
      </c>
      <c r="E497" s="33" t="s">
        <v>2649</v>
      </c>
      <c r="F497" s="33">
        <v>1341</v>
      </c>
      <c r="G497" s="33">
        <v>1400</v>
      </c>
      <c r="H497" s="33" t="s">
        <v>2714</v>
      </c>
      <c r="I497" s="33">
        <v>5</v>
      </c>
      <c r="J497" s="33" t="s">
        <v>2711</v>
      </c>
      <c r="P497" s="196">
        <v>1</v>
      </c>
      <c r="Q497" s="33" t="s">
        <v>2715</v>
      </c>
      <c r="R497" s="33" t="s">
        <v>2563</v>
      </c>
      <c r="S497" s="33" t="s">
        <v>2903</v>
      </c>
      <c r="T497" s="33">
        <v>0</v>
      </c>
      <c r="U497" s="33" t="s">
        <v>2724</v>
      </c>
      <c r="V497" s="33">
        <v>21</v>
      </c>
      <c r="X497" s="33" t="s">
        <v>2927</v>
      </c>
      <c r="Y497" s="713">
        <v>13</v>
      </c>
      <c r="AD497" s="505">
        <v>0.13</v>
      </c>
      <c r="AE497" s="33">
        <v>15000</v>
      </c>
      <c r="AF497" s="33">
        <v>26000</v>
      </c>
      <c r="AG497" s="33"/>
    </row>
    <row r="498" spans="1:33" ht="13.5" customHeight="1">
      <c r="A498" s="182" t="s">
        <v>2678</v>
      </c>
      <c r="C498" s="196" t="s">
        <v>2639</v>
      </c>
      <c r="D498" s="33" t="s">
        <v>843</v>
      </c>
      <c r="E498" s="33" t="s">
        <v>2649</v>
      </c>
      <c r="F498" s="33">
        <v>1341</v>
      </c>
      <c r="G498" s="33">
        <v>1400</v>
      </c>
      <c r="H498" s="33" t="s">
        <v>2714</v>
      </c>
      <c r="I498" s="33">
        <v>5</v>
      </c>
      <c r="J498" s="33" t="s">
        <v>2712</v>
      </c>
      <c r="P498" s="196">
        <v>1</v>
      </c>
      <c r="Q498" s="33" t="s">
        <v>2715</v>
      </c>
      <c r="R498" s="33" t="s">
        <v>2563</v>
      </c>
      <c r="S498" s="33" t="s">
        <v>2903</v>
      </c>
      <c r="T498" s="33">
        <v>0</v>
      </c>
      <c r="U498" s="33" t="s">
        <v>2724</v>
      </c>
      <c r="V498" s="33">
        <v>21</v>
      </c>
      <c r="X498" s="33" t="s">
        <v>2927</v>
      </c>
      <c r="Y498" s="713">
        <v>13</v>
      </c>
      <c r="AD498" s="505">
        <v>0.13</v>
      </c>
      <c r="AE498" s="33">
        <v>15000</v>
      </c>
      <c r="AF498" s="33">
        <v>26000</v>
      </c>
      <c r="AG498" s="33"/>
    </row>
    <row r="499" spans="1:33" ht="13.5" customHeight="1">
      <c r="A499" s="182" t="s">
        <v>2679</v>
      </c>
      <c r="C499" s="196" t="s">
        <v>2639</v>
      </c>
      <c r="D499" s="33" t="s">
        <v>843</v>
      </c>
      <c r="E499" s="33" t="s">
        <v>2649</v>
      </c>
      <c r="F499" s="33">
        <v>1341</v>
      </c>
      <c r="G499" s="33">
        <v>1400</v>
      </c>
      <c r="H499" s="33" t="s">
        <v>2714</v>
      </c>
      <c r="I499" s="33">
        <v>5</v>
      </c>
      <c r="J499" s="33" t="s">
        <v>2713</v>
      </c>
      <c r="P499" s="196">
        <v>1</v>
      </c>
      <c r="Q499" s="33" t="s">
        <v>2715</v>
      </c>
      <c r="R499" s="33" t="s">
        <v>2563</v>
      </c>
      <c r="S499" s="33" t="s">
        <v>2903</v>
      </c>
      <c r="T499" s="33">
        <v>0</v>
      </c>
      <c r="U499" s="33" t="s">
        <v>2724</v>
      </c>
      <c r="V499" s="33">
        <v>21</v>
      </c>
      <c r="X499" s="33" t="s">
        <v>2927</v>
      </c>
      <c r="Y499" s="713">
        <v>13</v>
      </c>
      <c r="AD499" s="505">
        <v>0.13</v>
      </c>
      <c r="AE499" s="33">
        <v>15000</v>
      </c>
      <c r="AF499" s="33">
        <v>26000</v>
      </c>
      <c r="AG499" s="33"/>
    </row>
    <row r="500" spans="1:33" ht="13.5" customHeight="1">
      <c r="A500" s="182" t="s">
        <v>2949</v>
      </c>
      <c r="C500" s="196" t="s">
        <v>2639</v>
      </c>
      <c r="D500" s="33" t="s">
        <v>843</v>
      </c>
      <c r="E500" s="33" t="s">
        <v>2649</v>
      </c>
      <c r="F500" s="33">
        <v>1341</v>
      </c>
      <c r="G500" s="33">
        <v>1400</v>
      </c>
      <c r="H500" s="33" t="s">
        <v>142</v>
      </c>
      <c r="I500" s="33">
        <v>5</v>
      </c>
      <c r="J500" s="33" t="s">
        <v>2950</v>
      </c>
      <c r="P500" s="196">
        <v>1</v>
      </c>
      <c r="Q500" s="33" t="s">
        <v>117</v>
      </c>
      <c r="R500" s="33" t="s">
        <v>2563</v>
      </c>
      <c r="S500" s="33" t="s">
        <v>2903</v>
      </c>
      <c r="T500" s="33">
        <v>0</v>
      </c>
      <c r="U500" s="33" t="s">
        <v>2724</v>
      </c>
      <c r="V500" s="33">
        <v>21</v>
      </c>
      <c r="X500" s="33" t="s">
        <v>2927</v>
      </c>
      <c r="Y500" s="713">
        <v>13</v>
      </c>
      <c r="AD500" s="505">
        <v>0.13</v>
      </c>
      <c r="AE500" s="33">
        <v>15000</v>
      </c>
      <c r="AF500" s="33">
        <v>26000</v>
      </c>
      <c r="AG500" s="33"/>
    </row>
    <row r="501" spans="1:33" ht="13.5">
      <c r="Y501" s="713">
        <v>9</v>
      </c>
      <c r="AG501" s="33"/>
    </row>
  </sheetData>
  <autoFilter ref="A2:AK501" xr:uid="{00000000-0009-0000-0000-00000E000000}"/>
  <sortState xmlns:xlrd2="http://schemas.microsoft.com/office/spreadsheetml/2017/richdata2" ref="A53:AC71">
    <sortCondition descending="1" ref="A53"/>
  </sortState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6"/>
  <dimension ref="A1:O1153"/>
  <sheetViews>
    <sheetView topLeftCell="A4" zoomScale="80" zoomScaleNormal="80" workbookViewId="0">
      <selection activeCell="F2" sqref="F2:H109"/>
    </sheetView>
  </sheetViews>
  <sheetFormatPr defaultColWidth="9" defaultRowHeight="16.5"/>
  <cols>
    <col min="1" max="2" width="8.125" style="36" bestFit="1" customWidth="1"/>
    <col min="3" max="3" width="22.75" style="36" bestFit="1" customWidth="1"/>
    <col min="4" max="4" width="11.875" style="36" bestFit="1" customWidth="1"/>
    <col min="5" max="5" width="31.75" style="36" bestFit="1" customWidth="1"/>
    <col min="6" max="8" width="14.875" style="36" customWidth="1"/>
    <col min="9" max="10" width="9" style="36"/>
    <col min="11" max="11" width="23.75" style="36" bestFit="1" customWidth="1"/>
    <col min="12" max="12" width="9.375" style="36" bestFit="1" customWidth="1"/>
    <col min="13" max="13" width="15.5" style="36" bestFit="1" customWidth="1"/>
    <col min="14" max="14" width="17.625" style="36" bestFit="1" customWidth="1"/>
    <col min="15" max="15" width="59.25" style="36" bestFit="1" customWidth="1"/>
    <col min="16" max="16384" width="9" style="36"/>
  </cols>
  <sheetData>
    <row r="1" spans="1:15">
      <c r="A1" s="45" t="s">
        <v>56</v>
      </c>
      <c r="B1" s="45" t="s">
        <v>57</v>
      </c>
      <c r="C1" s="45" t="s">
        <v>58</v>
      </c>
      <c r="D1" s="45" t="s">
        <v>61</v>
      </c>
      <c r="E1" s="45" t="s">
        <v>1401</v>
      </c>
      <c r="F1" s="46" t="s">
        <v>30</v>
      </c>
      <c r="G1" s="46" t="s">
        <v>1358</v>
      </c>
      <c r="H1" s="46" t="s">
        <v>1359</v>
      </c>
      <c r="I1" s="46" t="s">
        <v>1360</v>
      </c>
      <c r="K1" s="46" t="s">
        <v>127</v>
      </c>
      <c r="L1" s="46" t="s">
        <v>128</v>
      </c>
      <c r="M1" s="46" t="s">
        <v>129</v>
      </c>
      <c r="N1" s="46" t="s">
        <v>130</v>
      </c>
      <c r="O1" s="46" t="s">
        <v>131</v>
      </c>
    </row>
    <row r="2" spans="1:15" ht="16.5" customHeight="1">
      <c r="A2" s="42" t="s">
        <v>1355</v>
      </c>
      <c r="B2" s="43">
        <v>1</v>
      </c>
      <c r="C2" s="36" t="s">
        <v>132</v>
      </c>
      <c r="D2" s="43">
        <v>24</v>
      </c>
      <c r="E2" s="43" t="str">
        <f>A2&amp;C2&amp;D2</f>
        <v>일반형1000CC 이하24</v>
      </c>
      <c r="F2" s="44">
        <f>+G2+H2</f>
        <v>7700</v>
      </c>
      <c r="G2" s="44">
        <v>7000</v>
      </c>
      <c r="H2" s="44">
        <f>G2*0.1</f>
        <v>700</v>
      </c>
      <c r="I2" s="36" t="b">
        <f>H2+G2=F2</f>
        <v>1</v>
      </c>
      <c r="K2" s="36" t="s">
        <v>132</v>
      </c>
      <c r="L2" s="36" t="s">
        <v>133</v>
      </c>
      <c r="M2" s="36" t="s">
        <v>134</v>
      </c>
      <c r="N2" s="36" t="s">
        <v>62</v>
      </c>
      <c r="O2" s="36" t="s">
        <v>135</v>
      </c>
    </row>
    <row r="3" spans="1:15">
      <c r="A3" s="42" t="s">
        <v>1355</v>
      </c>
      <c r="B3" s="43">
        <v>2</v>
      </c>
      <c r="C3" s="36" t="s">
        <v>184</v>
      </c>
      <c r="D3" s="43">
        <v>24</v>
      </c>
      <c r="E3" s="43" t="str">
        <f t="shared" ref="E3:E66" si="0">A3&amp;C3&amp;D3</f>
        <v>일반형1600CC 이하24</v>
      </c>
      <c r="F3" s="44">
        <f t="shared" ref="F3:F66" si="1">+G3+H3</f>
        <v>7700</v>
      </c>
      <c r="G3" s="44">
        <v>7000</v>
      </c>
      <c r="H3" s="44">
        <f t="shared" ref="H3:H66" si="2">G3*0.1</f>
        <v>700</v>
      </c>
      <c r="I3" s="36" t="b">
        <f t="shared" ref="I3:I66" si="3">H3+G3=F3</f>
        <v>1</v>
      </c>
      <c r="K3" s="36" t="s">
        <v>132</v>
      </c>
      <c r="L3" s="36" t="s">
        <v>133</v>
      </c>
      <c r="M3" s="36" t="s">
        <v>136</v>
      </c>
      <c r="N3" s="36" t="s">
        <v>62</v>
      </c>
      <c r="O3" s="36" t="s">
        <v>137</v>
      </c>
    </row>
    <row r="4" spans="1:15">
      <c r="A4" s="42" t="s">
        <v>1355</v>
      </c>
      <c r="B4" s="43">
        <v>3</v>
      </c>
      <c r="C4" s="36" t="s">
        <v>312</v>
      </c>
      <c r="D4" s="43">
        <v>24</v>
      </c>
      <c r="E4" s="43" t="str">
        <f t="shared" si="0"/>
        <v>일반형2200CC 이하24</v>
      </c>
      <c r="F4" s="44">
        <f t="shared" si="1"/>
        <v>7700</v>
      </c>
      <c r="G4" s="44">
        <v>7000</v>
      </c>
      <c r="H4" s="44">
        <f t="shared" si="2"/>
        <v>700</v>
      </c>
      <c r="I4" s="36" t="b">
        <f t="shared" si="3"/>
        <v>1</v>
      </c>
      <c r="K4" s="36" t="s">
        <v>132</v>
      </c>
      <c r="L4" s="36" t="s">
        <v>133</v>
      </c>
      <c r="M4" s="36" t="s">
        <v>136</v>
      </c>
      <c r="N4" s="36" t="s">
        <v>62</v>
      </c>
      <c r="O4" s="36" t="s">
        <v>138</v>
      </c>
    </row>
    <row r="5" spans="1:15">
      <c r="A5" s="42" t="s">
        <v>1355</v>
      </c>
      <c r="B5" s="43">
        <v>4</v>
      </c>
      <c r="C5" s="36" t="s">
        <v>447</v>
      </c>
      <c r="D5" s="43">
        <v>24</v>
      </c>
      <c r="E5" s="43" t="str">
        <f t="shared" si="0"/>
        <v>일반형3200CC 이하24</v>
      </c>
      <c r="F5" s="44">
        <f t="shared" si="1"/>
        <v>7700</v>
      </c>
      <c r="G5" s="44">
        <v>7000</v>
      </c>
      <c r="H5" s="44">
        <f t="shared" si="2"/>
        <v>700</v>
      </c>
      <c r="I5" s="36" t="b">
        <f t="shared" si="3"/>
        <v>1</v>
      </c>
      <c r="K5" s="36" t="s">
        <v>132</v>
      </c>
      <c r="L5" s="36" t="s">
        <v>133</v>
      </c>
      <c r="M5" s="36" t="s">
        <v>136</v>
      </c>
      <c r="N5" s="36" t="s">
        <v>62</v>
      </c>
      <c r="O5" s="36" t="s">
        <v>139</v>
      </c>
    </row>
    <row r="6" spans="1:15">
      <c r="A6" s="42" t="s">
        <v>1355</v>
      </c>
      <c r="B6" s="43">
        <v>5</v>
      </c>
      <c r="C6" s="36" t="s">
        <v>508</v>
      </c>
      <c r="D6" s="43">
        <v>24</v>
      </c>
      <c r="E6" s="43" t="str">
        <f t="shared" si="0"/>
        <v>일반형3900CC 이하24</v>
      </c>
      <c r="F6" s="44">
        <f t="shared" si="1"/>
        <v>7700</v>
      </c>
      <c r="G6" s="44">
        <v>7000</v>
      </c>
      <c r="H6" s="44">
        <f t="shared" si="2"/>
        <v>700</v>
      </c>
      <c r="I6" s="36" t="b">
        <f t="shared" si="3"/>
        <v>1</v>
      </c>
      <c r="K6" s="36" t="s">
        <v>132</v>
      </c>
      <c r="L6" s="36" t="s">
        <v>133</v>
      </c>
      <c r="M6" s="36" t="s">
        <v>136</v>
      </c>
      <c r="N6" s="36" t="s">
        <v>62</v>
      </c>
      <c r="O6" s="36" t="s">
        <v>140</v>
      </c>
    </row>
    <row r="7" spans="1:15">
      <c r="A7" s="42" t="s">
        <v>1355</v>
      </c>
      <c r="B7" s="43">
        <v>6</v>
      </c>
      <c r="C7" s="36" t="s">
        <v>549</v>
      </c>
      <c r="D7" s="43">
        <v>24</v>
      </c>
      <c r="E7" s="43" t="str">
        <f t="shared" si="0"/>
        <v>일반형3900CC 초과24</v>
      </c>
      <c r="F7" s="44">
        <f t="shared" si="1"/>
        <v>7700</v>
      </c>
      <c r="G7" s="44">
        <v>7000</v>
      </c>
      <c r="H7" s="44">
        <f t="shared" si="2"/>
        <v>700</v>
      </c>
      <c r="I7" s="36" t="b">
        <f t="shared" si="3"/>
        <v>1</v>
      </c>
      <c r="K7" s="36" t="s">
        <v>132</v>
      </c>
      <c r="L7" s="36" t="s">
        <v>133</v>
      </c>
      <c r="M7" s="36" t="s">
        <v>136</v>
      </c>
      <c r="N7" s="36" t="s">
        <v>62</v>
      </c>
      <c r="O7" s="36" t="s">
        <v>141</v>
      </c>
    </row>
    <row r="8" spans="1:15">
      <c r="A8" s="42" t="s">
        <v>1355</v>
      </c>
      <c r="B8" s="43">
        <v>7</v>
      </c>
      <c r="C8" s="36" t="s">
        <v>804</v>
      </c>
      <c r="D8" s="43">
        <v>24</v>
      </c>
      <c r="E8" s="43" t="str">
        <f t="shared" si="0"/>
        <v>일반형RV저가형(2000CC 이하)24</v>
      </c>
      <c r="F8" s="44">
        <f t="shared" si="1"/>
        <v>7700</v>
      </c>
      <c r="G8" s="44">
        <v>7000</v>
      </c>
      <c r="H8" s="44">
        <f t="shared" si="2"/>
        <v>700</v>
      </c>
      <c r="I8" s="36" t="b">
        <f t="shared" si="3"/>
        <v>1</v>
      </c>
      <c r="K8" s="36" t="s">
        <v>132</v>
      </c>
      <c r="L8" s="36" t="s">
        <v>133</v>
      </c>
      <c r="M8" s="36" t="s">
        <v>136</v>
      </c>
      <c r="N8" s="36" t="s">
        <v>142</v>
      </c>
      <c r="O8" s="36" t="s">
        <v>143</v>
      </c>
    </row>
    <row r="9" spans="1:15">
      <c r="A9" s="42" t="s">
        <v>1355</v>
      </c>
      <c r="B9" s="43">
        <v>8</v>
      </c>
      <c r="C9" s="36" t="s">
        <v>559</v>
      </c>
      <c r="D9" s="43">
        <v>24</v>
      </c>
      <c r="E9" s="43" t="str">
        <f t="shared" si="0"/>
        <v>일반형RV고가형(2000CC 초과)24</v>
      </c>
      <c r="F9" s="44">
        <f t="shared" si="1"/>
        <v>7700</v>
      </c>
      <c r="G9" s="44">
        <v>7000</v>
      </c>
      <c r="H9" s="44">
        <f t="shared" si="2"/>
        <v>700</v>
      </c>
      <c r="I9" s="36" t="b">
        <f t="shared" si="3"/>
        <v>1</v>
      </c>
      <c r="K9" s="36" t="s">
        <v>132</v>
      </c>
      <c r="L9" s="36" t="s">
        <v>133</v>
      </c>
      <c r="M9" s="36" t="s">
        <v>136</v>
      </c>
      <c r="N9" s="36" t="s">
        <v>62</v>
      </c>
      <c r="O9" s="36" t="s">
        <v>144</v>
      </c>
    </row>
    <row r="10" spans="1:15">
      <c r="A10" s="42" t="s">
        <v>1355</v>
      </c>
      <c r="B10" s="43">
        <v>9</v>
      </c>
      <c r="C10" s="36" t="s">
        <v>59</v>
      </c>
      <c r="D10" s="43">
        <v>24</v>
      </c>
      <c r="E10" s="43" t="str">
        <f t="shared" si="0"/>
        <v>일반형승합24</v>
      </c>
      <c r="F10" s="44">
        <f t="shared" si="1"/>
        <v>9130</v>
      </c>
      <c r="G10" s="44">
        <v>8300</v>
      </c>
      <c r="H10" s="44">
        <f t="shared" si="2"/>
        <v>830</v>
      </c>
      <c r="I10" s="36" t="b">
        <f t="shared" si="3"/>
        <v>1</v>
      </c>
      <c r="K10" s="36" t="s">
        <v>132</v>
      </c>
      <c r="L10" s="36" t="s">
        <v>133</v>
      </c>
      <c r="M10" s="36" t="s">
        <v>136</v>
      </c>
      <c r="N10" s="36" t="s">
        <v>62</v>
      </c>
      <c r="O10" s="36" t="s">
        <v>145</v>
      </c>
    </row>
    <row r="11" spans="1:15" ht="16.5" customHeight="1">
      <c r="A11" s="42" t="s">
        <v>1355</v>
      </c>
      <c r="B11" s="43">
        <v>1</v>
      </c>
      <c r="C11" s="36" t="s">
        <v>132</v>
      </c>
      <c r="D11" s="43">
        <v>36</v>
      </c>
      <c r="E11" s="43" t="str">
        <f t="shared" si="0"/>
        <v>일반형1000CC 이하36</v>
      </c>
      <c r="F11" s="44">
        <f t="shared" si="1"/>
        <v>7700</v>
      </c>
      <c r="G11" s="44">
        <v>7000</v>
      </c>
      <c r="H11" s="44">
        <f t="shared" si="2"/>
        <v>700</v>
      </c>
      <c r="I11" s="36" t="b">
        <f t="shared" si="3"/>
        <v>1</v>
      </c>
      <c r="K11" s="36" t="s">
        <v>132</v>
      </c>
      <c r="L11" s="36" t="s">
        <v>133</v>
      </c>
      <c r="M11" s="36" t="s">
        <v>136</v>
      </c>
      <c r="N11" s="36" t="s">
        <v>62</v>
      </c>
      <c r="O11" s="36" t="s">
        <v>146</v>
      </c>
    </row>
    <row r="12" spans="1:15">
      <c r="A12" s="42" t="s">
        <v>1355</v>
      </c>
      <c r="B12" s="43">
        <v>2</v>
      </c>
      <c r="C12" s="36" t="s">
        <v>184</v>
      </c>
      <c r="D12" s="43">
        <v>36</v>
      </c>
      <c r="E12" s="43" t="str">
        <f t="shared" si="0"/>
        <v>일반형1600CC 이하36</v>
      </c>
      <c r="F12" s="44">
        <f t="shared" si="1"/>
        <v>7700</v>
      </c>
      <c r="G12" s="44">
        <v>7000</v>
      </c>
      <c r="H12" s="44">
        <f t="shared" si="2"/>
        <v>700</v>
      </c>
      <c r="I12" s="36" t="b">
        <f t="shared" si="3"/>
        <v>1</v>
      </c>
      <c r="K12" s="36" t="s">
        <v>132</v>
      </c>
      <c r="L12" s="36" t="s">
        <v>133</v>
      </c>
      <c r="M12" s="36" t="s">
        <v>136</v>
      </c>
      <c r="N12" s="36" t="s">
        <v>62</v>
      </c>
      <c r="O12" s="36" t="s">
        <v>147</v>
      </c>
    </row>
    <row r="13" spans="1:15">
      <c r="A13" s="42" t="s">
        <v>1355</v>
      </c>
      <c r="B13" s="43">
        <v>3</v>
      </c>
      <c r="C13" s="36" t="s">
        <v>312</v>
      </c>
      <c r="D13" s="43">
        <v>36</v>
      </c>
      <c r="E13" s="43" t="str">
        <f t="shared" si="0"/>
        <v>일반형2200CC 이하36</v>
      </c>
      <c r="F13" s="44">
        <f t="shared" si="1"/>
        <v>7700</v>
      </c>
      <c r="G13" s="44">
        <v>7000</v>
      </c>
      <c r="H13" s="44">
        <f t="shared" si="2"/>
        <v>700</v>
      </c>
      <c r="I13" s="36" t="b">
        <f t="shared" si="3"/>
        <v>1</v>
      </c>
      <c r="K13" s="36" t="s">
        <v>132</v>
      </c>
      <c r="L13" s="36" t="s">
        <v>54</v>
      </c>
      <c r="M13" s="36" t="s">
        <v>148</v>
      </c>
      <c r="N13" s="36" t="s">
        <v>62</v>
      </c>
      <c r="O13" s="36" t="s">
        <v>149</v>
      </c>
    </row>
    <row r="14" spans="1:15">
      <c r="A14" s="42" t="s">
        <v>1355</v>
      </c>
      <c r="B14" s="43">
        <v>4</v>
      </c>
      <c r="C14" s="36" t="s">
        <v>447</v>
      </c>
      <c r="D14" s="43">
        <v>36</v>
      </c>
      <c r="E14" s="43" t="str">
        <f t="shared" si="0"/>
        <v>일반형3200CC 이하36</v>
      </c>
      <c r="F14" s="44">
        <f t="shared" si="1"/>
        <v>7700</v>
      </c>
      <c r="G14" s="44">
        <v>7000</v>
      </c>
      <c r="H14" s="44">
        <f t="shared" si="2"/>
        <v>700</v>
      </c>
      <c r="I14" s="36" t="b">
        <f t="shared" si="3"/>
        <v>1</v>
      </c>
      <c r="K14" s="36" t="s">
        <v>132</v>
      </c>
      <c r="L14" s="36" t="s">
        <v>54</v>
      </c>
      <c r="M14" s="36" t="s">
        <v>148</v>
      </c>
      <c r="N14" s="36" t="s">
        <v>62</v>
      </c>
      <c r="O14" s="36" t="s">
        <v>150</v>
      </c>
    </row>
    <row r="15" spans="1:15">
      <c r="A15" s="42" t="s">
        <v>1355</v>
      </c>
      <c r="B15" s="43">
        <v>5</v>
      </c>
      <c r="C15" s="36" t="s">
        <v>508</v>
      </c>
      <c r="D15" s="43">
        <v>36</v>
      </c>
      <c r="E15" s="43" t="str">
        <f t="shared" si="0"/>
        <v>일반형3900CC 이하36</v>
      </c>
      <c r="F15" s="44">
        <f t="shared" si="1"/>
        <v>7700</v>
      </c>
      <c r="G15" s="44">
        <v>7000</v>
      </c>
      <c r="H15" s="44">
        <f t="shared" si="2"/>
        <v>700</v>
      </c>
      <c r="I15" s="36" t="b">
        <f t="shared" si="3"/>
        <v>1</v>
      </c>
      <c r="K15" s="36" t="s">
        <v>132</v>
      </c>
      <c r="L15" s="36" t="s">
        <v>54</v>
      </c>
      <c r="M15" s="36" t="s">
        <v>148</v>
      </c>
      <c r="N15" s="36" t="s">
        <v>62</v>
      </c>
      <c r="O15" s="36" t="s">
        <v>151</v>
      </c>
    </row>
    <row r="16" spans="1:15">
      <c r="A16" s="42" t="s">
        <v>1355</v>
      </c>
      <c r="B16" s="43">
        <v>6</v>
      </c>
      <c r="C16" s="36" t="s">
        <v>549</v>
      </c>
      <c r="D16" s="43">
        <v>36</v>
      </c>
      <c r="E16" s="43" t="str">
        <f t="shared" si="0"/>
        <v>일반형3900CC 초과36</v>
      </c>
      <c r="F16" s="44">
        <f t="shared" si="1"/>
        <v>7700</v>
      </c>
      <c r="G16" s="44">
        <v>7000</v>
      </c>
      <c r="H16" s="44">
        <f t="shared" si="2"/>
        <v>700</v>
      </c>
      <c r="I16" s="36" t="b">
        <f t="shared" si="3"/>
        <v>1</v>
      </c>
      <c r="K16" s="36" t="s">
        <v>132</v>
      </c>
      <c r="L16" s="36" t="s">
        <v>54</v>
      </c>
      <c r="M16" s="36" t="s">
        <v>148</v>
      </c>
      <c r="N16" s="36" t="s">
        <v>62</v>
      </c>
      <c r="O16" s="36" t="s">
        <v>152</v>
      </c>
    </row>
    <row r="17" spans="1:15">
      <c r="A17" s="42" t="s">
        <v>1355</v>
      </c>
      <c r="B17" s="43">
        <v>7</v>
      </c>
      <c r="C17" s="36" t="s">
        <v>804</v>
      </c>
      <c r="D17" s="43">
        <v>36</v>
      </c>
      <c r="E17" s="43" t="str">
        <f t="shared" si="0"/>
        <v>일반형RV저가형(2000CC 이하)36</v>
      </c>
      <c r="F17" s="44">
        <f t="shared" si="1"/>
        <v>7700</v>
      </c>
      <c r="G17" s="44">
        <v>7000</v>
      </c>
      <c r="H17" s="44">
        <f t="shared" si="2"/>
        <v>700</v>
      </c>
      <c r="I17" s="36" t="b">
        <f t="shared" si="3"/>
        <v>1</v>
      </c>
      <c r="K17" s="36" t="s">
        <v>132</v>
      </c>
      <c r="L17" s="36" t="s">
        <v>54</v>
      </c>
      <c r="M17" s="36" t="s">
        <v>148</v>
      </c>
      <c r="N17" s="36" t="s">
        <v>62</v>
      </c>
      <c r="O17" s="36" t="s">
        <v>153</v>
      </c>
    </row>
    <row r="18" spans="1:15">
      <c r="A18" s="42" t="s">
        <v>1355</v>
      </c>
      <c r="B18" s="43">
        <v>8</v>
      </c>
      <c r="C18" s="36" t="s">
        <v>559</v>
      </c>
      <c r="D18" s="43">
        <v>36</v>
      </c>
      <c r="E18" s="43" t="str">
        <f t="shared" si="0"/>
        <v>일반형RV고가형(2000CC 초과)36</v>
      </c>
      <c r="F18" s="44">
        <f t="shared" si="1"/>
        <v>7700</v>
      </c>
      <c r="G18" s="44">
        <v>7000</v>
      </c>
      <c r="H18" s="44">
        <f t="shared" si="2"/>
        <v>700</v>
      </c>
      <c r="I18" s="36" t="b">
        <f t="shared" si="3"/>
        <v>1</v>
      </c>
      <c r="K18" s="36" t="s">
        <v>132</v>
      </c>
      <c r="L18" s="36" t="s">
        <v>54</v>
      </c>
      <c r="M18" s="36" t="s">
        <v>148</v>
      </c>
      <c r="N18" s="36" t="s">
        <v>62</v>
      </c>
      <c r="O18" s="36" t="s">
        <v>154</v>
      </c>
    </row>
    <row r="19" spans="1:15">
      <c r="A19" s="42" t="s">
        <v>1355</v>
      </c>
      <c r="B19" s="43">
        <v>9</v>
      </c>
      <c r="C19" s="36" t="s">
        <v>59</v>
      </c>
      <c r="D19" s="43">
        <v>36</v>
      </c>
      <c r="E19" s="43" t="str">
        <f t="shared" si="0"/>
        <v>일반형승합36</v>
      </c>
      <c r="F19" s="44">
        <f t="shared" si="1"/>
        <v>9130</v>
      </c>
      <c r="G19" s="44">
        <v>8300</v>
      </c>
      <c r="H19" s="44">
        <f t="shared" si="2"/>
        <v>830</v>
      </c>
      <c r="I19" s="36" t="b">
        <f t="shared" si="3"/>
        <v>1</v>
      </c>
      <c r="K19" s="36" t="s">
        <v>132</v>
      </c>
      <c r="L19" s="36" t="s">
        <v>54</v>
      </c>
      <c r="M19" s="36" t="s">
        <v>148</v>
      </c>
      <c r="N19" s="36" t="s">
        <v>62</v>
      </c>
      <c r="O19" s="36" t="s">
        <v>155</v>
      </c>
    </row>
    <row r="20" spans="1:15" ht="16.5" customHeight="1">
      <c r="A20" s="42" t="s">
        <v>1355</v>
      </c>
      <c r="B20" s="43">
        <v>1</v>
      </c>
      <c r="C20" s="36" t="s">
        <v>132</v>
      </c>
      <c r="D20" s="43">
        <v>48</v>
      </c>
      <c r="E20" s="43" t="str">
        <f t="shared" si="0"/>
        <v>일반형1000CC 이하48</v>
      </c>
      <c r="F20" s="44">
        <f t="shared" si="1"/>
        <v>8580</v>
      </c>
      <c r="G20" s="44">
        <v>7800</v>
      </c>
      <c r="H20" s="44">
        <f t="shared" si="2"/>
        <v>780</v>
      </c>
      <c r="I20" s="36" t="b">
        <f t="shared" si="3"/>
        <v>1</v>
      </c>
      <c r="K20" s="36" t="s">
        <v>132</v>
      </c>
      <c r="L20" s="36" t="s">
        <v>54</v>
      </c>
      <c r="M20" s="36" t="s">
        <v>148</v>
      </c>
      <c r="N20" s="36" t="s">
        <v>62</v>
      </c>
      <c r="O20" s="36" t="s">
        <v>156</v>
      </c>
    </row>
    <row r="21" spans="1:15">
      <c r="A21" s="42" t="s">
        <v>1355</v>
      </c>
      <c r="B21" s="43">
        <v>2</v>
      </c>
      <c r="C21" s="36" t="s">
        <v>184</v>
      </c>
      <c r="D21" s="43">
        <v>48</v>
      </c>
      <c r="E21" s="43" t="str">
        <f t="shared" si="0"/>
        <v>일반형1600CC 이하48</v>
      </c>
      <c r="F21" s="44">
        <f t="shared" si="1"/>
        <v>8580</v>
      </c>
      <c r="G21" s="44">
        <v>7800</v>
      </c>
      <c r="H21" s="44">
        <f t="shared" si="2"/>
        <v>780</v>
      </c>
      <c r="I21" s="36" t="b">
        <f t="shared" si="3"/>
        <v>1</v>
      </c>
      <c r="K21" s="36" t="s">
        <v>132</v>
      </c>
      <c r="L21" s="36" t="s">
        <v>54</v>
      </c>
      <c r="M21" s="36" t="s">
        <v>148</v>
      </c>
      <c r="N21" s="36" t="s">
        <v>62</v>
      </c>
      <c r="O21" s="36" t="s">
        <v>157</v>
      </c>
    </row>
    <row r="22" spans="1:15">
      <c r="A22" s="42" t="s">
        <v>1355</v>
      </c>
      <c r="B22" s="43">
        <v>3</v>
      </c>
      <c r="C22" s="36" t="s">
        <v>312</v>
      </c>
      <c r="D22" s="43">
        <v>48</v>
      </c>
      <c r="E22" s="43" t="str">
        <f t="shared" si="0"/>
        <v>일반형2200CC 이하48</v>
      </c>
      <c r="F22" s="44">
        <f t="shared" si="1"/>
        <v>8580</v>
      </c>
      <c r="G22" s="44">
        <v>7800</v>
      </c>
      <c r="H22" s="44">
        <f t="shared" si="2"/>
        <v>780</v>
      </c>
      <c r="I22" s="36" t="b">
        <f t="shared" si="3"/>
        <v>1</v>
      </c>
      <c r="K22" s="36" t="s">
        <v>132</v>
      </c>
      <c r="L22" s="36" t="s">
        <v>54</v>
      </c>
      <c r="M22" s="36" t="s">
        <v>148</v>
      </c>
      <c r="N22" s="36" t="s">
        <v>62</v>
      </c>
      <c r="O22" s="36" t="s">
        <v>158</v>
      </c>
    </row>
    <row r="23" spans="1:15">
      <c r="A23" s="42" t="s">
        <v>1355</v>
      </c>
      <c r="B23" s="43">
        <v>4</v>
      </c>
      <c r="C23" s="36" t="s">
        <v>447</v>
      </c>
      <c r="D23" s="43">
        <v>48</v>
      </c>
      <c r="E23" s="43" t="str">
        <f t="shared" si="0"/>
        <v>일반형3200CC 이하48</v>
      </c>
      <c r="F23" s="44">
        <f t="shared" si="1"/>
        <v>8580</v>
      </c>
      <c r="G23" s="44">
        <v>7800</v>
      </c>
      <c r="H23" s="44">
        <f t="shared" si="2"/>
        <v>780</v>
      </c>
      <c r="I23" s="36" t="b">
        <f t="shared" si="3"/>
        <v>1</v>
      </c>
      <c r="K23" s="36" t="s">
        <v>132</v>
      </c>
      <c r="L23" s="36" t="s">
        <v>54</v>
      </c>
      <c r="M23" s="36" t="s">
        <v>148</v>
      </c>
      <c r="N23" s="36" t="s">
        <v>62</v>
      </c>
      <c r="O23" s="36" t="s">
        <v>159</v>
      </c>
    </row>
    <row r="24" spans="1:15">
      <c r="A24" s="42" t="s">
        <v>1355</v>
      </c>
      <c r="B24" s="43">
        <v>5</v>
      </c>
      <c r="C24" s="36" t="s">
        <v>508</v>
      </c>
      <c r="D24" s="43">
        <v>48</v>
      </c>
      <c r="E24" s="43" t="str">
        <f t="shared" si="0"/>
        <v>일반형3900CC 이하48</v>
      </c>
      <c r="F24" s="44">
        <f t="shared" si="1"/>
        <v>8580</v>
      </c>
      <c r="G24" s="44">
        <v>7800</v>
      </c>
      <c r="H24" s="44">
        <f t="shared" si="2"/>
        <v>780</v>
      </c>
      <c r="I24" s="36" t="b">
        <f t="shared" si="3"/>
        <v>1</v>
      </c>
      <c r="K24" s="36" t="s">
        <v>132</v>
      </c>
      <c r="L24" s="36" t="s">
        <v>54</v>
      </c>
      <c r="M24" s="36" t="s">
        <v>148</v>
      </c>
      <c r="N24" s="36" t="s">
        <v>62</v>
      </c>
      <c r="O24" s="36" t="s">
        <v>160</v>
      </c>
    </row>
    <row r="25" spans="1:15">
      <c r="A25" s="42" t="s">
        <v>1355</v>
      </c>
      <c r="B25" s="43">
        <v>6</v>
      </c>
      <c r="C25" s="36" t="s">
        <v>549</v>
      </c>
      <c r="D25" s="43">
        <v>48</v>
      </c>
      <c r="E25" s="43" t="str">
        <f t="shared" si="0"/>
        <v>일반형3900CC 초과48</v>
      </c>
      <c r="F25" s="44">
        <f t="shared" si="1"/>
        <v>8580</v>
      </c>
      <c r="G25" s="44">
        <v>7800</v>
      </c>
      <c r="H25" s="44">
        <f t="shared" si="2"/>
        <v>780</v>
      </c>
      <c r="I25" s="36" t="b">
        <f t="shared" si="3"/>
        <v>1</v>
      </c>
      <c r="K25" s="36" t="s">
        <v>132</v>
      </c>
      <c r="L25" s="36" t="s">
        <v>54</v>
      </c>
      <c r="M25" s="36" t="s">
        <v>148</v>
      </c>
      <c r="N25" s="36" t="s">
        <v>62</v>
      </c>
      <c r="O25" s="36" t="s">
        <v>161</v>
      </c>
    </row>
    <row r="26" spans="1:15">
      <c r="A26" s="42" t="s">
        <v>1355</v>
      </c>
      <c r="B26" s="43">
        <v>7</v>
      </c>
      <c r="C26" s="36" t="s">
        <v>804</v>
      </c>
      <c r="D26" s="43">
        <v>48</v>
      </c>
      <c r="E26" s="43" t="str">
        <f t="shared" si="0"/>
        <v>일반형RV저가형(2000CC 이하)48</v>
      </c>
      <c r="F26" s="44">
        <f t="shared" si="1"/>
        <v>8580</v>
      </c>
      <c r="G26" s="44">
        <v>7800</v>
      </c>
      <c r="H26" s="44">
        <f t="shared" si="2"/>
        <v>780</v>
      </c>
      <c r="I26" s="36" t="b">
        <f t="shared" si="3"/>
        <v>1</v>
      </c>
      <c r="K26" s="36" t="s">
        <v>132</v>
      </c>
      <c r="L26" s="36" t="s">
        <v>54</v>
      </c>
      <c r="M26" s="36" t="s">
        <v>148</v>
      </c>
      <c r="N26" s="36" t="s">
        <v>62</v>
      </c>
      <c r="O26" s="36" t="s">
        <v>162</v>
      </c>
    </row>
    <row r="27" spans="1:15">
      <c r="A27" s="42" t="s">
        <v>1355</v>
      </c>
      <c r="B27" s="43">
        <v>8</v>
      </c>
      <c r="C27" s="36" t="s">
        <v>559</v>
      </c>
      <c r="D27" s="43">
        <v>48</v>
      </c>
      <c r="E27" s="43" t="str">
        <f t="shared" si="0"/>
        <v>일반형RV고가형(2000CC 초과)48</v>
      </c>
      <c r="F27" s="44">
        <f t="shared" si="1"/>
        <v>8580</v>
      </c>
      <c r="G27" s="44">
        <v>7800</v>
      </c>
      <c r="H27" s="44">
        <f t="shared" si="2"/>
        <v>780</v>
      </c>
      <c r="I27" s="36" t="b">
        <f t="shared" si="3"/>
        <v>1</v>
      </c>
      <c r="K27" s="36" t="s">
        <v>132</v>
      </c>
      <c r="L27" s="36" t="s">
        <v>54</v>
      </c>
      <c r="M27" s="36" t="s">
        <v>148</v>
      </c>
      <c r="N27" s="36" t="s">
        <v>62</v>
      </c>
      <c r="O27" s="36" t="s">
        <v>163</v>
      </c>
    </row>
    <row r="28" spans="1:15">
      <c r="A28" s="42" t="s">
        <v>1355</v>
      </c>
      <c r="B28" s="43">
        <v>9</v>
      </c>
      <c r="C28" s="36" t="s">
        <v>59</v>
      </c>
      <c r="D28" s="43">
        <v>48</v>
      </c>
      <c r="E28" s="43" t="str">
        <f t="shared" si="0"/>
        <v>일반형승합48</v>
      </c>
      <c r="F28" s="44">
        <f t="shared" si="1"/>
        <v>9680</v>
      </c>
      <c r="G28" s="44">
        <v>8800</v>
      </c>
      <c r="H28" s="44">
        <f t="shared" si="2"/>
        <v>880</v>
      </c>
      <c r="I28" s="36" t="b">
        <f t="shared" si="3"/>
        <v>1</v>
      </c>
      <c r="K28" s="36" t="s">
        <v>132</v>
      </c>
      <c r="L28" s="36" t="s">
        <v>54</v>
      </c>
      <c r="M28" s="36" t="s">
        <v>148</v>
      </c>
      <c r="N28" s="36" t="s">
        <v>62</v>
      </c>
      <c r="O28" s="36" t="s">
        <v>164</v>
      </c>
    </row>
    <row r="29" spans="1:15">
      <c r="A29" s="42" t="s">
        <v>1355</v>
      </c>
      <c r="B29" s="43">
        <v>1</v>
      </c>
      <c r="C29" s="36" t="s">
        <v>132</v>
      </c>
      <c r="D29" s="43">
        <v>60</v>
      </c>
      <c r="E29" s="43" t="str">
        <f t="shared" si="0"/>
        <v>일반형1000CC 이하60</v>
      </c>
      <c r="F29" s="44">
        <f t="shared" si="1"/>
        <v>9350</v>
      </c>
      <c r="G29" s="44">
        <v>8500</v>
      </c>
      <c r="H29" s="44">
        <f t="shared" si="2"/>
        <v>850</v>
      </c>
      <c r="I29" s="36" t="b">
        <f t="shared" si="3"/>
        <v>1</v>
      </c>
      <c r="K29" s="36" t="s">
        <v>132</v>
      </c>
      <c r="L29" s="36" t="s">
        <v>54</v>
      </c>
      <c r="M29" s="36" t="s">
        <v>148</v>
      </c>
      <c r="N29" s="36" t="s">
        <v>165</v>
      </c>
      <c r="O29" s="36" t="s">
        <v>166</v>
      </c>
    </row>
    <row r="30" spans="1:15">
      <c r="A30" s="42" t="s">
        <v>1355</v>
      </c>
      <c r="B30" s="43">
        <v>2</v>
      </c>
      <c r="C30" s="36" t="s">
        <v>184</v>
      </c>
      <c r="D30" s="43">
        <v>60</v>
      </c>
      <c r="E30" s="43" t="str">
        <f t="shared" si="0"/>
        <v>일반형1600CC 이하60</v>
      </c>
      <c r="F30" s="44">
        <f t="shared" si="1"/>
        <v>9350</v>
      </c>
      <c r="G30" s="44">
        <v>8500</v>
      </c>
      <c r="H30" s="44">
        <f t="shared" si="2"/>
        <v>850</v>
      </c>
      <c r="I30" s="36" t="b">
        <f t="shared" si="3"/>
        <v>1</v>
      </c>
      <c r="K30" s="36" t="s">
        <v>132</v>
      </c>
      <c r="L30" s="36" t="s">
        <v>54</v>
      </c>
      <c r="M30" s="36" t="s">
        <v>148</v>
      </c>
      <c r="N30" s="36" t="s">
        <v>165</v>
      </c>
      <c r="O30" s="36" t="s">
        <v>167</v>
      </c>
    </row>
    <row r="31" spans="1:15">
      <c r="A31" s="42" t="s">
        <v>1355</v>
      </c>
      <c r="B31" s="43">
        <v>3</v>
      </c>
      <c r="C31" s="36" t="s">
        <v>312</v>
      </c>
      <c r="D31" s="43">
        <v>60</v>
      </c>
      <c r="E31" s="43" t="str">
        <f t="shared" si="0"/>
        <v>일반형2200CC 이하60</v>
      </c>
      <c r="F31" s="44">
        <f t="shared" si="1"/>
        <v>9350</v>
      </c>
      <c r="G31" s="44">
        <v>8500</v>
      </c>
      <c r="H31" s="44">
        <f t="shared" si="2"/>
        <v>850</v>
      </c>
      <c r="I31" s="36" t="b">
        <f t="shared" si="3"/>
        <v>1</v>
      </c>
      <c r="K31" s="36" t="s">
        <v>132</v>
      </c>
      <c r="L31" s="36" t="s">
        <v>54</v>
      </c>
      <c r="M31" s="36" t="s">
        <v>168</v>
      </c>
      <c r="N31" s="36" t="s">
        <v>62</v>
      </c>
      <c r="O31" s="36" t="s">
        <v>169</v>
      </c>
    </row>
    <row r="32" spans="1:15">
      <c r="A32" s="42" t="s">
        <v>1355</v>
      </c>
      <c r="B32" s="43">
        <v>4</v>
      </c>
      <c r="C32" s="36" t="s">
        <v>447</v>
      </c>
      <c r="D32" s="43">
        <v>60</v>
      </c>
      <c r="E32" s="43" t="str">
        <f t="shared" si="0"/>
        <v>일반형3200CC 이하60</v>
      </c>
      <c r="F32" s="44">
        <f t="shared" si="1"/>
        <v>9130</v>
      </c>
      <c r="G32" s="44">
        <v>8300</v>
      </c>
      <c r="H32" s="44">
        <f t="shared" si="2"/>
        <v>830</v>
      </c>
      <c r="I32" s="36" t="b">
        <f t="shared" si="3"/>
        <v>1</v>
      </c>
      <c r="K32" s="36" t="s">
        <v>132</v>
      </c>
      <c r="L32" s="36" t="s">
        <v>54</v>
      </c>
      <c r="M32" s="36" t="s">
        <v>168</v>
      </c>
      <c r="N32" s="36" t="s">
        <v>62</v>
      </c>
      <c r="O32" s="36" t="s">
        <v>170</v>
      </c>
    </row>
    <row r="33" spans="1:15">
      <c r="A33" s="42" t="s">
        <v>1355</v>
      </c>
      <c r="B33" s="43">
        <v>5</v>
      </c>
      <c r="C33" s="36" t="s">
        <v>508</v>
      </c>
      <c r="D33" s="43">
        <v>60</v>
      </c>
      <c r="E33" s="43" t="str">
        <f t="shared" si="0"/>
        <v>일반형3900CC 이하60</v>
      </c>
      <c r="F33" s="44">
        <f t="shared" si="1"/>
        <v>9130</v>
      </c>
      <c r="G33" s="44">
        <v>8300</v>
      </c>
      <c r="H33" s="44">
        <f t="shared" si="2"/>
        <v>830</v>
      </c>
      <c r="I33" s="36" t="b">
        <f t="shared" si="3"/>
        <v>1</v>
      </c>
      <c r="K33" s="36" t="s">
        <v>132</v>
      </c>
      <c r="L33" s="36" t="s">
        <v>54</v>
      </c>
      <c r="M33" s="36" t="s">
        <v>168</v>
      </c>
      <c r="N33" s="36" t="s">
        <v>62</v>
      </c>
      <c r="O33" s="36" t="s">
        <v>171</v>
      </c>
    </row>
    <row r="34" spans="1:15">
      <c r="A34" s="42" t="s">
        <v>1355</v>
      </c>
      <c r="B34" s="43">
        <v>6</v>
      </c>
      <c r="C34" s="36" t="s">
        <v>549</v>
      </c>
      <c r="D34" s="43">
        <v>60</v>
      </c>
      <c r="E34" s="43" t="str">
        <f t="shared" si="0"/>
        <v>일반형3900CC 초과60</v>
      </c>
      <c r="F34" s="44">
        <f t="shared" si="1"/>
        <v>9130</v>
      </c>
      <c r="G34" s="44">
        <v>8300</v>
      </c>
      <c r="H34" s="44">
        <f t="shared" si="2"/>
        <v>830</v>
      </c>
      <c r="I34" s="36" t="b">
        <f t="shared" si="3"/>
        <v>1</v>
      </c>
      <c r="K34" s="36" t="s">
        <v>132</v>
      </c>
      <c r="L34" s="36" t="s">
        <v>54</v>
      </c>
      <c r="M34" s="36" t="s">
        <v>168</v>
      </c>
      <c r="N34" s="36" t="s">
        <v>62</v>
      </c>
      <c r="O34" s="36" t="s">
        <v>172</v>
      </c>
    </row>
    <row r="35" spans="1:15">
      <c r="A35" s="42" t="s">
        <v>1355</v>
      </c>
      <c r="B35" s="43">
        <v>7</v>
      </c>
      <c r="C35" s="36" t="s">
        <v>804</v>
      </c>
      <c r="D35" s="43">
        <v>60</v>
      </c>
      <c r="E35" s="43" t="str">
        <f t="shared" si="0"/>
        <v>일반형RV저가형(2000CC 이하)60</v>
      </c>
      <c r="F35" s="44">
        <f t="shared" si="1"/>
        <v>9130</v>
      </c>
      <c r="G35" s="44">
        <v>8300</v>
      </c>
      <c r="H35" s="44">
        <f t="shared" si="2"/>
        <v>830</v>
      </c>
      <c r="I35" s="36" t="b">
        <f t="shared" si="3"/>
        <v>1</v>
      </c>
      <c r="K35" s="36" t="s">
        <v>132</v>
      </c>
      <c r="L35" s="36" t="s">
        <v>54</v>
      </c>
      <c r="M35" s="36" t="s">
        <v>168</v>
      </c>
      <c r="N35" s="36" t="s">
        <v>62</v>
      </c>
      <c r="O35" s="36" t="s">
        <v>173</v>
      </c>
    </row>
    <row r="36" spans="1:15">
      <c r="A36" s="42" t="s">
        <v>1355</v>
      </c>
      <c r="B36" s="43">
        <v>8</v>
      </c>
      <c r="C36" s="36" t="s">
        <v>559</v>
      </c>
      <c r="D36" s="43">
        <v>60</v>
      </c>
      <c r="E36" s="43" t="str">
        <f t="shared" si="0"/>
        <v>일반형RV고가형(2000CC 초과)60</v>
      </c>
      <c r="F36" s="44">
        <f t="shared" si="1"/>
        <v>9130</v>
      </c>
      <c r="G36" s="44">
        <v>8300</v>
      </c>
      <c r="H36" s="44">
        <f t="shared" si="2"/>
        <v>830</v>
      </c>
      <c r="I36" s="36" t="b">
        <f t="shared" si="3"/>
        <v>1</v>
      </c>
      <c r="K36" s="36" t="s">
        <v>132</v>
      </c>
      <c r="L36" s="36" t="s">
        <v>54</v>
      </c>
      <c r="M36" s="36" t="s">
        <v>168</v>
      </c>
      <c r="N36" s="36" t="s">
        <v>62</v>
      </c>
      <c r="O36" s="36" t="s">
        <v>174</v>
      </c>
    </row>
    <row r="37" spans="1:15">
      <c r="A37" s="42" t="s">
        <v>1355</v>
      </c>
      <c r="B37" s="43">
        <v>9</v>
      </c>
      <c r="C37" s="36" t="s">
        <v>59</v>
      </c>
      <c r="D37" s="43">
        <v>60</v>
      </c>
      <c r="E37" s="43" t="str">
        <f t="shared" si="0"/>
        <v>일반형승합60</v>
      </c>
      <c r="F37" s="44">
        <f t="shared" si="1"/>
        <v>10010</v>
      </c>
      <c r="G37" s="44">
        <v>9100</v>
      </c>
      <c r="H37" s="44">
        <f t="shared" si="2"/>
        <v>910</v>
      </c>
      <c r="I37" s="36" t="b">
        <f t="shared" si="3"/>
        <v>1</v>
      </c>
      <c r="K37" s="36" t="s">
        <v>132</v>
      </c>
      <c r="L37" s="36" t="s">
        <v>54</v>
      </c>
      <c r="M37" s="36" t="s">
        <v>168</v>
      </c>
      <c r="N37" s="36" t="s">
        <v>62</v>
      </c>
      <c r="O37" s="36" t="s">
        <v>175</v>
      </c>
    </row>
    <row r="38" spans="1:15">
      <c r="A38" s="42" t="s">
        <v>1356</v>
      </c>
      <c r="B38" s="43">
        <v>1</v>
      </c>
      <c r="C38" s="36" t="s">
        <v>132</v>
      </c>
      <c r="D38" s="43">
        <v>24</v>
      </c>
      <c r="E38" s="43" t="str">
        <f t="shared" si="0"/>
        <v>경제형1000CC 이하24</v>
      </c>
      <c r="F38" s="44">
        <f t="shared" si="1"/>
        <v>33110</v>
      </c>
      <c r="G38" s="44">
        <v>30100</v>
      </c>
      <c r="H38" s="44">
        <f t="shared" si="2"/>
        <v>3010</v>
      </c>
      <c r="I38" s="36" t="b">
        <f t="shared" si="3"/>
        <v>1</v>
      </c>
      <c r="K38" s="36" t="s">
        <v>132</v>
      </c>
      <c r="L38" s="36" t="s">
        <v>54</v>
      </c>
      <c r="M38" s="36" t="s">
        <v>168</v>
      </c>
      <c r="N38" s="36" t="s">
        <v>62</v>
      </c>
      <c r="O38" s="36" t="s">
        <v>176</v>
      </c>
    </row>
    <row r="39" spans="1:15">
      <c r="A39" s="42" t="s">
        <v>1356</v>
      </c>
      <c r="B39" s="43">
        <v>2</v>
      </c>
      <c r="C39" s="36" t="s">
        <v>184</v>
      </c>
      <c r="D39" s="43">
        <v>24</v>
      </c>
      <c r="E39" s="43" t="str">
        <f t="shared" si="0"/>
        <v>경제형1600CC 이하24</v>
      </c>
      <c r="F39" s="44">
        <f t="shared" si="1"/>
        <v>39050</v>
      </c>
      <c r="G39" s="44">
        <v>35500</v>
      </c>
      <c r="H39" s="44">
        <f t="shared" si="2"/>
        <v>3550</v>
      </c>
      <c r="I39" s="36" t="b">
        <f t="shared" si="3"/>
        <v>1</v>
      </c>
      <c r="K39" s="36" t="s">
        <v>132</v>
      </c>
      <c r="L39" s="36" t="s">
        <v>54</v>
      </c>
      <c r="M39" s="36" t="s">
        <v>168</v>
      </c>
      <c r="N39" s="36" t="s">
        <v>62</v>
      </c>
      <c r="O39" s="36" t="s">
        <v>177</v>
      </c>
    </row>
    <row r="40" spans="1:15">
      <c r="A40" s="42" t="s">
        <v>1356</v>
      </c>
      <c r="B40" s="43">
        <v>3</v>
      </c>
      <c r="C40" s="36" t="s">
        <v>312</v>
      </c>
      <c r="D40" s="43">
        <v>24</v>
      </c>
      <c r="E40" s="43" t="str">
        <f t="shared" si="0"/>
        <v>경제형2200CC 이하24</v>
      </c>
      <c r="F40" s="44">
        <f t="shared" si="1"/>
        <v>43780</v>
      </c>
      <c r="G40" s="44">
        <v>39800</v>
      </c>
      <c r="H40" s="44">
        <f t="shared" si="2"/>
        <v>3980</v>
      </c>
      <c r="I40" s="36" t="b">
        <f t="shared" si="3"/>
        <v>1</v>
      </c>
      <c r="K40" s="36" t="s">
        <v>132</v>
      </c>
      <c r="L40" s="36" t="s">
        <v>54</v>
      </c>
      <c r="M40" s="36" t="s">
        <v>168</v>
      </c>
      <c r="N40" s="36" t="s">
        <v>62</v>
      </c>
      <c r="O40" s="36" t="s">
        <v>178</v>
      </c>
    </row>
    <row r="41" spans="1:15">
      <c r="A41" s="42" t="s">
        <v>1356</v>
      </c>
      <c r="B41" s="43">
        <v>4</v>
      </c>
      <c r="C41" s="36" t="s">
        <v>447</v>
      </c>
      <c r="D41" s="43">
        <v>24</v>
      </c>
      <c r="E41" s="43" t="str">
        <f t="shared" si="0"/>
        <v>경제형3200CC 이하24</v>
      </c>
      <c r="F41" s="44">
        <f t="shared" si="1"/>
        <v>44880</v>
      </c>
      <c r="G41" s="44">
        <v>40800</v>
      </c>
      <c r="H41" s="44">
        <f t="shared" si="2"/>
        <v>4080</v>
      </c>
      <c r="I41" s="36" t="b">
        <f t="shared" si="3"/>
        <v>1</v>
      </c>
      <c r="K41" s="36" t="s">
        <v>132</v>
      </c>
      <c r="L41" s="36" t="s">
        <v>54</v>
      </c>
      <c r="M41" s="36" t="s">
        <v>168</v>
      </c>
      <c r="N41" s="36" t="s">
        <v>62</v>
      </c>
      <c r="O41" s="36" t="s">
        <v>179</v>
      </c>
    </row>
    <row r="42" spans="1:15">
      <c r="A42" s="42" t="s">
        <v>1356</v>
      </c>
      <c r="B42" s="43">
        <v>5</v>
      </c>
      <c r="C42" s="36" t="s">
        <v>508</v>
      </c>
      <c r="D42" s="43">
        <v>24</v>
      </c>
      <c r="E42" s="43" t="str">
        <f t="shared" si="0"/>
        <v>경제형3900CC 이하24</v>
      </c>
      <c r="F42" s="44">
        <f t="shared" si="1"/>
        <v>48620</v>
      </c>
      <c r="G42" s="44">
        <v>44200</v>
      </c>
      <c r="H42" s="44">
        <f t="shared" si="2"/>
        <v>4420</v>
      </c>
      <c r="I42" s="36" t="b">
        <f t="shared" si="3"/>
        <v>1</v>
      </c>
      <c r="K42" s="36" t="s">
        <v>132</v>
      </c>
      <c r="L42" s="36" t="s">
        <v>54</v>
      </c>
      <c r="M42" s="36" t="s">
        <v>168</v>
      </c>
      <c r="N42" s="36" t="s">
        <v>62</v>
      </c>
      <c r="O42" s="36" t="s">
        <v>180</v>
      </c>
    </row>
    <row r="43" spans="1:15">
      <c r="A43" s="42" t="s">
        <v>1356</v>
      </c>
      <c r="B43" s="43">
        <v>6</v>
      </c>
      <c r="C43" s="36" t="s">
        <v>549</v>
      </c>
      <c r="D43" s="43">
        <v>24</v>
      </c>
      <c r="E43" s="43" t="str">
        <f t="shared" si="0"/>
        <v>경제형3900CC 초과24</v>
      </c>
      <c r="F43" s="44">
        <f t="shared" si="1"/>
        <v>54010</v>
      </c>
      <c r="G43" s="44">
        <v>49100</v>
      </c>
      <c r="H43" s="44">
        <f t="shared" si="2"/>
        <v>4910</v>
      </c>
      <c r="I43" s="36" t="b">
        <f t="shared" si="3"/>
        <v>1</v>
      </c>
      <c r="K43" s="36" t="s">
        <v>132</v>
      </c>
      <c r="L43" s="36" t="s">
        <v>54</v>
      </c>
      <c r="M43" s="36" t="s">
        <v>168</v>
      </c>
      <c r="N43" s="36" t="s">
        <v>62</v>
      </c>
      <c r="O43" s="36" t="s">
        <v>181</v>
      </c>
    </row>
    <row r="44" spans="1:15">
      <c r="A44" s="42" t="s">
        <v>1356</v>
      </c>
      <c r="B44" s="43">
        <v>7</v>
      </c>
      <c r="C44" s="36" t="s">
        <v>804</v>
      </c>
      <c r="D44" s="43">
        <v>24</v>
      </c>
      <c r="E44" s="43" t="str">
        <f t="shared" si="0"/>
        <v>경제형RV저가형(2000CC 이하)24</v>
      </c>
      <c r="F44" s="44">
        <f t="shared" si="1"/>
        <v>48620</v>
      </c>
      <c r="G44" s="44">
        <v>44200</v>
      </c>
      <c r="H44" s="44">
        <f t="shared" si="2"/>
        <v>4420</v>
      </c>
      <c r="I44" s="36" t="b">
        <f t="shared" si="3"/>
        <v>1</v>
      </c>
      <c r="K44" s="36" t="s">
        <v>132</v>
      </c>
      <c r="L44" s="36" t="s">
        <v>54</v>
      </c>
      <c r="M44" s="36" t="s">
        <v>168</v>
      </c>
      <c r="N44" s="36" t="s">
        <v>62</v>
      </c>
      <c r="O44" s="36" t="s">
        <v>182</v>
      </c>
    </row>
    <row r="45" spans="1:15">
      <c r="A45" s="42" t="s">
        <v>1356</v>
      </c>
      <c r="B45" s="43">
        <v>8</v>
      </c>
      <c r="C45" s="36" t="s">
        <v>559</v>
      </c>
      <c r="D45" s="43">
        <v>24</v>
      </c>
      <c r="E45" s="43" t="str">
        <f t="shared" si="0"/>
        <v>경제형RV고가형(2000CC 초과)24</v>
      </c>
      <c r="F45" s="44">
        <f t="shared" si="1"/>
        <v>52360</v>
      </c>
      <c r="G45" s="44">
        <v>47600</v>
      </c>
      <c r="H45" s="44">
        <f t="shared" si="2"/>
        <v>4760</v>
      </c>
      <c r="I45" s="36" t="b">
        <f t="shared" si="3"/>
        <v>1</v>
      </c>
      <c r="K45" s="36" t="s">
        <v>132</v>
      </c>
      <c r="L45" s="36" t="s">
        <v>54</v>
      </c>
      <c r="M45" s="36" t="s">
        <v>168</v>
      </c>
      <c r="N45" s="36" t="s">
        <v>165</v>
      </c>
      <c r="O45" s="36" t="s">
        <v>183</v>
      </c>
    </row>
    <row r="46" spans="1:15">
      <c r="A46" s="42" t="s">
        <v>1356</v>
      </c>
      <c r="B46" s="43">
        <v>9</v>
      </c>
      <c r="C46" s="36" t="s">
        <v>59</v>
      </c>
      <c r="D46" s="43">
        <v>24</v>
      </c>
      <c r="E46" s="43" t="str">
        <f t="shared" si="0"/>
        <v>경제형승합24</v>
      </c>
      <c r="F46" s="44">
        <f t="shared" si="1"/>
        <v>53900</v>
      </c>
      <c r="G46" s="44">
        <v>49000</v>
      </c>
      <c r="H46" s="44">
        <f t="shared" si="2"/>
        <v>4900</v>
      </c>
      <c r="I46" s="36" t="b">
        <f t="shared" si="3"/>
        <v>1</v>
      </c>
      <c r="K46" s="36" t="s">
        <v>184</v>
      </c>
      <c r="L46" s="36" t="s">
        <v>133</v>
      </c>
      <c r="M46" s="36" t="s">
        <v>185</v>
      </c>
      <c r="N46" s="36" t="s">
        <v>62</v>
      </c>
      <c r="O46" s="36" t="s">
        <v>186</v>
      </c>
    </row>
    <row r="47" spans="1:15" s="612" customFormat="1">
      <c r="A47" s="610" t="s">
        <v>1356</v>
      </c>
      <c r="B47" s="611">
        <v>1</v>
      </c>
      <c r="C47" s="612" t="s">
        <v>132</v>
      </c>
      <c r="D47" s="611">
        <v>36</v>
      </c>
      <c r="E47" s="611" t="str">
        <f t="shared" si="0"/>
        <v>경제형1000CC 이하36</v>
      </c>
      <c r="F47" s="613">
        <f t="shared" si="1"/>
        <v>34870</v>
      </c>
      <c r="G47" s="613">
        <v>31700</v>
      </c>
      <c r="H47" s="613">
        <f t="shared" si="2"/>
        <v>3170</v>
      </c>
      <c r="I47" s="612" t="b">
        <f t="shared" si="3"/>
        <v>1</v>
      </c>
      <c r="K47" s="612" t="s">
        <v>184</v>
      </c>
      <c r="L47" s="612" t="s">
        <v>133</v>
      </c>
      <c r="M47" s="612" t="s">
        <v>185</v>
      </c>
      <c r="N47" s="612" t="s">
        <v>62</v>
      </c>
      <c r="O47" s="612" t="s">
        <v>187</v>
      </c>
    </row>
    <row r="48" spans="1:15" s="612" customFormat="1">
      <c r="A48" s="610" t="s">
        <v>1356</v>
      </c>
      <c r="B48" s="611">
        <v>2</v>
      </c>
      <c r="C48" s="612" t="s">
        <v>184</v>
      </c>
      <c r="D48" s="611">
        <v>36</v>
      </c>
      <c r="E48" s="611" t="str">
        <f t="shared" si="0"/>
        <v>경제형1600CC 이하36</v>
      </c>
      <c r="F48" s="613">
        <f t="shared" si="1"/>
        <v>41800</v>
      </c>
      <c r="G48" s="613">
        <v>38000</v>
      </c>
      <c r="H48" s="613">
        <f t="shared" si="2"/>
        <v>3800</v>
      </c>
      <c r="I48" s="612" t="b">
        <f t="shared" si="3"/>
        <v>1</v>
      </c>
      <c r="K48" s="612" t="s">
        <v>184</v>
      </c>
      <c r="L48" s="612" t="s">
        <v>133</v>
      </c>
      <c r="M48" s="612" t="s">
        <v>185</v>
      </c>
      <c r="N48" s="612" t="s">
        <v>62</v>
      </c>
      <c r="O48" s="612" t="s">
        <v>188</v>
      </c>
    </row>
    <row r="49" spans="1:15" s="612" customFormat="1">
      <c r="A49" s="610" t="s">
        <v>1356</v>
      </c>
      <c r="B49" s="611">
        <v>3</v>
      </c>
      <c r="C49" s="612" t="s">
        <v>312</v>
      </c>
      <c r="D49" s="611">
        <v>36</v>
      </c>
      <c r="E49" s="611" t="str">
        <f t="shared" si="0"/>
        <v>경제형2200CC 이하36</v>
      </c>
      <c r="F49" s="613">
        <f t="shared" si="1"/>
        <v>48070</v>
      </c>
      <c r="G49" s="613">
        <v>43700</v>
      </c>
      <c r="H49" s="613">
        <f t="shared" si="2"/>
        <v>4370</v>
      </c>
      <c r="I49" s="612" t="b">
        <f t="shared" si="3"/>
        <v>1</v>
      </c>
      <c r="K49" s="612" t="s">
        <v>184</v>
      </c>
      <c r="L49" s="612" t="s">
        <v>133</v>
      </c>
      <c r="M49" s="612" t="s">
        <v>185</v>
      </c>
      <c r="N49" s="612" t="s">
        <v>62</v>
      </c>
      <c r="O49" s="612" t="s">
        <v>189</v>
      </c>
    </row>
    <row r="50" spans="1:15" s="612" customFormat="1">
      <c r="A50" s="610" t="s">
        <v>1356</v>
      </c>
      <c r="B50" s="611">
        <v>4</v>
      </c>
      <c r="C50" s="612" t="s">
        <v>447</v>
      </c>
      <c r="D50" s="611">
        <v>36</v>
      </c>
      <c r="E50" s="611" t="str">
        <f t="shared" si="0"/>
        <v>경제형3200CC 이하36</v>
      </c>
      <c r="F50" s="613">
        <f t="shared" si="1"/>
        <v>48070</v>
      </c>
      <c r="G50" s="613">
        <v>43700</v>
      </c>
      <c r="H50" s="613">
        <f t="shared" si="2"/>
        <v>4370</v>
      </c>
      <c r="I50" s="612" t="b">
        <f t="shared" si="3"/>
        <v>1</v>
      </c>
      <c r="K50" s="612" t="s">
        <v>184</v>
      </c>
      <c r="L50" s="612" t="s">
        <v>133</v>
      </c>
      <c r="M50" s="612" t="s">
        <v>185</v>
      </c>
      <c r="N50" s="612" t="s">
        <v>62</v>
      </c>
      <c r="O50" s="612" t="s">
        <v>190</v>
      </c>
    </row>
    <row r="51" spans="1:15" s="612" customFormat="1">
      <c r="A51" s="610" t="s">
        <v>1356</v>
      </c>
      <c r="B51" s="611">
        <v>5</v>
      </c>
      <c r="C51" s="612" t="s">
        <v>508</v>
      </c>
      <c r="D51" s="611">
        <v>36</v>
      </c>
      <c r="E51" s="611" t="str">
        <f t="shared" si="0"/>
        <v>경제형3900CC 이하36</v>
      </c>
      <c r="F51" s="613">
        <f t="shared" si="1"/>
        <v>54780</v>
      </c>
      <c r="G51" s="613">
        <v>49800</v>
      </c>
      <c r="H51" s="613">
        <f t="shared" si="2"/>
        <v>4980</v>
      </c>
      <c r="I51" s="612" t="b">
        <f t="shared" si="3"/>
        <v>1</v>
      </c>
      <c r="K51" s="612" t="s">
        <v>184</v>
      </c>
      <c r="L51" s="612" t="s">
        <v>133</v>
      </c>
      <c r="M51" s="612" t="s">
        <v>191</v>
      </c>
      <c r="N51" s="612" t="s">
        <v>55</v>
      </c>
      <c r="O51" s="612" t="s">
        <v>192</v>
      </c>
    </row>
    <row r="52" spans="1:15" s="612" customFormat="1">
      <c r="A52" s="610" t="s">
        <v>1356</v>
      </c>
      <c r="B52" s="611">
        <v>6</v>
      </c>
      <c r="C52" s="612" t="s">
        <v>549</v>
      </c>
      <c r="D52" s="611">
        <v>36</v>
      </c>
      <c r="E52" s="611" t="str">
        <f t="shared" si="0"/>
        <v>경제형3900CC 초과36</v>
      </c>
      <c r="F52" s="613">
        <f t="shared" si="1"/>
        <v>61710</v>
      </c>
      <c r="G52" s="613">
        <v>56100</v>
      </c>
      <c r="H52" s="613">
        <f t="shared" si="2"/>
        <v>5610</v>
      </c>
      <c r="I52" s="612" t="b">
        <f t="shared" si="3"/>
        <v>1</v>
      </c>
      <c r="K52" s="612" t="s">
        <v>184</v>
      </c>
      <c r="L52" s="612" t="s">
        <v>133</v>
      </c>
      <c r="M52" s="612" t="s">
        <v>191</v>
      </c>
      <c r="N52" s="612" t="s">
        <v>55</v>
      </c>
      <c r="O52" s="612" t="s">
        <v>193</v>
      </c>
    </row>
    <row r="53" spans="1:15" s="612" customFormat="1">
      <c r="A53" s="610" t="s">
        <v>1356</v>
      </c>
      <c r="B53" s="611">
        <v>7</v>
      </c>
      <c r="C53" s="612" t="s">
        <v>804</v>
      </c>
      <c r="D53" s="611">
        <v>36</v>
      </c>
      <c r="E53" s="611" t="str">
        <f t="shared" si="0"/>
        <v>경제형RV저가형(2000CC 이하)36</v>
      </c>
      <c r="F53" s="613">
        <f t="shared" si="1"/>
        <v>52800</v>
      </c>
      <c r="G53" s="613">
        <v>48000</v>
      </c>
      <c r="H53" s="613">
        <f t="shared" si="2"/>
        <v>4800</v>
      </c>
      <c r="I53" s="612" t="b">
        <f t="shared" si="3"/>
        <v>1</v>
      </c>
      <c r="K53" s="612" t="s">
        <v>184</v>
      </c>
      <c r="L53" s="612" t="s">
        <v>133</v>
      </c>
      <c r="M53" s="612" t="s">
        <v>191</v>
      </c>
      <c r="N53" s="612" t="s">
        <v>62</v>
      </c>
      <c r="O53" s="612" t="s">
        <v>194</v>
      </c>
    </row>
    <row r="54" spans="1:15" s="612" customFormat="1">
      <c r="A54" s="610" t="s">
        <v>1356</v>
      </c>
      <c r="B54" s="611">
        <v>8</v>
      </c>
      <c r="C54" s="612" t="s">
        <v>559</v>
      </c>
      <c r="D54" s="611">
        <v>36</v>
      </c>
      <c r="E54" s="611" t="str">
        <f t="shared" si="0"/>
        <v>경제형RV고가형(2000CC 초과)36</v>
      </c>
      <c r="F54" s="613">
        <f t="shared" si="1"/>
        <v>57200</v>
      </c>
      <c r="G54" s="613">
        <v>52000</v>
      </c>
      <c r="H54" s="613">
        <f t="shared" si="2"/>
        <v>5200</v>
      </c>
      <c r="I54" s="612" t="b">
        <f t="shared" si="3"/>
        <v>1</v>
      </c>
      <c r="K54" s="612" t="s">
        <v>184</v>
      </c>
      <c r="L54" s="612" t="s">
        <v>133</v>
      </c>
      <c r="M54" s="612" t="s">
        <v>191</v>
      </c>
      <c r="N54" s="612" t="s">
        <v>62</v>
      </c>
      <c r="O54" s="612" t="s">
        <v>195</v>
      </c>
    </row>
    <row r="55" spans="1:15" s="612" customFormat="1">
      <c r="A55" s="610" t="s">
        <v>1356</v>
      </c>
      <c r="B55" s="611">
        <v>9</v>
      </c>
      <c r="C55" s="612" t="s">
        <v>59</v>
      </c>
      <c r="D55" s="611">
        <v>36</v>
      </c>
      <c r="E55" s="611" t="str">
        <f t="shared" si="0"/>
        <v>경제형승합36</v>
      </c>
      <c r="F55" s="613">
        <f t="shared" si="1"/>
        <v>58740</v>
      </c>
      <c r="G55" s="613">
        <v>53400</v>
      </c>
      <c r="H55" s="613">
        <f t="shared" si="2"/>
        <v>5340</v>
      </c>
      <c r="I55" s="612" t="b">
        <f t="shared" si="3"/>
        <v>1</v>
      </c>
      <c r="K55" s="612" t="s">
        <v>184</v>
      </c>
      <c r="L55" s="612" t="s">
        <v>133</v>
      </c>
      <c r="M55" s="612" t="s">
        <v>191</v>
      </c>
      <c r="N55" s="612" t="s">
        <v>62</v>
      </c>
      <c r="O55" s="612" t="s">
        <v>196</v>
      </c>
    </row>
    <row r="56" spans="1:15" s="612" customFormat="1">
      <c r="A56" s="610" t="s">
        <v>1356</v>
      </c>
      <c r="B56" s="611">
        <v>1</v>
      </c>
      <c r="C56" s="612" t="s">
        <v>132</v>
      </c>
      <c r="D56" s="611">
        <v>48</v>
      </c>
      <c r="E56" s="611" t="str">
        <f t="shared" si="0"/>
        <v>경제형1000CC 이하48</v>
      </c>
      <c r="F56" s="613">
        <f t="shared" si="1"/>
        <v>36630</v>
      </c>
      <c r="G56" s="613">
        <v>33300</v>
      </c>
      <c r="H56" s="613">
        <f t="shared" si="2"/>
        <v>3330</v>
      </c>
      <c r="I56" s="612" t="b">
        <f t="shared" si="3"/>
        <v>1</v>
      </c>
      <c r="K56" s="612" t="s">
        <v>184</v>
      </c>
      <c r="L56" s="612" t="s">
        <v>133</v>
      </c>
      <c r="M56" s="612" t="s">
        <v>191</v>
      </c>
      <c r="N56" s="612" t="s">
        <v>62</v>
      </c>
      <c r="O56" s="612" t="s">
        <v>197</v>
      </c>
    </row>
    <row r="57" spans="1:15" s="612" customFormat="1">
      <c r="A57" s="610" t="s">
        <v>1356</v>
      </c>
      <c r="B57" s="611">
        <v>2</v>
      </c>
      <c r="C57" s="612" t="s">
        <v>184</v>
      </c>
      <c r="D57" s="611">
        <v>48</v>
      </c>
      <c r="E57" s="611" t="str">
        <f t="shared" si="0"/>
        <v>경제형1600CC 이하48</v>
      </c>
      <c r="F57" s="613">
        <f t="shared" si="1"/>
        <v>43450</v>
      </c>
      <c r="G57" s="613">
        <v>39500</v>
      </c>
      <c r="H57" s="613">
        <f t="shared" si="2"/>
        <v>3950</v>
      </c>
      <c r="I57" s="612" t="b">
        <f t="shared" si="3"/>
        <v>1</v>
      </c>
      <c r="K57" s="612" t="s">
        <v>184</v>
      </c>
      <c r="L57" s="612" t="s">
        <v>133</v>
      </c>
      <c r="M57" s="612" t="s">
        <v>191</v>
      </c>
      <c r="N57" s="612" t="s">
        <v>62</v>
      </c>
      <c r="O57" s="612" t="s">
        <v>198</v>
      </c>
    </row>
    <row r="58" spans="1:15" s="612" customFormat="1">
      <c r="A58" s="610" t="s">
        <v>1356</v>
      </c>
      <c r="B58" s="611">
        <v>3</v>
      </c>
      <c r="C58" s="612" t="s">
        <v>312</v>
      </c>
      <c r="D58" s="611">
        <v>48</v>
      </c>
      <c r="E58" s="611" t="str">
        <f t="shared" si="0"/>
        <v>경제형2200CC 이하48</v>
      </c>
      <c r="F58" s="613">
        <f t="shared" si="1"/>
        <v>48840</v>
      </c>
      <c r="G58" s="613">
        <v>44400</v>
      </c>
      <c r="H58" s="613">
        <f t="shared" si="2"/>
        <v>4440</v>
      </c>
      <c r="I58" s="612" t="b">
        <f t="shared" si="3"/>
        <v>1</v>
      </c>
      <c r="K58" s="612" t="s">
        <v>184</v>
      </c>
      <c r="L58" s="612" t="s">
        <v>133</v>
      </c>
      <c r="M58" s="612" t="s">
        <v>191</v>
      </c>
      <c r="N58" s="612" t="s">
        <v>62</v>
      </c>
      <c r="O58" s="612" t="s">
        <v>199</v>
      </c>
    </row>
    <row r="59" spans="1:15" s="612" customFormat="1">
      <c r="A59" s="610" t="s">
        <v>1356</v>
      </c>
      <c r="B59" s="611">
        <v>4</v>
      </c>
      <c r="C59" s="612" t="s">
        <v>447</v>
      </c>
      <c r="D59" s="611">
        <v>48</v>
      </c>
      <c r="E59" s="611" t="str">
        <f t="shared" si="0"/>
        <v>경제형3200CC 이하48</v>
      </c>
      <c r="F59" s="613">
        <f t="shared" si="1"/>
        <v>49060</v>
      </c>
      <c r="G59" s="613">
        <v>44600</v>
      </c>
      <c r="H59" s="613">
        <f t="shared" si="2"/>
        <v>4460</v>
      </c>
      <c r="I59" s="612" t="b">
        <f t="shared" si="3"/>
        <v>1</v>
      </c>
      <c r="K59" s="612" t="s">
        <v>184</v>
      </c>
      <c r="L59" s="612" t="s">
        <v>133</v>
      </c>
      <c r="M59" s="612" t="s">
        <v>191</v>
      </c>
      <c r="N59" s="612" t="s">
        <v>62</v>
      </c>
      <c r="O59" s="612" t="s">
        <v>200</v>
      </c>
    </row>
    <row r="60" spans="1:15" s="612" customFormat="1">
      <c r="A60" s="610" t="s">
        <v>1356</v>
      </c>
      <c r="B60" s="611">
        <v>5</v>
      </c>
      <c r="C60" s="612" t="s">
        <v>508</v>
      </c>
      <c r="D60" s="611">
        <v>48</v>
      </c>
      <c r="E60" s="611" t="str">
        <f t="shared" si="0"/>
        <v>경제형3900CC 이하48</v>
      </c>
      <c r="F60" s="613">
        <f t="shared" si="1"/>
        <v>55770</v>
      </c>
      <c r="G60" s="613">
        <v>50700</v>
      </c>
      <c r="H60" s="613">
        <f t="shared" si="2"/>
        <v>5070</v>
      </c>
      <c r="I60" s="612" t="b">
        <f t="shared" si="3"/>
        <v>1</v>
      </c>
      <c r="K60" s="612" t="s">
        <v>184</v>
      </c>
      <c r="L60" s="612" t="s">
        <v>133</v>
      </c>
      <c r="M60" s="612" t="s">
        <v>191</v>
      </c>
      <c r="N60" s="612" t="s">
        <v>62</v>
      </c>
      <c r="O60" s="612" t="s">
        <v>201</v>
      </c>
    </row>
    <row r="61" spans="1:15" s="612" customFormat="1">
      <c r="A61" s="610" t="s">
        <v>1356</v>
      </c>
      <c r="B61" s="611">
        <v>6</v>
      </c>
      <c r="C61" s="612" t="s">
        <v>549</v>
      </c>
      <c r="D61" s="611">
        <v>48</v>
      </c>
      <c r="E61" s="611" t="str">
        <f t="shared" si="0"/>
        <v>경제형3900CC 초과48</v>
      </c>
      <c r="F61" s="613">
        <f t="shared" si="1"/>
        <v>61160</v>
      </c>
      <c r="G61" s="613">
        <v>55600</v>
      </c>
      <c r="H61" s="613">
        <f t="shared" si="2"/>
        <v>5560</v>
      </c>
      <c r="I61" s="612" t="b">
        <f t="shared" si="3"/>
        <v>1</v>
      </c>
      <c r="K61" s="612" t="s">
        <v>184</v>
      </c>
      <c r="L61" s="612" t="s">
        <v>133</v>
      </c>
      <c r="M61" s="612" t="s">
        <v>191</v>
      </c>
      <c r="N61" s="612" t="s">
        <v>62</v>
      </c>
      <c r="O61" s="612" t="s">
        <v>202</v>
      </c>
    </row>
    <row r="62" spans="1:15" s="612" customFormat="1">
      <c r="A62" s="610" t="s">
        <v>1356</v>
      </c>
      <c r="B62" s="611">
        <v>7</v>
      </c>
      <c r="C62" s="612" t="s">
        <v>804</v>
      </c>
      <c r="D62" s="611">
        <v>48</v>
      </c>
      <c r="E62" s="611" t="str">
        <f t="shared" si="0"/>
        <v>경제형RV저가형(2000CC 이하)48</v>
      </c>
      <c r="F62" s="613">
        <f t="shared" si="1"/>
        <v>54230</v>
      </c>
      <c r="G62" s="613">
        <v>49300</v>
      </c>
      <c r="H62" s="613">
        <f t="shared" si="2"/>
        <v>4930</v>
      </c>
      <c r="I62" s="612" t="b">
        <f t="shared" si="3"/>
        <v>1</v>
      </c>
      <c r="K62" s="612" t="s">
        <v>184</v>
      </c>
      <c r="L62" s="612" t="s">
        <v>133</v>
      </c>
      <c r="M62" s="612" t="s">
        <v>191</v>
      </c>
      <c r="N62" s="612" t="s">
        <v>62</v>
      </c>
      <c r="O62" s="612" t="s">
        <v>203</v>
      </c>
    </row>
    <row r="63" spans="1:15" s="612" customFormat="1">
      <c r="A63" s="610" t="s">
        <v>1356</v>
      </c>
      <c r="B63" s="611">
        <v>8</v>
      </c>
      <c r="C63" s="612" t="s">
        <v>559</v>
      </c>
      <c r="D63" s="611">
        <v>48</v>
      </c>
      <c r="E63" s="611" t="str">
        <f t="shared" si="0"/>
        <v>경제형RV고가형(2000CC 초과)48</v>
      </c>
      <c r="F63" s="613">
        <f t="shared" si="1"/>
        <v>57090</v>
      </c>
      <c r="G63" s="613">
        <v>51900</v>
      </c>
      <c r="H63" s="613">
        <f t="shared" si="2"/>
        <v>5190</v>
      </c>
      <c r="I63" s="612" t="b">
        <f t="shared" si="3"/>
        <v>1</v>
      </c>
      <c r="K63" s="612" t="s">
        <v>184</v>
      </c>
      <c r="L63" s="612" t="s">
        <v>133</v>
      </c>
      <c r="M63" s="612" t="s">
        <v>191</v>
      </c>
      <c r="N63" s="612" t="s">
        <v>62</v>
      </c>
      <c r="O63" s="612" t="s">
        <v>204</v>
      </c>
    </row>
    <row r="64" spans="1:15" s="612" customFormat="1">
      <c r="A64" s="610" t="s">
        <v>1356</v>
      </c>
      <c r="B64" s="611">
        <v>9</v>
      </c>
      <c r="C64" s="612" t="s">
        <v>59</v>
      </c>
      <c r="D64" s="611">
        <v>48</v>
      </c>
      <c r="E64" s="611" t="str">
        <f t="shared" si="0"/>
        <v>경제형승합48</v>
      </c>
      <c r="F64" s="613">
        <f t="shared" si="1"/>
        <v>57970</v>
      </c>
      <c r="G64" s="613">
        <v>52700</v>
      </c>
      <c r="H64" s="613">
        <f t="shared" si="2"/>
        <v>5270</v>
      </c>
      <c r="I64" s="612" t="b">
        <f t="shared" si="3"/>
        <v>1</v>
      </c>
      <c r="K64" s="612" t="s">
        <v>184</v>
      </c>
      <c r="L64" s="612" t="s">
        <v>133</v>
      </c>
      <c r="M64" s="612" t="s">
        <v>191</v>
      </c>
      <c r="N64" s="612" t="s">
        <v>62</v>
      </c>
      <c r="O64" s="612" t="s">
        <v>205</v>
      </c>
    </row>
    <row r="65" spans="1:15">
      <c r="A65" s="42" t="s">
        <v>1356</v>
      </c>
      <c r="B65" s="43">
        <v>1</v>
      </c>
      <c r="C65" s="36" t="s">
        <v>132</v>
      </c>
      <c r="D65" s="43">
        <v>60</v>
      </c>
      <c r="E65" s="43" t="str">
        <f t="shared" si="0"/>
        <v>경제형1000CC 이하60</v>
      </c>
      <c r="F65" s="44">
        <f t="shared" si="1"/>
        <v>36630</v>
      </c>
      <c r="G65" s="44">
        <v>33300</v>
      </c>
      <c r="H65" s="44">
        <f t="shared" si="2"/>
        <v>3330</v>
      </c>
      <c r="I65" s="36" t="b">
        <f t="shared" si="3"/>
        <v>1</v>
      </c>
      <c r="K65" s="36" t="s">
        <v>184</v>
      </c>
      <c r="L65" s="36" t="s">
        <v>133</v>
      </c>
      <c r="M65" s="36" t="s">
        <v>191</v>
      </c>
      <c r="N65" s="36" t="s">
        <v>62</v>
      </c>
      <c r="O65" s="36" t="s">
        <v>206</v>
      </c>
    </row>
    <row r="66" spans="1:15">
      <c r="A66" s="42" t="s">
        <v>1356</v>
      </c>
      <c r="B66" s="43">
        <v>2</v>
      </c>
      <c r="C66" s="36" t="s">
        <v>184</v>
      </c>
      <c r="D66" s="43">
        <v>60</v>
      </c>
      <c r="E66" s="43" t="str">
        <f t="shared" si="0"/>
        <v>경제형1600CC 이하60</v>
      </c>
      <c r="F66" s="44">
        <f t="shared" si="1"/>
        <v>43010</v>
      </c>
      <c r="G66" s="44">
        <v>39100</v>
      </c>
      <c r="H66" s="44">
        <f t="shared" si="2"/>
        <v>3910</v>
      </c>
      <c r="I66" s="36" t="b">
        <f t="shared" si="3"/>
        <v>1</v>
      </c>
      <c r="K66" s="36" t="s">
        <v>184</v>
      </c>
      <c r="L66" s="36" t="s">
        <v>133</v>
      </c>
      <c r="M66" s="36" t="s">
        <v>207</v>
      </c>
      <c r="N66" s="36" t="s">
        <v>208</v>
      </c>
      <c r="O66" s="36" t="s">
        <v>209</v>
      </c>
    </row>
    <row r="67" spans="1:15">
      <c r="A67" s="42" t="s">
        <v>1356</v>
      </c>
      <c r="B67" s="43">
        <v>3</v>
      </c>
      <c r="C67" s="36" t="s">
        <v>312</v>
      </c>
      <c r="D67" s="43">
        <v>60</v>
      </c>
      <c r="E67" s="43" t="str">
        <f t="shared" ref="E67:E109" si="4">A67&amp;C67&amp;D67</f>
        <v>경제형2200CC 이하60</v>
      </c>
      <c r="F67" s="44">
        <f t="shared" ref="F67:F109" si="5">+G67+H67</f>
        <v>48840</v>
      </c>
      <c r="G67" s="44">
        <v>44400</v>
      </c>
      <c r="H67" s="44">
        <f t="shared" ref="H67:H109" si="6">G67*0.1</f>
        <v>4440</v>
      </c>
      <c r="I67" s="36" t="b">
        <f t="shared" ref="I67:I109" si="7">H67+G67=F67</f>
        <v>1</v>
      </c>
      <c r="K67" s="36" t="s">
        <v>184</v>
      </c>
      <c r="L67" s="36" t="s">
        <v>133</v>
      </c>
      <c r="M67" s="36" t="s">
        <v>207</v>
      </c>
      <c r="N67" s="36" t="s">
        <v>208</v>
      </c>
      <c r="O67" s="36" t="s">
        <v>210</v>
      </c>
    </row>
    <row r="68" spans="1:15">
      <c r="A68" s="42" t="s">
        <v>1356</v>
      </c>
      <c r="B68" s="43">
        <v>4</v>
      </c>
      <c r="C68" s="36" t="s">
        <v>447</v>
      </c>
      <c r="D68" s="43">
        <v>60</v>
      </c>
      <c r="E68" s="43" t="str">
        <f t="shared" si="4"/>
        <v>경제형3200CC 이하60</v>
      </c>
      <c r="F68" s="44">
        <f t="shared" si="5"/>
        <v>48620</v>
      </c>
      <c r="G68" s="44">
        <v>44200</v>
      </c>
      <c r="H68" s="44">
        <f t="shared" si="6"/>
        <v>4420</v>
      </c>
      <c r="I68" s="36" t="b">
        <f t="shared" si="7"/>
        <v>1</v>
      </c>
      <c r="K68" s="36" t="s">
        <v>184</v>
      </c>
      <c r="L68" s="36" t="s">
        <v>40</v>
      </c>
      <c r="M68" s="36" t="s">
        <v>211</v>
      </c>
      <c r="N68" s="36" t="s">
        <v>62</v>
      </c>
      <c r="O68" s="36" t="s">
        <v>212</v>
      </c>
    </row>
    <row r="69" spans="1:15">
      <c r="A69" s="42" t="s">
        <v>1356</v>
      </c>
      <c r="B69" s="43">
        <v>5</v>
      </c>
      <c r="C69" s="36" t="s">
        <v>508</v>
      </c>
      <c r="D69" s="43">
        <v>60</v>
      </c>
      <c r="E69" s="43" t="str">
        <f t="shared" si="4"/>
        <v>경제형3900CC 이하60</v>
      </c>
      <c r="F69" s="44">
        <f t="shared" si="5"/>
        <v>59400</v>
      </c>
      <c r="G69" s="44">
        <v>54000</v>
      </c>
      <c r="H69" s="44">
        <f t="shared" si="6"/>
        <v>5400</v>
      </c>
      <c r="I69" s="36" t="b">
        <f t="shared" si="7"/>
        <v>1</v>
      </c>
      <c r="K69" s="36" t="s">
        <v>184</v>
      </c>
      <c r="L69" s="36" t="s">
        <v>40</v>
      </c>
      <c r="M69" s="36" t="s">
        <v>211</v>
      </c>
      <c r="N69" s="36" t="s">
        <v>62</v>
      </c>
      <c r="O69" s="36" t="s">
        <v>213</v>
      </c>
    </row>
    <row r="70" spans="1:15">
      <c r="A70" s="42" t="s">
        <v>1356</v>
      </c>
      <c r="B70" s="43">
        <v>6</v>
      </c>
      <c r="C70" s="36" t="s">
        <v>549</v>
      </c>
      <c r="D70" s="43">
        <v>60</v>
      </c>
      <c r="E70" s="43" t="str">
        <f t="shared" si="4"/>
        <v>경제형3900CC 초과60</v>
      </c>
      <c r="F70" s="44">
        <f t="shared" si="5"/>
        <v>60390</v>
      </c>
      <c r="G70" s="44">
        <v>54900</v>
      </c>
      <c r="H70" s="44">
        <f t="shared" si="6"/>
        <v>5490</v>
      </c>
      <c r="I70" s="36" t="b">
        <f t="shared" si="7"/>
        <v>1</v>
      </c>
      <c r="K70" s="36" t="s">
        <v>184</v>
      </c>
      <c r="L70" s="36" t="s">
        <v>40</v>
      </c>
      <c r="M70" s="36" t="s">
        <v>211</v>
      </c>
      <c r="N70" s="36" t="s">
        <v>62</v>
      </c>
      <c r="O70" s="36" t="s">
        <v>214</v>
      </c>
    </row>
    <row r="71" spans="1:15">
      <c r="A71" s="42" t="s">
        <v>1356</v>
      </c>
      <c r="B71" s="43">
        <v>7</v>
      </c>
      <c r="C71" s="36" t="s">
        <v>804</v>
      </c>
      <c r="D71" s="43">
        <v>60</v>
      </c>
      <c r="E71" s="43" t="str">
        <f t="shared" si="4"/>
        <v>경제형RV저가형(2000CC 이하)60</v>
      </c>
      <c r="F71" s="44">
        <f t="shared" si="5"/>
        <v>53460</v>
      </c>
      <c r="G71" s="44">
        <v>48600</v>
      </c>
      <c r="H71" s="44">
        <f t="shared" si="6"/>
        <v>4860</v>
      </c>
      <c r="I71" s="36" t="b">
        <f t="shared" si="7"/>
        <v>1</v>
      </c>
      <c r="K71" s="36" t="s">
        <v>184</v>
      </c>
      <c r="L71" s="36" t="s">
        <v>40</v>
      </c>
      <c r="M71" s="36" t="s">
        <v>211</v>
      </c>
      <c r="N71" s="36" t="s">
        <v>62</v>
      </c>
      <c r="O71" s="36" t="s">
        <v>215</v>
      </c>
    </row>
    <row r="72" spans="1:15">
      <c r="A72" s="42" t="s">
        <v>1356</v>
      </c>
      <c r="B72" s="43">
        <v>8</v>
      </c>
      <c r="C72" s="36" t="s">
        <v>559</v>
      </c>
      <c r="D72" s="43">
        <v>60</v>
      </c>
      <c r="E72" s="43" t="str">
        <f t="shared" si="4"/>
        <v>경제형RV고가형(2000CC 초과)60</v>
      </c>
      <c r="F72" s="44">
        <f t="shared" si="5"/>
        <v>57200</v>
      </c>
      <c r="G72" s="44">
        <v>52000</v>
      </c>
      <c r="H72" s="44">
        <f t="shared" si="6"/>
        <v>5200</v>
      </c>
      <c r="I72" s="36" t="b">
        <f t="shared" si="7"/>
        <v>1</v>
      </c>
      <c r="K72" s="36" t="s">
        <v>184</v>
      </c>
      <c r="L72" s="36" t="s">
        <v>40</v>
      </c>
      <c r="M72" s="36" t="s">
        <v>211</v>
      </c>
      <c r="N72" s="36" t="s">
        <v>62</v>
      </c>
      <c r="O72" s="36" t="s">
        <v>216</v>
      </c>
    </row>
    <row r="73" spans="1:15">
      <c r="A73" s="42" t="s">
        <v>1356</v>
      </c>
      <c r="B73" s="43">
        <v>9</v>
      </c>
      <c r="C73" s="36" t="s">
        <v>59</v>
      </c>
      <c r="D73" s="43">
        <v>60</v>
      </c>
      <c r="E73" s="43" t="str">
        <f t="shared" si="4"/>
        <v>경제형승합60</v>
      </c>
      <c r="F73" s="44">
        <f t="shared" si="5"/>
        <v>58300</v>
      </c>
      <c r="G73" s="44">
        <v>53000</v>
      </c>
      <c r="H73" s="44">
        <f t="shared" si="6"/>
        <v>5300</v>
      </c>
      <c r="I73" s="36" t="b">
        <f t="shared" si="7"/>
        <v>1</v>
      </c>
      <c r="K73" s="36" t="s">
        <v>184</v>
      </c>
      <c r="L73" s="36" t="s">
        <v>40</v>
      </c>
      <c r="M73" s="36" t="s">
        <v>211</v>
      </c>
      <c r="N73" s="36" t="s">
        <v>62</v>
      </c>
      <c r="O73" s="36" t="s">
        <v>217</v>
      </c>
    </row>
    <row r="74" spans="1:15">
      <c r="A74" s="42" t="s">
        <v>1357</v>
      </c>
      <c r="B74" s="43">
        <v>1</v>
      </c>
      <c r="C74" s="36" t="s">
        <v>132</v>
      </c>
      <c r="D74" s="43">
        <v>24</v>
      </c>
      <c r="E74" s="43" t="str">
        <f t="shared" si="4"/>
        <v>고급형1000CC 이하24</v>
      </c>
      <c r="F74" s="44">
        <f t="shared" si="5"/>
        <v>48290</v>
      </c>
      <c r="G74" s="44">
        <v>43900</v>
      </c>
      <c r="H74" s="44">
        <f t="shared" si="6"/>
        <v>4390</v>
      </c>
      <c r="I74" s="36" t="b">
        <f t="shared" si="7"/>
        <v>1</v>
      </c>
      <c r="K74" s="36" t="s">
        <v>184</v>
      </c>
      <c r="L74" s="36" t="s">
        <v>40</v>
      </c>
      <c r="M74" s="36" t="s">
        <v>211</v>
      </c>
      <c r="N74" s="36" t="s">
        <v>62</v>
      </c>
      <c r="O74" s="36" t="s">
        <v>218</v>
      </c>
    </row>
    <row r="75" spans="1:15">
      <c r="A75" s="42" t="s">
        <v>1357</v>
      </c>
      <c r="B75" s="43">
        <v>2</v>
      </c>
      <c r="C75" s="36" t="s">
        <v>184</v>
      </c>
      <c r="D75" s="43">
        <v>24</v>
      </c>
      <c r="E75" s="43" t="str">
        <f t="shared" si="4"/>
        <v>고급형1600CC 이하24</v>
      </c>
      <c r="F75" s="44">
        <f t="shared" si="5"/>
        <v>54670</v>
      </c>
      <c r="G75" s="44">
        <v>49700</v>
      </c>
      <c r="H75" s="44">
        <f t="shared" si="6"/>
        <v>4970</v>
      </c>
      <c r="I75" s="36" t="b">
        <f t="shared" si="7"/>
        <v>1</v>
      </c>
      <c r="K75" s="36" t="s">
        <v>184</v>
      </c>
      <c r="L75" s="36" t="s">
        <v>40</v>
      </c>
      <c r="M75" s="36" t="s">
        <v>219</v>
      </c>
      <c r="N75" s="36" t="s">
        <v>62</v>
      </c>
      <c r="O75" s="36" t="s">
        <v>220</v>
      </c>
    </row>
    <row r="76" spans="1:15">
      <c r="A76" s="42" t="s">
        <v>1357</v>
      </c>
      <c r="B76" s="43">
        <v>3</v>
      </c>
      <c r="C76" s="36" t="s">
        <v>312</v>
      </c>
      <c r="D76" s="43">
        <v>24</v>
      </c>
      <c r="E76" s="43" t="str">
        <f t="shared" si="4"/>
        <v>고급형2200CC 이하24</v>
      </c>
      <c r="F76" s="44">
        <f t="shared" si="5"/>
        <v>57970</v>
      </c>
      <c r="G76" s="44">
        <v>52700</v>
      </c>
      <c r="H76" s="44">
        <f t="shared" si="6"/>
        <v>5270</v>
      </c>
      <c r="I76" s="36" t="b">
        <f t="shared" si="7"/>
        <v>1</v>
      </c>
      <c r="K76" s="36" t="s">
        <v>184</v>
      </c>
      <c r="L76" s="36" t="s">
        <v>40</v>
      </c>
      <c r="M76" s="36" t="s">
        <v>219</v>
      </c>
      <c r="N76" s="36" t="s">
        <v>62</v>
      </c>
      <c r="O76" s="36" t="s">
        <v>221</v>
      </c>
    </row>
    <row r="77" spans="1:15">
      <c r="A77" s="42" t="s">
        <v>1357</v>
      </c>
      <c r="B77" s="43">
        <v>4</v>
      </c>
      <c r="C77" s="36" t="s">
        <v>447</v>
      </c>
      <c r="D77" s="43">
        <v>24</v>
      </c>
      <c r="E77" s="43" t="str">
        <f t="shared" si="4"/>
        <v>고급형3200CC 이하24</v>
      </c>
      <c r="F77" s="44">
        <f t="shared" si="5"/>
        <v>61710</v>
      </c>
      <c r="G77" s="44">
        <v>56100</v>
      </c>
      <c r="H77" s="44">
        <f t="shared" si="6"/>
        <v>5610</v>
      </c>
      <c r="I77" s="36" t="b">
        <f t="shared" si="7"/>
        <v>1</v>
      </c>
      <c r="K77" s="36" t="s">
        <v>184</v>
      </c>
      <c r="L77" s="36" t="s">
        <v>40</v>
      </c>
      <c r="M77" s="36" t="s">
        <v>219</v>
      </c>
      <c r="N77" s="36" t="s">
        <v>62</v>
      </c>
      <c r="O77" s="36" t="s">
        <v>222</v>
      </c>
    </row>
    <row r="78" spans="1:15">
      <c r="A78" s="42" t="s">
        <v>1357</v>
      </c>
      <c r="B78" s="43">
        <v>5</v>
      </c>
      <c r="C78" s="36" t="s">
        <v>508</v>
      </c>
      <c r="D78" s="43">
        <v>24</v>
      </c>
      <c r="E78" s="43" t="str">
        <f t="shared" si="4"/>
        <v>고급형3900CC 이하24</v>
      </c>
      <c r="F78" s="44">
        <f t="shared" si="5"/>
        <v>72600</v>
      </c>
      <c r="G78" s="44">
        <v>66000</v>
      </c>
      <c r="H78" s="44">
        <f t="shared" si="6"/>
        <v>6600</v>
      </c>
      <c r="I78" s="36" t="b">
        <f t="shared" si="7"/>
        <v>1</v>
      </c>
      <c r="K78" s="36" t="s">
        <v>184</v>
      </c>
      <c r="L78" s="36" t="s">
        <v>40</v>
      </c>
      <c r="M78" s="36" t="s">
        <v>219</v>
      </c>
      <c r="N78" s="36" t="s">
        <v>62</v>
      </c>
      <c r="O78" s="36" t="s">
        <v>223</v>
      </c>
    </row>
    <row r="79" spans="1:15">
      <c r="A79" s="42" t="s">
        <v>1357</v>
      </c>
      <c r="B79" s="43">
        <v>6</v>
      </c>
      <c r="C79" s="36" t="s">
        <v>549</v>
      </c>
      <c r="D79" s="43">
        <v>24</v>
      </c>
      <c r="E79" s="43" t="str">
        <f t="shared" si="4"/>
        <v>고급형3900CC 초과24</v>
      </c>
      <c r="F79" s="44">
        <f t="shared" si="5"/>
        <v>73700</v>
      </c>
      <c r="G79" s="44">
        <v>67000</v>
      </c>
      <c r="H79" s="44">
        <f t="shared" si="6"/>
        <v>6700</v>
      </c>
      <c r="I79" s="36" t="b">
        <f t="shared" si="7"/>
        <v>1</v>
      </c>
      <c r="K79" s="36" t="s">
        <v>184</v>
      </c>
      <c r="L79" s="36" t="s">
        <v>40</v>
      </c>
      <c r="M79" s="36" t="s">
        <v>224</v>
      </c>
      <c r="N79" s="36" t="s">
        <v>55</v>
      </c>
      <c r="O79" s="36" t="s">
        <v>225</v>
      </c>
    </row>
    <row r="80" spans="1:15">
      <c r="A80" s="42" t="s">
        <v>1357</v>
      </c>
      <c r="B80" s="43">
        <v>7</v>
      </c>
      <c r="C80" s="36" t="s">
        <v>804</v>
      </c>
      <c r="D80" s="43">
        <v>24</v>
      </c>
      <c r="E80" s="43" t="str">
        <f t="shared" si="4"/>
        <v>고급형RV저가형(2000CC 이하)24</v>
      </c>
      <c r="F80" s="44">
        <f t="shared" si="5"/>
        <v>72930</v>
      </c>
      <c r="G80" s="44">
        <v>66300</v>
      </c>
      <c r="H80" s="44">
        <f t="shared" si="6"/>
        <v>6630</v>
      </c>
      <c r="I80" s="36" t="b">
        <f t="shared" si="7"/>
        <v>1</v>
      </c>
      <c r="K80" s="36" t="s">
        <v>184</v>
      </c>
      <c r="L80" s="36" t="s">
        <v>40</v>
      </c>
      <c r="M80" s="36" t="s">
        <v>224</v>
      </c>
      <c r="N80" s="36" t="s">
        <v>55</v>
      </c>
      <c r="O80" s="36" t="s">
        <v>226</v>
      </c>
    </row>
    <row r="81" spans="1:15">
      <c r="A81" s="42" t="s">
        <v>1357</v>
      </c>
      <c r="B81" s="43">
        <v>8</v>
      </c>
      <c r="C81" s="36" t="s">
        <v>559</v>
      </c>
      <c r="D81" s="43">
        <v>24</v>
      </c>
      <c r="E81" s="43" t="str">
        <f t="shared" si="4"/>
        <v>고급형RV고가형(2000CC 초과)24</v>
      </c>
      <c r="F81" s="44">
        <f t="shared" si="5"/>
        <v>77330</v>
      </c>
      <c r="G81" s="44">
        <v>70300</v>
      </c>
      <c r="H81" s="44">
        <f t="shared" si="6"/>
        <v>7030</v>
      </c>
      <c r="I81" s="36" t="b">
        <f t="shared" si="7"/>
        <v>1</v>
      </c>
      <c r="K81" s="36" t="s">
        <v>184</v>
      </c>
      <c r="L81" s="36" t="s">
        <v>40</v>
      </c>
      <c r="M81" s="36" t="s">
        <v>224</v>
      </c>
      <c r="N81" s="36" t="s">
        <v>55</v>
      </c>
      <c r="O81" s="36" t="s">
        <v>227</v>
      </c>
    </row>
    <row r="82" spans="1:15">
      <c r="A82" s="42" t="s">
        <v>1357</v>
      </c>
      <c r="B82" s="43">
        <v>9</v>
      </c>
      <c r="C82" s="36" t="s">
        <v>59</v>
      </c>
      <c r="D82" s="43">
        <v>24</v>
      </c>
      <c r="E82" s="43" t="str">
        <f t="shared" si="4"/>
        <v>고급형승합24</v>
      </c>
      <c r="F82" s="44">
        <f t="shared" si="5"/>
        <v>78760</v>
      </c>
      <c r="G82" s="44">
        <v>71600</v>
      </c>
      <c r="H82" s="44">
        <f t="shared" si="6"/>
        <v>7160</v>
      </c>
      <c r="I82" s="36" t="b">
        <f t="shared" si="7"/>
        <v>1</v>
      </c>
      <c r="K82" s="36" t="s">
        <v>184</v>
      </c>
      <c r="L82" s="36" t="s">
        <v>40</v>
      </c>
      <c r="M82" s="36" t="s">
        <v>224</v>
      </c>
      <c r="N82" s="36" t="s">
        <v>62</v>
      </c>
      <c r="O82" s="36" t="s">
        <v>228</v>
      </c>
    </row>
    <row r="83" spans="1:15">
      <c r="A83" s="42" t="s">
        <v>1357</v>
      </c>
      <c r="B83" s="43">
        <v>1</v>
      </c>
      <c r="C83" s="36" t="s">
        <v>132</v>
      </c>
      <c r="D83" s="43">
        <v>36</v>
      </c>
      <c r="E83" s="43" t="str">
        <f t="shared" si="4"/>
        <v>고급형1000CC 이하36</v>
      </c>
      <c r="F83" s="44">
        <f t="shared" si="5"/>
        <v>53680</v>
      </c>
      <c r="G83" s="44">
        <v>48800</v>
      </c>
      <c r="H83" s="44">
        <f t="shared" si="6"/>
        <v>4880</v>
      </c>
      <c r="I83" s="36" t="b">
        <f t="shared" si="7"/>
        <v>1</v>
      </c>
      <c r="K83" s="36" t="s">
        <v>184</v>
      </c>
      <c r="L83" s="36" t="s">
        <v>40</v>
      </c>
      <c r="M83" s="36" t="s">
        <v>224</v>
      </c>
      <c r="N83" s="36" t="s">
        <v>62</v>
      </c>
      <c r="O83" s="36" t="s">
        <v>229</v>
      </c>
    </row>
    <row r="84" spans="1:15">
      <c r="A84" s="42" t="s">
        <v>1357</v>
      </c>
      <c r="B84" s="43">
        <v>2</v>
      </c>
      <c r="C84" s="36" t="s">
        <v>184</v>
      </c>
      <c r="D84" s="43">
        <v>36</v>
      </c>
      <c r="E84" s="43" t="str">
        <f t="shared" si="4"/>
        <v>고급형1600CC 이하36</v>
      </c>
      <c r="F84" s="44">
        <f t="shared" si="5"/>
        <v>57420</v>
      </c>
      <c r="G84" s="44">
        <v>52200</v>
      </c>
      <c r="H84" s="44">
        <f t="shared" si="6"/>
        <v>5220</v>
      </c>
      <c r="I84" s="36" t="b">
        <f t="shared" si="7"/>
        <v>1</v>
      </c>
      <c r="K84" s="36" t="s">
        <v>184</v>
      </c>
      <c r="L84" s="36" t="s">
        <v>40</v>
      </c>
      <c r="M84" s="36" t="s">
        <v>224</v>
      </c>
      <c r="N84" s="36" t="s">
        <v>62</v>
      </c>
      <c r="O84" s="36" t="s">
        <v>230</v>
      </c>
    </row>
    <row r="85" spans="1:15">
      <c r="A85" s="42" t="s">
        <v>1357</v>
      </c>
      <c r="B85" s="43">
        <v>3</v>
      </c>
      <c r="C85" s="36" t="s">
        <v>312</v>
      </c>
      <c r="D85" s="43">
        <v>36</v>
      </c>
      <c r="E85" s="43" t="str">
        <f t="shared" si="4"/>
        <v>고급형2200CC 이하36</v>
      </c>
      <c r="F85" s="44">
        <f t="shared" si="5"/>
        <v>66660</v>
      </c>
      <c r="G85" s="44">
        <v>60600</v>
      </c>
      <c r="H85" s="44">
        <f t="shared" si="6"/>
        <v>6060</v>
      </c>
      <c r="I85" s="36" t="b">
        <f t="shared" si="7"/>
        <v>1</v>
      </c>
      <c r="K85" s="36" t="s">
        <v>184</v>
      </c>
      <c r="L85" s="36" t="s">
        <v>40</v>
      </c>
      <c r="M85" s="36" t="s">
        <v>224</v>
      </c>
      <c r="N85" s="36" t="s">
        <v>62</v>
      </c>
      <c r="O85" s="36" t="s">
        <v>231</v>
      </c>
    </row>
    <row r="86" spans="1:15">
      <c r="A86" s="42" t="s">
        <v>1357</v>
      </c>
      <c r="B86" s="43">
        <v>4</v>
      </c>
      <c r="C86" s="36" t="s">
        <v>447</v>
      </c>
      <c r="D86" s="43">
        <v>36</v>
      </c>
      <c r="E86" s="43" t="str">
        <f t="shared" si="4"/>
        <v>고급형3200CC 이하36</v>
      </c>
      <c r="F86" s="44">
        <f t="shared" si="5"/>
        <v>72380</v>
      </c>
      <c r="G86" s="44">
        <v>65800</v>
      </c>
      <c r="H86" s="44">
        <f t="shared" si="6"/>
        <v>6580</v>
      </c>
      <c r="I86" s="36" t="b">
        <f t="shared" si="7"/>
        <v>1</v>
      </c>
      <c r="K86" s="36" t="s">
        <v>184</v>
      </c>
      <c r="L86" s="36" t="s">
        <v>40</v>
      </c>
      <c r="M86" s="36" t="s">
        <v>224</v>
      </c>
      <c r="N86" s="36" t="s">
        <v>62</v>
      </c>
      <c r="O86" s="36" t="s">
        <v>232</v>
      </c>
    </row>
    <row r="87" spans="1:15">
      <c r="A87" s="42" t="s">
        <v>1357</v>
      </c>
      <c r="B87" s="43">
        <v>5</v>
      </c>
      <c r="C87" s="36" t="s">
        <v>508</v>
      </c>
      <c r="D87" s="43">
        <v>36</v>
      </c>
      <c r="E87" s="43" t="str">
        <f t="shared" si="4"/>
        <v>고급형3900CC 이하36</v>
      </c>
      <c r="F87" s="44">
        <f t="shared" si="5"/>
        <v>77550</v>
      </c>
      <c r="G87" s="44">
        <v>70500</v>
      </c>
      <c r="H87" s="44">
        <f t="shared" si="6"/>
        <v>7050</v>
      </c>
      <c r="I87" s="36" t="b">
        <f t="shared" si="7"/>
        <v>1</v>
      </c>
      <c r="K87" s="36" t="s">
        <v>184</v>
      </c>
      <c r="L87" s="36" t="s">
        <v>40</v>
      </c>
      <c r="M87" s="36" t="s">
        <v>224</v>
      </c>
      <c r="N87" s="36" t="s">
        <v>62</v>
      </c>
      <c r="O87" s="36" t="s">
        <v>233</v>
      </c>
    </row>
    <row r="88" spans="1:15">
      <c r="A88" s="42" t="s">
        <v>1357</v>
      </c>
      <c r="B88" s="43">
        <v>6</v>
      </c>
      <c r="C88" s="36" t="s">
        <v>549</v>
      </c>
      <c r="D88" s="43">
        <v>36</v>
      </c>
      <c r="E88" s="43" t="str">
        <f t="shared" si="4"/>
        <v>고급형3900CC 초과36</v>
      </c>
      <c r="F88" s="44">
        <f t="shared" si="5"/>
        <v>82280</v>
      </c>
      <c r="G88" s="44">
        <v>74800</v>
      </c>
      <c r="H88" s="44">
        <f t="shared" si="6"/>
        <v>7480</v>
      </c>
      <c r="I88" s="36" t="b">
        <f t="shared" si="7"/>
        <v>1</v>
      </c>
      <c r="K88" s="36" t="s">
        <v>184</v>
      </c>
      <c r="L88" s="36" t="s">
        <v>40</v>
      </c>
      <c r="M88" s="36" t="s">
        <v>224</v>
      </c>
      <c r="N88" s="36" t="s">
        <v>62</v>
      </c>
      <c r="O88" s="36" t="s">
        <v>234</v>
      </c>
    </row>
    <row r="89" spans="1:15">
      <c r="A89" s="42" t="s">
        <v>1357</v>
      </c>
      <c r="B89" s="43">
        <v>7</v>
      </c>
      <c r="C89" s="36" t="s">
        <v>804</v>
      </c>
      <c r="D89" s="43">
        <v>36</v>
      </c>
      <c r="E89" s="43" t="str">
        <f t="shared" si="4"/>
        <v>고급형RV저가형(2000CC 이하)36</v>
      </c>
      <c r="F89" s="44">
        <f t="shared" si="5"/>
        <v>80630</v>
      </c>
      <c r="G89" s="44">
        <v>73300</v>
      </c>
      <c r="H89" s="44">
        <f t="shared" si="6"/>
        <v>7330</v>
      </c>
      <c r="I89" s="36" t="b">
        <f t="shared" si="7"/>
        <v>1</v>
      </c>
      <c r="K89" s="36" t="s">
        <v>184</v>
      </c>
      <c r="L89" s="36" t="s">
        <v>40</v>
      </c>
      <c r="M89" s="36" t="s">
        <v>224</v>
      </c>
      <c r="N89" s="36" t="s">
        <v>62</v>
      </c>
      <c r="O89" s="36" t="s">
        <v>235</v>
      </c>
    </row>
    <row r="90" spans="1:15">
      <c r="A90" s="42" t="s">
        <v>1357</v>
      </c>
      <c r="B90" s="43">
        <v>8</v>
      </c>
      <c r="C90" s="36" t="s">
        <v>559</v>
      </c>
      <c r="D90" s="43">
        <v>36</v>
      </c>
      <c r="E90" s="43" t="str">
        <f t="shared" si="4"/>
        <v>고급형RV고가형(2000CC 초과)36</v>
      </c>
      <c r="F90" s="44">
        <f t="shared" si="5"/>
        <v>81510</v>
      </c>
      <c r="G90" s="44">
        <v>74100</v>
      </c>
      <c r="H90" s="44">
        <f t="shared" si="6"/>
        <v>7410</v>
      </c>
      <c r="I90" s="36" t="b">
        <f t="shared" si="7"/>
        <v>1</v>
      </c>
      <c r="K90" s="36" t="s">
        <v>184</v>
      </c>
      <c r="L90" s="36" t="s">
        <v>40</v>
      </c>
      <c r="M90" s="36" t="s">
        <v>224</v>
      </c>
      <c r="N90" s="36" t="s">
        <v>62</v>
      </c>
      <c r="O90" s="36" t="s">
        <v>236</v>
      </c>
    </row>
    <row r="91" spans="1:15">
      <c r="A91" s="42" t="s">
        <v>1357</v>
      </c>
      <c r="B91" s="43">
        <v>9</v>
      </c>
      <c r="C91" s="36" t="s">
        <v>59</v>
      </c>
      <c r="D91" s="43">
        <v>36</v>
      </c>
      <c r="E91" s="43" t="str">
        <f t="shared" si="4"/>
        <v>고급형승합36</v>
      </c>
      <c r="F91" s="44">
        <f t="shared" si="5"/>
        <v>83270</v>
      </c>
      <c r="G91" s="44">
        <v>75700</v>
      </c>
      <c r="H91" s="44">
        <f t="shared" si="6"/>
        <v>7570</v>
      </c>
      <c r="I91" s="36" t="b">
        <f t="shared" si="7"/>
        <v>1</v>
      </c>
      <c r="K91" s="36" t="s">
        <v>184</v>
      </c>
      <c r="L91" s="36" t="s">
        <v>40</v>
      </c>
      <c r="M91" s="36" t="s">
        <v>224</v>
      </c>
      <c r="N91" s="36" t="s">
        <v>62</v>
      </c>
      <c r="O91" s="36" t="s">
        <v>237</v>
      </c>
    </row>
    <row r="92" spans="1:15">
      <c r="A92" s="42" t="s">
        <v>1357</v>
      </c>
      <c r="B92" s="43">
        <v>1</v>
      </c>
      <c r="C92" s="36" t="s">
        <v>132</v>
      </c>
      <c r="D92" s="43">
        <v>48</v>
      </c>
      <c r="E92" s="43" t="str">
        <f t="shared" si="4"/>
        <v>고급형1000CC 이하48</v>
      </c>
      <c r="F92" s="44">
        <f t="shared" si="5"/>
        <v>56320</v>
      </c>
      <c r="G92" s="44">
        <v>51200</v>
      </c>
      <c r="H92" s="44">
        <f t="shared" si="6"/>
        <v>5120</v>
      </c>
      <c r="I92" s="36" t="b">
        <f t="shared" si="7"/>
        <v>1</v>
      </c>
      <c r="K92" s="36" t="s">
        <v>184</v>
      </c>
      <c r="L92" s="36" t="s">
        <v>40</v>
      </c>
      <c r="M92" s="36" t="s">
        <v>224</v>
      </c>
      <c r="N92" s="36" t="s">
        <v>62</v>
      </c>
      <c r="O92" s="36" t="s">
        <v>238</v>
      </c>
    </row>
    <row r="93" spans="1:15">
      <c r="A93" s="42" t="s">
        <v>1357</v>
      </c>
      <c r="B93" s="43">
        <v>2</v>
      </c>
      <c r="C93" s="36" t="s">
        <v>184</v>
      </c>
      <c r="D93" s="43">
        <v>48</v>
      </c>
      <c r="E93" s="43" t="str">
        <f t="shared" si="4"/>
        <v>고급형1600CC 이하48</v>
      </c>
      <c r="F93" s="44">
        <f t="shared" si="5"/>
        <v>60060</v>
      </c>
      <c r="G93" s="44">
        <v>54600</v>
      </c>
      <c r="H93" s="44">
        <f t="shared" si="6"/>
        <v>5460</v>
      </c>
      <c r="I93" s="36" t="b">
        <f t="shared" si="7"/>
        <v>1</v>
      </c>
      <c r="K93" s="36" t="s">
        <v>184</v>
      </c>
      <c r="L93" s="36" t="s">
        <v>40</v>
      </c>
      <c r="M93" s="36" t="s">
        <v>224</v>
      </c>
      <c r="N93" s="36" t="s">
        <v>62</v>
      </c>
      <c r="O93" s="36" t="s">
        <v>239</v>
      </c>
    </row>
    <row r="94" spans="1:15">
      <c r="A94" s="42" t="s">
        <v>1357</v>
      </c>
      <c r="B94" s="43">
        <v>3</v>
      </c>
      <c r="C94" s="36" t="s">
        <v>312</v>
      </c>
      <c r="D94" s="43">
        <v>48</v>
      </c>
      <c r="E94" s="43" t="str">
        <f t="shared" si="4"/>
        <v>고급형2200CC 이하48</v>
      </c>
      <c r="F94" s="44">
        <f t="shared" si="5"/>
        <v>72490</v>
      </c>
      <c r="G94" s="44">
        <v>65900</v>
      </c>
      <c r="H94" s="44">
        <f t="shared" si="6"/>
        <v>6590</v>
      </c>
      <c r="I94" s="36" t="b">
        <f t="shared" si="7"/>
        <v>1</v>
      </c>
      <c r="K94" s="36" t="s">
        <v>184</v>
      </c>
      <c r="L94" s="36" t="s">
        <v>40</v>
      </c>
      <c r="M94" s="36" t="s">
        <v>224</v>
      </c>
      <c r="N94" s="36" t="s">
        <v>208</v>
      </c>
      <c r="O94" s="36" t="s">
        <v>240</v>
      </c>
    </row>
    <row r="95" spans="1:15">
      <c r="A95" s="42" t="s">
        <v>1357</v>
      </c>
      <c r="B95" s="43">
        <v>4</v>
      </c>
      <c r="C95" s="36" t="s">
        <v>447</v>
      </c>
      <c r="D95" s="43">
        <v>48</v>
      </c>
      <c r="E95" s="43" t="str">
        <f t="shared" si="4"/>
        <v>고급형3200CC 이하48</v>
      </c>
      <c r="F95" s="44">
        <f t="shared" si="5"/>
        <v>77880</v>
      </c>
      <c r="G95" s="44">
        <v>70800</v>
      </c>
      <c r="H95" s="44">
        <f t="shared" si="6"/>
        <v>7080</v>
      </c>
      <c r="I95" s="36" t="b">
        <f t="shared" si="7"/>
        <v>1</v>
      </c>
      <c r="K95" s="36" t="s">
        <v>184</v>
      </c>
      <c r="L95" s="36" t="s">
        <v>40</v>
      </c>
      <c r="M95" s="36" t="s">
        <v>224</v>
      </c>
      <c r="N95" s="36" t="s">
        <v>208</v>
      </c>
      <c r="O95" s="36" t="s">
        <v>241</v>
      </c>
    </row>
    <row r="96" spans="1:15">
      <c r="A96" s="42" t="s">
        <v>1357</v>
      </c>
      <c r="B96" s="43">
        <v>5</v>
      </c>
      <c r="C96" s="36" t="s">
        <v>508</v>
      </c>
      <c r="D96" s="43">
        <v>48</v>
      </c>
      <c r="E96" s="43" t="str">
        <f t="shared" si="4"/>
        <v>고급형3900CC 이하48</v>
      </c>
      <c r="F96" s="44">
        <f t="shared" si="5"/>
        <v>91850</v>
      </c>
      <c r="G96" s="44">
        <v>83500</v>
      </c>
      <c r="H96" s="44">
        <f t="shared" si="6"/>
        <v>8350</v>
      </c>
      <c r="I96" s="36" t="b">
        <f t="shared" si="7"/>
        <v>1</v>
      </c>
      <c r="K96" s="36" t="s">
        <v>184</v>
      </c>
      <c r="L96" s="36" t="s">
        <v>40</v>
      </c>
      <c r="M96" s="36" t="s">
        <v>224</v>
      </c>
      <c r="N96" s="36" t="s">
        <v>208</v>
      </c>
      <c r="O96" s="36" t="s">
        <v>242</v>
      </c>
    </row>
    <row r="97" spans="1:15">
      <c r="A97" s="42" t="s">
        <v>1357</v>
      </c>
      <c r="B97" s="43">
        <v>6</v>
      </c>
      <c r="C97" s="36" t="s">
        <v>549</v>
      </c>
      <c r="D97" s="43">
        <v>48</v>
      </c>
      <c r="E97" s="43" t="str">
        <f t="shared" si="4"/>
        <v>고급형3900CC 초과48</v>
      </c>
      <c r="F97" s="44">
        <f t="shared" si="5"/>
        <v>95590</v>
      </c>
      <c r="G97" s="44">
        <v>86900</v>
      </c>
      <c r="H97" s="44">
        <f t="shared" si="6"/>
        <v>8690</v>
      </c>
      <c r="I97" s="36" t="b">
        <f t="shared" si="7"/>
        <v>1</v>
      </c>
      <c r="K97" s="36" t="s">
        <v>184</v>
      </c>
      <c r="L97" s="36" t="s">
        <v>40</v>
      </c>
      <c r="M97" s="36" t="s">
        <v>224</v>
      </c>
      <c r="N97" s="36" t="s">
        <v>165</v>
      </c>
      <c r="O97" s="36" t="s">
        <v>243</v>
      </c>
    </row>
    <row r="98" spans="1:15">
      <c r="A98" s="42" t="s">
        <v>1357</v>
      </c>
      <c r="B98" s="43">
        <v>7</v>
      </c>
      <c r="C98" s="36" t="s">
        <v>804</v>
      </c>
      <c r="D98" s="43">
        <v>48</v>
      </c>
      <c r="E98" s="43" t="str">
        <f t="shared" si="4"/>
        <v>고급형RV저가형(2000CC 이하)48</v>
      </c>
      <c r="F98" s="44">
        <f t="shared" si="5"/>
        <v>83600</v>
      </c>
      <c r="G98" s="44">
        <v>76000</v>
      </c>
      <c r="H98" s="44">
        <f t="shared" si="6"/>
        <v>7600</v>
      </c>
      <c r="I98" s="36" t="b">
        <f t="shared" si="7"/>
        <v>1</v>
      </c>
      <c r="K98" s="36" t="s">
        <v>184</v>
      </c>
      <c r="L98" s="36" t="s">
        <v>40</v>
      </c>
      <c r="M98" s="36" t="s">
        <v>224</v>
      </c>
      <c r="N98" s="36" t="s">
        <v>165</v>
      </c>
      <c r="O98" s="36" t="s">
        <v>244</v>
      </c>
    </row>
    <row r="99" spans="1:15">
      <c r="A99" s="42" t="s">
        <v>1357</v>
      </c>
      <c r="B99" s="43">
        <v>8</v>
      </c>
      <c r="C99" s="36" t="s">
        <v>559</v>
      </c>
      <c r="D99" s="43">
        <v>48</v>
      </c>
      <c r="E99" s="43" t="str">
        <f t="shared" si="4"/>
        <v>고급형RV고가형(2000CC 초과)48</v>
      </c>
      <c r="F99" s="44">
        <f t="shared" si="5"/>
        <v>84810</v>
      </c>
      <c r="G99" s="44">
        <v>77100</v>
      </c>
      <c r="H99" s="44">
        <f t="shared" si="6"/>
        <v>7710</v>
      </c>
      <c r="I99" s="36" t="b">
        <f t="shared" si="7"/>
        <v>1</v>
      </c>
      <c r="K99" s="36" t="s">
        <v>184</v>
      </c>
      <c r="L99" s="36" t="s">
        <v>40</v>
      </c>
      <c r="M99" s="36" t="s">
        <v>224</v>
      </c>
      <c r="N99" s="36" t="s">
        <v>165</v>
      </c>
      <c r="O99" s="36" t="s">
        <v>245</v>
      </c>
    </row>
    <row r="100" spans="1:15">
      <c r="A100" s="42" t="s">
        <v>1357</v>
      </c>
      <c r="B100" s="43">
        <v>9</v>
      </c>
      <c r="C100" s="36" t="s">
        <v>59</v>
      </c>
      <c r="D100" s="43">
        <v>48</v>
      </c>
      <c r="E100" s="43" t="str">
        <f t="shared" si="4"/>
        <v>고급형승합48</v>
      </c>
      <c r="F100" s="44">
        <f t="shared" si="5"/>
        <v>86350</v>
      </c>
      <c r="G100" s="44">
        <v>78500</v>
      </c>
      <c r="H100" s="44">
        <f t="shared" si="6"/>
        <v>7850</v>
      </c>
      <c r="I100" s="36" t="b">
        <f t="shared" si="7"/>
        <v>1</v>
      </c>
      <c r="K100" s="36" t="s">
        <v>184</v>
      </c>
      <c r="L100" s="36" t="s">
        <v>40</v>
      </c>
      <c r="M100" s="36" t="s">
        <v>224</v>
      </c>
      <c r="N100" s="36" t="s">
        <v>165</v>
      </c>
      <c r="O100" s="36" t="s">
        <v>246</v>
      </c>
    </row>
    <row r="101" spans="1:15">
      <c r="A101" s="42" t="s">
        <v>1357</v>
      </c>
      <c r="B101" s="43">
        <v>1</v>
      </c>
      <c r="C101" s="36" t="s">
        <v>132</v>
      </c>
      <c r="D101" s="43">
        <v>60</v>
      </c>
      <c r="E101" s="43" t="str">
        <f t="shared" si="4"/>
        <v>고급형1000CC 이하60</v>
      </c>
      <c r="F101" s="44">
        <f t="shared" si="5"/>
        <v>64680</v>
      </c>
      <c r="G101" s="44">
        <v>58800</v>
      </c>
      <c r="H101" s="44">
        <f t="shared" si="6"/>
        <v>5880</v>
      </c>
      <c r="I101" s="36" t="b">
        <f t="shared" si="7"/>
        <v>1</v>
      </c>
      <c r="K101" s="36" t="s">
        <v>184</v>
      </c>
      <c r="L101" s="36" t="s">
        <v>40</v>
      </c>
      <c r="M101" s="36" t="s">
        <v>224</v>
      </c>
      <c r="N101" s="36" t="s">
        <v>165</v>
      </c>
      <c r="O101" s="36" t="s">
        <v>247</v>
      </c>
    </row>
    <row r="102" spans="1:15">
      <c r="A102" s="42" t="s">
        <v>1357</v>
      </c>
      <c r="B102" s="43">
        <v>2</v>
      </c>
      <c r="C102" s="36" t="s">
        <v>184</v>
      </c>
      <c r="D102" s="43">
        <v>60</v>
      </c>
      <c r="E102" s="43" t="str">
        <f t="shared" si="4"/>
        <v>고급형1600CC 이하60</v>
      </c>
      <c r="F102" s="44">
        <f t="shared" si="5"/>
        <v>70620</v>
      </c>
      <c r="G102" s="44">
        <v>64200</v>
      </c>
      <c r="H102" s="44">
        <f t="shared" si="6"/>
        <v>6420</v>
      </c>
      <c r="I102" s="36" t="b">
        <f t="shared" si="7"/>
        <v>1</v>
      </c>
      <c r="K102" s="36" t="s">
        <v>184</v>
      </c>
      <c r="L102" s="36" t="s">
        <v>40</v>
      </c>
      <c r="M102" s="36" t="s">
        <v>224</v>
      </c>
      <c r="N102" s="36" t="s">
        <v>165</v>
      </c>
      <c r="O102" s="36" t="s">
        <v>248</v>
      </c>
    </row>
    <row r="103" spans="1:15">
      <c r="A103" s="42" t="s">
        <v>1357</v>
      </c>
      <c r="B103" s="43">
        <v>3</v>
      </c>
      <c r="C103" s="36" t="s">
        <v>312</v>
      </c>
      <c r="D103" s="43">
        <v>60</v>
      </c>
      <c r="E103" s="43" t="str">
        <f t="shared" si="4"/>
        <v>고급형2200CC 이하60</v>
      </c>
      <c r="F103" s="44">
        <f t="shared" si="5"/>
        <v>76450</v>
      </c>
      <c r="G103" s="44">
        <v>69500</v>
      </c>
      <c r="H103" s="44">
        <f t="shared" si="6"/>
        <v>6950</v>
      </c>
      <c r="I103" s="36" t="b">
        <f t="shared" si="7"/>
        <v>1</v>
      </c>
      <c r="K103" s="36" t="s">
        <v>184</v>
      </c>
      <c r="L103" s="36" t="s">
        <v>40</v>
      </c>
      <c r="M103" s="36" t="s">
        <v>224</v>
      </c>
      <c r="N103" s="36" t="s">
        <v>165</v>
      </c>
      <c r="O103" s="36" t="s">
        <v>249</v>
      </c>
    </row>
    <row r="104" spans="1:15">
      <c r="A104" s="42" t="s">
        <v>1357</v>
      </c>
      <c r="B104" s="43">
        <v>4</v>
      </c>
      <c r="C104" s="36" t="s">
        <v>447</v>
      </c>
      <c r="D104" s="43">
        <v>60</v>
      </c>
      <c r="E104" s="43" t="str">
        <f t="shared" si="4"/>
        <v>고급형3200CC 이하60</v>
      </c>
      <c r="F104" s="44">
        <f t="shared" si="5"/>
        <v>80520</v>
      </c>
      <c r="G104" s="44">
        <v>73200</v>
      </c>
      <c r="H104" s="44">
        <f t="shared" si="6"/>
        <v>7320</v>
      </c>
      <c r="I104" s="36" t="b">
        <f t="shared" si="7"/>
        <v>1</v>
      </c>
      <c r="K104" s="36" t="s">
        <v>184</v>
      </c>
      <c r="L104" s="36" t="s">
        <v>40</v>
      </c>
      <c r="M104" s="36" t="s">
        <v>224</v>
      </c>
      <c r="N104" s="36" t="s">
        <v>165</v>
      </c>
      <c r="O104" s="36" t="s">
        <v>250</v>
      </c>
    </row>
    <row r="105" spans="1:15">
      <c r="A105" s="42" t="s">
        <v>1357</v>
      </c>
      <c r="B105" s="43">
        <v>5</v>
      </c>
      <c r="C105" s="36" t="s">
        <v>508</v>
      </c>
      <c r="D105" s="43">
        <v>60</v>
      </c>
      <c r="E105" s="43" t="str">
        <f t="shared" si="4"/>
        <v>고급형3900CC 이하60</v>
      </c>
      <c r="F105" s="44">
        <f t="shared" si="5"/>
        <v>96030</v>
      </c>
      <c r="G105" s="44">
        <v>87300</v>
      </c>
      <c r="H105" s="44">
        <f t="shared" si="6"/>
        <v>8730</v>
      </c>
      <c r="I105" s="36" t="b">
        <f t="shared" si="7"/>
        <v>1</v>
      </c>
      <c r="K105" s="36" t="s">
        <v>184</v>
      </c>
      <c r="L105" s="36" t="s">
        <v>40</v>
      </c>
      <c r="M105" s="36" t="s">
        <v>224</v>
      </c>
      <c r="N105" s="36" t="s">
        <v>165</v>
      </c>
      <c r="O105" s="36" t="s">
        <v>251</v>
      </c>
    </row>
    <row r="106" spans="1:15">
      <c r="A106" s="42" t="s">
        <v>1357</v>
      </c>
      <c r="B106" s="43">
        <v>6</v>
      </c>
      <c r="C106" s="36" t="s">
        <v>549</v>
      </c>
      <c r="D106" s="43">
        <v>60</v>
      </c>
      <c r="E106" s="43" t="str">
        <f t="shared" si="4"/>
        <v>고급형3900CC 초과60</v>
      </c>
      <c r="F106" s="44">
        <f t="shared" si="5"/>
        <v>99220</v>
      </c>
      <c r="G106" s="44">
        <v>90200</v>
      </c>
      <c r="H106" s="44">
        <f t="shared" si="6"/>
        <v>9020</v>
      </c>
      <c r="I106" s="36" t="b">
        <f t="shared" si="7"/>
        <v>1</v>
      </c>
      <c r="K106" s="36" t="s">
        <v>184</v>
      </c>
      <c r="L106" s="36" t="s">
        <v>40</v>
      </c>
      <c r="M106" s="36" t="s">
        <v>224</v>
      </c>
      <c r="N106" s="36" t="s">
        <v>165</v>
      </c>
      <c r="O106" s="36" t="s">
        <v>252</v>
      </c>
    </row>
    <row r="107" spans="1:15">
      <c r="A107" s="42" t="s">
        <v>1357</v>
      </c>
      <c r="B107" s="43">
        <v>7</v>
      </c>
      <c r="C107" s="36" t="s">
        <v>804</v>
      </c>
      <c r="D107" s="43">
        <v>60</v>
      </c>
      <c r="E107" s="43" t="str">
        <f t="shared" si="4"/>
        <v>고급형RV저가형(2000CC 이하)60</v>
      </c>
      <c r="F107" s="44">
        <f t="shared" si="5"/>
        <v>86460</v>
      </c>
      <c r="G107" s="44">
        <v>78600</v>
      </c>
      <c r="H107" s="44">
        <f t="shared" si="6"/>
        <v>7860</v>
      </c>
      <c r="I107" s="36" t="b">
        <f t="shared" si="7"/>
        <v>1</v>
      </c>
      <c r="K107" s="36" t="s">
        <v>184</v>
      </c>
      <c r="L107" s="36" t="s">
        <v>40</v>
      </c>
      <c r="M107" s="36" t="s">
        <v>253</v>
      </c>
      <c r="N107" s="36" t="s">
        <v>62</v>
      </c>
      <c r="O107" s="36" t="s">
        <v>254</v>
      </c>
    </row>
    <row r="108" spans="1:15">
      <c r="A108" s="42" t="s">
        <v>1357</v>
      </c>
      <c r="B108" s="43">
        <v>8</v>
      </c>
      <c r="C108" s="36" t="s">
        <v>559</v>
      </c>
      <c r="D108" s="43">
        <v>60</v>
      </c>
      <c r="E108" s="43" t="str">
        <f t="shared" si="4"/>
        <v>고급형RV고가형(2000CC 초과)60</v>
      </c>
      <c r="F108" s="44">
        <f t="shared" si="5"/>
        <v>87560</v>
      </c>
      <c r="G108" s="44">
        <v>79600</v>
      </c>
      <c r="H108" s="44">
        <f t="shared" si="6"/>
        <v>7960</v>
      </c>
      <c r="I108" s="36" t="b">
        <f t="shared" si="7"/>
        <v>1</v>
      </c>
      <c r="K108" s="36" t="s">
        <v>184</v>
      </c>
      <c r="L108" s="36" t="s">
        <v>40</v>
      </c>
      <c r="M108" s="36" t="s">
        <v>253</v>
      </c>
      <c r="N108" s="36" t="s">
        <v>62</v>
      </c>
      <c r="O108" s="36" t="s">
        <v>255</v>
      </c>
    </row>
    <row r="109" spans="1:15">
      <c r="A109" s="42" t="s">
        <v>1357</v>
      </c>
      <c r="B109" s="43">
        <v>9</v>
      </c>
      <c r="C109" s="36" t="s">
        <v>59</v>
      </c>
      <c r="D109" s="43">
        <v>60</v>
      </c>
      <c r="E109" s="43" t="str">
        <f t="shared" si="4"/>
        <v>고급형승합60</v>
      </c>
      <c r="F109" s="44">
        <f t="shared" si="5"/>
        <v>89100</v>
      </c>
      <c r="G109" s="44">
        <v>81000</v>
      </c>
      <c r="H109" s="44">
        <f t="shared" si="6"/>
        <v>8100</v>
      </c>
      <c r="I109" s="36" t="b">
        <f t="shared" si="7"/>
        <v>1</v>
      </c>
      <c r="K109" s="36" t="s">
        <v>184</v>
      </c>
      <c r="L109" s="36" t="s">
        <v>40</v>
      </c>
      <c r="M109" s="36" t="s">
        <v>253</v>
      </c>
      <c r="N109" s="36" t="s">
        <v>62</v>
      </c>
      <c r="O109" s="36" t="s">
        <v>256</v>
      </c>
    </row>
    <row r="110" spans="1:15">
      <c r="K110" s="36" t="s">
        <v>184</v>
      </c>
      <c r="L110" s="36" t="s">
        <v>40</v>
      </c>
      <c r="M110" s="36" t="s">
        <v>253</v>
      </c>
      <c r="N110" s="36" t="s">
        <v>62</v>
      </c>
      <c r="O110" s="36" t="s">
        <v>257</v>
      </c>
    </row>
    <row r="111" spans="1:15">
      <c r="K111" s="36" t="s">
        <v>184</v>
      </c>
      <c r="L111" s="36" t="s">
        <v>40</v>
      </c>
      <c r="M111" s="36" t="s">
        <v>253</v>
      </c>
      <c r="N111" s="36" t="s">
        <v>62</v>
      </c>
      <c r="O111" s="36" t="s">
        <v>258</v>
      </c>
    </row>
    <row r="112" spans="1:15">
      <c r="K112" s="36" t="s">
        <v>184</v>
      </c>
      <c r="L112" s="36" t="s">
        <v>40</v>
      </c>
      <c r="M112" s="36" t="s">
        <v>253</v>
      </c>
      <c r="N112" s="36" t="s">
        <v>62</v>
      </c>
      <c r="O112" s="36" t="s">
        <v>259</v>
      </c>
    </row>
    <row r="113" spans="11:15">
      <c r="K113" s="36" t="s">
        <v>184</v>
      </c>
      <c r="L113" s="36" t="s">
        <v>40</v>
      </c>
      <c r="M113" s="36" t="s">
        <v>253</v>
      </c>
      <c r="N113" s="36" t="s">
        <v>62</v>
      </c>
      <c r="O113" s="36" t="s">
        <v>260</v>
      </c>
    </row>
    <row r="114" spans="11:15">
      <c r="K114" s="36" t="s">
        <v>184</v>
      </c>
      <c r="L114" s="36" t="s">
        <v>40</v>
      </c>
      <c r="M114" s="36" t="s">
        <v>261</v>
      </c>
      <c r="N114" s="36" t="s">
        <v>62</v>
      </c>
      <c r="O114" s="36" t="s">
        <v>262</v>
      </c>
    </row>
    <row r="115" spans="11:15">
      <c r="K115" s="36" t="s">
        <v>184</v>
      </c>
      <c r="L115" s="36" t="s">
        <v>40</v>
      </c>
      <c r="M115" s="36" t="s">
        <v>261</v>
      </c>
      <c r="N115" s="36" t="s">
        <v>62</v>
      </c>
      <c r="O115" s="36" t="s">
        <v>263</v>
      </c>
    </row>
    <row r="116" spans="11:15">
      <c r="K116" s="36" t="s">
        <v>184</v>
      </c>
      <c r="L116" s="36" t="s">
        <v>40</v>
      </c>
      <c r="M116" s="36" t="s">
        <v>261</v>
      </c>
      <c r="N116" s="36" t="s">
        <v>62</v>
      </c>
      <c r="O116" s="36" t="s">
        <v>264</v>
      </c>
    </row>
    <row r="117" spans="11:15">
      <c r="K117" s="36" t="s">
        <v>184</v>
      </c>
      <c r="L117" s="36" t="s">
        <v>40</v>
      </c>
      <c r="M117" s="36" t="s">
        <v>261</v>
      </c>
      <c r="N117" s="36" t="s">
        <v>62</v>
      </c>
      <c r="O117" s="36" t="s">
        <v>265</v>
      </c>
    </row>
    <row r="118" spans="11:15">
      <c r="K118" s="36" t="s">
        <v>184</v>
      </c>
      <c r="L118" s="36" t="s">
        <v>40</v>
      </c>
      <c r="M118" s="36" t="s">
        <v>261</v>
      </c>
      <c r="N118" s="36" t="s">
        <v>62</v>
      </c>
      <c r="O118" s="36" t="s">
        <v>266</v>
      </c>
    </row>
    <row r="119" spans="11:15">
      <c r="K119" s="36" t="s">
        <v>184</v>
      </c>
      <c r="L119" s="36" t="s">
        <v>40</v>
      </c>
      <c r="M119" s="36" t="s">
        <v>261</v>
      </c>
      <c r="N119" s="36" t="s">
        <v>62</v>
      </c>
      <c r="O119" s="36" t="s">
        <v>267</v>
      </c>
    </row>
    <row r="120" spans="11:15">
      <c r="K120" s="36" t="s">
        <v>184</v>
      </c>
      <c r="L120" s="36" t="s">
        <v>40</v>
      </c>
      <c r="M120" s="36" t="s">
        <v>268</v>
      </c>
      <c r="N120" s="36" t="s">
        <v>208</v>
      </c>
      <c r="O120" s="36" t="s">
        <v>269</v>
      </c>
    </row>
    <row r="121" spans="11:15">
      <c r="K121" s="36" t="s">
        <v>184</v>
      </c>
      <c r="L121" s="36" t="s">
        <v>40</v>
      </c>
      <c r="M121" s="36" t="s">
        <v>268</v>
      </c>
      <c r="N121" s="36" t="s">
        <v>208</v>
      </c>
      <c r="O121" s="36" t="s">
        <v>270</v>
      </c>
    </row>
    <row r="122" spans="11:15">
      <c r="K122" s="36" t="s">
        <v>184</v>
      </c>
      <c r="L122" s="36" t="s">
        <v>40</v>
      </c>
      <c r="M122" s="36" t="s">
        <v>268</v>
      </c>
      <c r="N122" s="36" t="s">
        <v>208</v>
      </c>
      <c r="O122" s="36" t="s">
        <v>271</v>
      </c>
    </row>
    <row r="123" spans="11:15">
      <c r="K123" s="36" t="s">
        <v>184</v>
      </c>
      <c r="L123" s="36" t="s">
        <v>40</v>
      </c>
      <c r="M123" s="36" t="s">
        <v>268</v>
      </c>
      <c r="N123" s="36" t="s">
        <v>208</v>
      </c>
      <c r="O123" s="36" t="s">
        <v>272</v>
      </c>
    </row>
    <row r="124" spans="11:15">
      <c r="K124" s="36" t="s">
        <v>184</v>
      </c>
      <c r="L124" s="36" t="s">
        <v>40</v>
      </c>
      <c r="M124" s="36" t="s">
        <v>268</v>
      </c>
      <c r="N124" s="36" t="s">
        <v>208</v>
      </c>
      <c r="O124" s="36" t="s">
        <v>273</v>
      </c>
    </row>
    <row r="125" spans="11:15">
      <c r="K125" s="36" t="s">
        <v>184</v>
      </c>
      <c r="L125" s="36" t="s">
        <v>54</v>
      </c>
      <c r="M125" s="36" t="s">
        <v>274</v>
      </c>
      <c r="N125" s="36" t="s">
        <v>62</v>
      </c>
      <c r="O125" s="36" t="s">
        <v>275</v>
      </c>
    </row>
    <row r="126" spans="11:15">
      <c r="K126" s="36" t="s">
        <v>184</v>
      </c>
      <c r="L126" s="36" t="s">
        <v>54</v>
      </c>
      <c r="M126" s="36" t="s">
        <v>274</v>
      </c>
      <c r="N126" s="36" t="s">
        <v>62</v>
      </c>
      <c r="O126" s="36" t="s">
        <v>276</v>
      </c>
    </row>
    <row r="127" spans="11:15">
      <c r="K127" s="36" t="s">
        <v>184</v>
      </c>
      <c r="L127" s="36" t="s">
        <v>54</v>
      </c>
      <c r="M127" s="36" t="s">
        <v>274</v>
      </c>
      <c r="N127" s="36" t="s">
        <v>62</v>
      </c>
      <c r="O127" s="36" t="s">
        <v>277</v>
      </c>
    </row>
    <row r="128" spans="11:15">
      <c r="K128" s="36" t="s">
        <v>184</v>
      </c>
      <c r="L128" s="36" t="s">
        <v>54</v>
      </c>
      <c r="M128" s="36" t="s">
        <v>274</v>
      </c>
      <c r="N128" s="36" t="s">
        <v>62</v>
      </c>
      <c r="O128" s="36" t="s">
        <v>278</v>
      </c>
    </row>
    <row r="129" spans="11:15">
      <c r="K129" s="36" t="s">
        <v>184</v>
      </c>
      <c r="L129" s="36" t="s">
        <v>54</v>
      </c>
      <c r="M129" s="36" t="s">
        <v>274</v>
      </c>
      <c r="N129" s="36" t="s">
        <v>62</v>
      </c>
      <c r="O129" s="36" t="s">
        <v>279</v>
      </c>
    </row>
    <row r="130" spans="11:15">
      <c r="K130" s="36" t="s">
        <v>184</v>
      </c>
      <c r="L130" s="36" t="s">
        <v>54</v>
      </c>
      <c r="M130" s="36" t="s">
        <v>274</v>
      </c>
      <c r="N130" s="36" t="s">
        <v>62</v>
      </c>
      <c r="O130" s="36" t="s">
        <v>280</v>
      </c>
    </row>
    <row r="131" spans="11:15">
      <c r="K131" s="36" t="s">
        <v>184</v>
      </c>
      <c r="L131" s="36" t="s">
        <v>54</v>
      </c>
      <c r="M131" s="36" t="s">
        <v>274</v>
      </c>
      <c r="N131" s="36" t="s">
        <v>62</v>
      </c>
      <c r="O131" s="36" t="s">
        <v>281</v>
      </c>
    </row>
    <row r="132" spans="11:15">
      <c r="K132" s="36" t="s">
        <v>184</v>
      </c>
      <c r="L132" s="36" t="s">
        <v>54</v>
      </c>
      <c r="M132" s="36" t="s">
        <v>282</v>
      </c>
      <c r="N132" s="36" t="s">
        <v>62</v>
      </c>
      <c r="O132" s="36" t="s">
        <v>283</v>
      </c>
    </row>
    <row r="133" spans="11:15">
      <c r="K133" s="36" t="s">
        <v>184</v>
      </c>
      <c r="L133" s="36" t="s">
        <v>54</v>
      </c>
      <c r="M133" s="36" t="s">
        <v>282</v>
      </c>
      <c r="N133" s="36" t="s">
        <v>62</v>
      </c>
      <c r="O133" s="36" t="s">
        <v>284</v>
      </c>
    </row>
    <row r="134" spans="11:15">
      <c r="K134" s="36" t="s">
        <v>184</v>
      </c>
      <c r="L134" s="36" t="s">
        <v>54</v>
      </c>
      <c r="M134" s="36" t="s">
        <v>282</v>
      </c>
      <c r="N134" s="36" t="s">
        <v>62</v>
      </c>
      <c r="O134" s="36" t="s">
        <v>285</v>
      </c>
    </row>
    <row r="135" spans="11:15">
      <c r="K135" s="36" t="s">
        <v>184</v>
      </c>
      <c r="L135" s="36" t="s">
        <v>54</v>
      </c>
      <c r="M135" s="36" t="s">
        <v>282</v>
      </c>
      <c r="N135" s="36" t="s">
        <v>62</v>
      </c>
      <c r="O135" s="36" t="s">
        <v>286</v>
      </c>
    </row>
    <row r="136" spans="11:15">
      <c r="K136" s="36" t="s">
        <v>184</v>
      </c>
      <c r="L136" s="36" t="s">
        <v>54</v>
      </c>
      <c r="M136" s="36" t="s">
        <v>282</v>
      </c>
      <c r="N136" s="36" t="s">
        <v>62</v>
      </c>
      <c r="O136" s="36" t="s">
        <v>287</v>
      </c>
    </row>
    <row r="137" spans="11:15">
      <c r="K137" s="36" t="s">
        <v>184</v>
      </c>
      <c r="L137" s="36" t="s">
        <v>54</v>
      </c>
      <c r="M137" s="36" t="s">
        <v>282</v>
      </c>
      <c r="N137" s="36" t="s">
        <v>62</v>
      </c>
      <c r="O137" s="36" t="s">
        <v>288</v>
      </c>
    </row>
    <row r="138" spans="11:15">
      <c r="K138" s="36" t="s">
        <v>184</v>
      </c>
      <c r="L138" s="36" t="s">
        <v>54</v>
      </c>
      <c r="M138" s="36" t="s">
        <v>282</v>
      </c>
      <c r="N138" s="36" t="s">
        <v>62</v>
      </c>
      <c r="O138" s="36" t="s">
        <v>289</v>
      </c>
    </row>
    <row r="139" spans="11:15">
      <c r="K139" s="36" t="s">
        <v>184</v>
      </c>
      <c r="L139" s="36" t="s">
        <v>54</v>
      </c>
      <c r="M139" s="36" t="s">
        <v>282</v>
      </c>
      <c r="N139" s="36" t="s">
        <v>62</v>
      </c>
      <c r="O139" s="36" t="s">
        <v>290</v>
      </c>
    </row>
    <row r="140" spans="11:15">
      <c r="K140" s="36" t="s">
        <v>184</v>
      </c>
      <c r="L140" s="36" t="s">
        <v>54</v>
      </c>
      <c r="M140" s="36" t="s">
        <v>282</v>
      </c>
      <c r="N140" s="36" t="s">
        <v>62</v>
      </c>
      <c r="O140" s="36" t="s">
        <v>291</v>
      </c>
    </row>
    <row r="141" spans="11:15">
      <c r="K141" s="36" t="s">
        <v>184</v>
      </c>
      <c r="L141" s="36" t="s">
        <v>54</v>
      </c>
      <c r="M141" s="36" t="s">
        <v>282</v>
      </c>
      <c r="N141" s="36" t="s">
        <v>62</v>
      </c>
      <c r="O141" s="36" t="s">
        <v>292</v>
      </c>
    </row>
    <row r="142" spans="11:15">
      <c r="K142" s="36" t="s">
        <v>184</v>
      </c>
      <c r="L142" s="36" t="s">
        <v>54</v>
      </c>
      <c r="M142" s="36" t="s">
        <v>282</v>
      </c>
      <c r="N142" s="36" t="s">
        <v>62</v>
      </c>
      <c r="O142" s="36" t="s">
        <v>293</v>
      </c>
    </row>
    <row r="143" spans="11:15">
      <c r="K143" s="36" t="s">
        <v>184</v>
      </c>
      <c r="L143" s="36" t="s">
        <v>54</v>
      </c>
      <c r="M143" s="36" t="s">
        <v>282</v>
      </c>
      <c r="N143" s="36" t="s">
        <v>62</v>
      </c>
      <c r="O143" s="36" t="s">
        <v>294</v>
      </c>
    </row>
    <row r="144" spans="11:15">
      <c r="K144" s="36" t="s">
        <v>184</v>
      </c>
      <c r="L144" s="36" t="s">
        <v>54</v>
      </c>
      <c r="M144" s="36" t="s">
        <v>282</v>
      </c>
      <c r="N144" s="36" t="s">
        <v>62</v>
      </c>
      <c r="O144" s="36" t="s">
        <v>295</v>
      </c>
    </row>
    <row r="145" spans="11:15">
      <c r="K145" s="36" t="s">
        <v>184</v>
      </c>
      <c r="L145" s="36" t="s">
        <v>296</v>
      </c>
      <c r="M145" s="36" t="s">
        <v>297</v>
      </c>
      <c r="N145" s="36" t="s">
        <v>62</v>
      </c>
      <c r="O145" s="36" t="s">
        <v>298</v>
      </c>
    </row>
    <row r="146" spans="11:15">
      <c r="K146" s="36" t="s">
        <v>184</v>
      </c>
      <c r="L146" s="36" t="s">
        <v>296</v>
      </c>
      <c r="M146" s="36" t="s">
        <v>297</v>
      </c>
      <c r="N146" s="36" t="s">
        <v>62</v>
      </c>
      <c r="O146" s="36" t="s">
        <v>299</v>
      </c>
    </row>
    <row r="147" spans="11:15">
      <c r="K147" s="36" t="s">
        <v>184</v>
      </c>
      <c r="L147" s="36" t="s">
        <v>296</v>
      </c>
      <c r="M147" s="36" t="s">
        <v>297</v>
      </c>
      <c r="N147" s="36" t="s">
        <v>62</v>
      </c>
      <c r="O147" s="36" t="s">
        <v>300</v>
      </c>
    </row>
    <row r="148" spans="11:15">
      <c r="K148" s="36" t="s">
        <v>184</v>
      </c>
      <c r="L148" s="36" t="s">
        <v>296</v>
      </c>
      <c r="M148" s="36" t="s">
        <v>301</v>
      </c>
      <c r="N148" s="36" t="s">
        <v>62</v>
      </c>
      <c r="O148" s="36" t="s">
        <v>302</v>
      </c>
    </row>
    <row r="149" spans="11:15">
      <c r="K149" s="36" t="s">
        <v>184</v>
      </c>
      <c r="L149" s="36" t="s">
        <v>296</v>
      </c>
      <c r="M149" s="36" t="s">
        <v>301</v>
      </c>
      <c r="N149" s="36" t="s">
        <v>62</v>
      </c>
      <c r="O149" s="36" t="s">
        <v>303</v>
      </c>
    </row>
    <row r="150" spans="11:15">
      <c r="K150" s="36" t="s">
        <v>184</v>
      </c>
      <c r="L150" s="36" t="s">
        <v>296</v>
      </c>
      <c r="M150" s="36" t="s">
        <v>301</v>
      </c>
      <c r="N150" s="36" t="s">
        <v>62</v>
      </c>
      <c r="O150" s="36" t="s">
        <v>304</v>
      </c>
    </row>
    <row r="151" spans="11:15">
      <c r="K151" s="36" t="s">
        <v>184</v>
      </c>
      <c r="L151" s="36" t="s">
        <v>296</v>
      </c>
      <c r="M151" s="36" t="s">
        <v>301</v>
      </c>
      <c r="N151" s="36" t="s">
        <v>62</v>
      </c>
      <c r="O151" s="36" t="s">
        <v>305</v>
      </c>
    </row>
    <row r="152" spans="11:15">
      <c r="K152" s="36" t="s">
        <v>184</v>
      </c>
      <c r="L152" s="36" t="s">
        <v>296</v>
      </c>
      <c r="M152" s="36" t="s">
        <v>301</v>
      </c>
      <c r="N152" s="36" t="s">
        <v>62</v>
      </c>
      <c r="O152" s="36" t="s">
        <v>306</v>
      </c>
    </row>
    <row r="153" spans="11:15">
      <c r="K153" s="36" t="s">
        <v>184</v>
      </c>
      <c r="L153" s="36" t="s">
        <v>296</v>
      </c>
      <c r="M153" s="36" t="s">
        <v>307</v>
      </c>
      <c r="N153" s="36" t="s">
        <v>55</v>
      </c>
      <c r="O153" s="36" t="s">
        <v>308</v>
      </c>
    </row>
    <row r="154" spans="11:15">
      <c r="K154" s="36" t="s">
        <v>184</v>
      </c>
      <c r="L154" s="36" t="s">
        <v>296</v>
      </c>
      <c r="M154" s="36" t="s">
        <v>307</v>
      </c>
      <c r="N154" s="36" t="s">
        <v>55</v>
      </c>
      <c r="O154" s="36" t="s">
        <v>309</v>
      </c>
    </row>
    <row r="155" spans="11:15">
      <c r="K155" s="36" t="s">
        <v>184</v>
      </c>
      <c r="L155" s="36" t="s">
        <v>296</v>
      </c>
      <c r="M155" s="36" t="s">
        <v>307</v>
      </c>
      <c r="N155" s="36" t="s">
        <v>55</v>
      </c>
      <c r="O155" s="36" t="s">
        <v>310</v>
      </c>
    </row>
    <row r="156" spans="11:15">
      <c r="K156" s="36" t="s">
        <v>184</v>
      </c>
      <c r="L156" s="36" t="s">
        <v>296</v>
      </c>
      <c r="M156" s="36" t="s">
        <v>307</v>
      </c>
      <c r="N156" s="36" t="s">
        <v>55</v>
      </c>
      <c r="O156" s="36" t="s">
        <v>311</v>
      </c>
    </row>
    <row r="157" spans="11:15">
      <c r="K157" s="36" t="s">
        <v>312</v>
      </c>
      <c r="L157" s="36" t="s">
        <v>133</v>
      </c>
      <c r="M157" s="36" t="s">
        <v>191</v>
      </c>
      <c r="N157" s="36" t="s">
        <v>62</v>
      </c>
      <c r="O157" s="36" t="s">
        <v>313</v>
      </c>
    </row>
    <row r="158" spans="11:15">
      <c r="K158" s="36" t="s">
        <v>312</v>
      </c>
      <c r="L158" s="36" t="s">
        <v>133</v>
      </c>
      <c r="M158" s="36" t="s">
        <v>191</v>
      </c>
      <c r="N158" s="36" t="s">
        <v>62</v>
      </c>
      <c r="O158" s="36" t="s">
        <v>314</v>
      </c>
    </row>
    <row r="159" spans="11:15">
      <c r="K159" s="36" t="s">
        <v>312</v>
      </c>
      <c r="L159" s="36" t="s">
        <v>133</v>
      </c>
      <c r="M159" s="36" t="s">
        <v>191</v>
      </c>
      <c r="N159" s="36" t="s">
        <v>62</v>
      </c>
      <c r="O159" s="36" t="s">
        <v>315</v>
      </c>
    </row>
    <row r="160" spans="11:15">
      <c r="K160" s="36" t="s">
        <v>312</v>
      </c>
      <c r="L160" s="36" t="s">
        <v>133</v>
      </c>
      <c r="M160" s="36" t="s">
        <v>191</v>
      </c>
      <c r="N160" s="36" t="s">
        <v>62</v>
      </c>
      <c r="O160" s="36" t="s">
        <v>316</v>
      </c>
    </row>
    <row r="161" spans="11:15">
      <c r="K161" s="36" t="s">
        <v>312</v>
      </c>
      <c r="L161" s="36" t="s">
        <v>133</v>
      </c>
      <c r="M161" s="36" t="s">
        <v>191</v>
      </c>
      <c r="N161" s="36" t="s">
        <v>208</v>
      </c>
      <c r="O161" s="36" t="s">
        <v>317</v>
      </c>
    </row>
    <row r="162" spans="11:15">
      <c r="K162" s="36" t="s">
        <v>312</v>
      </c>
      <c r="L162" s="36" t="s">
        <v>133</v>
      </c>
      <c r="M162" s="36" t="s">
        <v>191</v>
      </c>
      <c r="N162" s="36" t="s">
        <v>208</v>
      </c>
      <c r="O162" s="36" t="s">
        <v>318</v>
      </c>
    </row>
    <row r="163" spans="11:15">
      <c r="K163" s="36" t="s">
        <v>312</v>
      </c>
      <c r="L163" s="36" t="s">
        <v>40</v>
      </c>
      <c r="M163" s="36" t="s">
        <v>211</v>
      </c>
      <c r="N163" s="36" t="s">
        <v>62</v>
      </c>
      <c r="O163" s="36" t="s">
        <v>319</v>
      </c>
    </row>
    <row r="164" spans="11:15">
      <c r="K164" s="36" t="s">
        <v>312</v>
      </c>
      <c r="L164" s="36" t="s">
        <v>40</v>
      </c>
      <c r="M164" s="36" t="s">
        <v>211</v>
      </c>
      <c r="N164" s="36" t="s">
        <v>62</v>
      </c>
      <c r="O164" s="36" t="s">
        <v>320</v>
      </c>
    </row>
    <row r="165" spans="11:15">
      <c r="K165" s="36" t="s">
        <v>312</v>
      </c>
      <c r="L165" s="36" t="s">
        <v>40</v>
      </c>
      <c r="M165" s="36" t="s">
        <v>211</v>
      </c>
      <c r="N165" s="36" t="s">
        <v>62</v>
      </c>
      <c r="O165" s="36" t="s">
        <v>321</v>
      </c>
    </row>
    <row r="166" spans="11:15">
      <c r="K166" s="36" t="s">
        <v>312</v>
      </c>
      <c r="L166" s="36" t="s">
        <v>40</v>
      </c>
      <c r="M166" s="36" t="s">
        <v>211</v>
      </c>
      <c r="N166" s="36" t="s">
        <v>62</v>
      </c>
      <c r="O166" s="36" t="s">
        <v>322</v>
      </c>
    </row>
    <row r="167" spans="11:15">
      <c r="K167" s="36" t="s">
        <v>312</v>
      </c>
      <c r="L167" s="36" t="s">
        <v>40</v>
      </c>
      <c r="M167" s="36" t="s">
        <v>211</v>
      </c>
      <c r="N167" s="36" t="s">
        <v>62</v>
      </c>
      <c r="O167" s="36" t="s">
        <v>323</v>
      </c>
    </row>
    <row r="168" spans="11:15">
      <c r="K168" s="36" t="s">
        <v>312</v>
      </c>
      <c r="L168" s="36" t="s">
        <v>40</v>
      </c>
      <c r="M168" s="36" t="s">
        <v>211</v>
      </c>
      <c r="N168" s="36" t="s">
        <v>62</v>
      </c>
      <c r="O168" s="36" t="s">
        <v>324</v>
      </c>
    </row>
    <row r="169" spans="11:15">
      <c r="K169" s="36" t="s">
        <v>312</v>
      </c>
      <c r="L169" s="36" t="s">
        <v>40</v>
      </c>
      <c r="M169" s="36" t="s">
        <v>211</v>
      </c>
      <c r="N169" s="36" t="s">
        <v>62</v>
      </c>
      <c r="O169" s="36" t="s">
        <v>325</v>
      </c>
    </row>
    <row r="170" spans="11:15">
      <c r="K170" s="36" t="s">
        <v>312</v>
      </c>
      <c r="L170" s="36" t="s">
        <v>40</v>
      </c>
      <c r="M170" s="36" t="s">
        <v>211</v>
      </c>
      <c r="N170" s="36" t="s">
        <v>62</v>
      </c>
      <c r="O170" s="36" t="s">
        <v>326</v>
      </c>
    </row>
    <row r="171" spans="11:15">
      <c r="K171" s="36" t="s">
        <v>312</v>
      </c>
      <c r="L171" s="36" t="s">
        <v>40</v>
      </c>
      <c r="M171" s="36" t="s">
        <v>211</v>
      </c>
      <c r="N171" s="36" t="s">
        <v>62</v>
      </c>
      <c r="O171" s="36" t="s">
        <v>327</v>
      </c>
    </row>
    <row r="172" spans="11:15">
      <c r="K172" s="36" t="s">
        <v>312</v>
      </c>
      <c r="L172" s="36" t="s">
        <v>40</v>
      </c>
      <c r="M172" s="36" t="s">
        <v>211</v>
      </c>
      <c r="N172" s="36" t="s">
        <v>62</v>
      </c>
      <c r="O172" s="36" t="s">
        <v>328</v>
      </c>
    </row>
    <row r="173" spans="11:15">
      <c r="K173" s="36" t="s">
        <v>312</v>
      </c>
      <c r="L173" s="36" t="s">
        <v>40</v>
      </c>
      <c r="M173" s="36" t="s">
        <v>211</v>
      </c>
      <c r="N173" s="36" t="s">
        <v>62</v>
      </c>
      <c r="O173" s="36" t="s">
        <v>329</v>
      </c>
    </row>
    <row r="174" spans="11:15">
      <c r="K174" s="36" t="s">
        <v>312</v>
      </c>
      <c r="L174" s="36" t="s">
        <v>40</v>
      </c>
      <c r="M174" s="36" t="s">
        <v>211</v>
      </c>
      <c r="N174" s="36" t="s">
        <v>62</v>
      </c>
      <c r="O174" s="36" t="s">
        <v>330</v>
      </c>
    </row>
    <row r="175" spans="11:15">
      <c r="K175" s="36" t="s">
        <v>312</v>
      </c>
      <c r="L175" s="36" t="s">
        <v>40</v>
      </c>
      <c r="M175" s="36" t="s">
        <v>211</v>
      </c>
      <c r="N175" s="36" t="s">
        <v>62</v>
      </c>
      <c r="O175" s="36" t="s">
        <v>331</v>
      </c>
    </row>
    <row r="176" spans="11:15">
      <c r="K176" s="36" t="s">
        <v>312</v>
      </c>
      <c r="L176" s="36" t="s">
        <v>40</v>
      </c>
      <c r="M176" s="36" t="s">
        <v>211</v>
      </c>
      <c r="N176" s="36" t="s">
        <v>62</v>
      </c>
      <c r="O176" s="36" t="s">
        <v>332</v>
      </c>
    </row>
    <row r="177" spans="11:15">
      <c r="K177" s="36" t="s">
        <v>312</v>
      </c>
      <c r="L177" s="36" t="s">
        <v>40</v>
      </c>
      <c r="M177" s="36" t="s">
        <v>211</v>
      </c>
      <c r="N177" s="36" t="s">
        <v>208</v>
      </c>
      <c r="O177" s="36" t="s">
        <v>333</v>
      </c>
    </row>
    <row r="178" spans="11:15">
      <c r="K178" s="36" t="s">
        <v>312</v>
      </c>
      <c r="L178" s="36" t="s">
        <v>40</v>
      </c>
      <c r="M178" s="36" t="s">
        <v>211</v>
      </c>
      <c r="N178" s="36" t="s">
        <v>208</v>
      </c>
      <c r="O178" s="36" t="s">
        <v>334</v>
      </c>
    </row>
    <row r="179" spans="11:15">
      <c r="K179" s="36" t="s">
        <v>312</v>
      </c>
      <c r="L179" s="36" t="s">
        <v>40</v>
      </c>
      <c r="M179" s="36" t="s">
        <v>211</v>
      </c>
      <c r="N179" s="36" t="s">
        <v>208</v>
      </c>
      <c r="O179" s="36" t="s">
        <v>335</v>
      </c>
    </row>
    <row r="180" spans="11:15">
      <c r="K180" s="36" t="s">
        <v>312</v>
      </c>
      <c r="L180" s="36" t="s">
        <v>40</v>
      </c>
      <c r="M180" s="36" t="s">
        <v>211</v>
      </c>
      <c r="N180" s="36" t="s">
        <v>208</v>
      </c>
      <c r="O180" s="36" t="s">
        <v>336</v>
      </c>
    </row>
    <row r="181" spans="11:15">
      <c r="K181" s="36" t="s">
        <v>312</v>
      </c>
      <c r="L181" s="36" t="s">
        <v>40</v>
      </c>
      <c r="M181" s="36" t="s">
        <v>211</v>
      </c>
      <c r="N181" s="36" t="s">
        <v>208</v>
      </c>
      <c r="O181" s="36" t="s">
        <v>337</v>
      </c>
    </row>
    <row r="182" spans="11:15">
      <c r="K182" s="36" t="s">
        <v>312</v>
      </c>
      <c r="L182" s="36" t="s">
        <v>40</v>
      </c>
      <c r="M182" s="36" t="s">
        <v>211</v>
      </c>
      <c r="N182" s="36" t="s">
        <v>208</v>
      </c>
      <c r="O182" s="36" t="s">
        <v>338</v>
      </c>
    </row>
    <row r="183" spans="11:15">
      <c r="K183" s="36" t="s">
        <v>312</v>
      </c>
      <c r="L183" s="36" t="s">
        <v>40</v>
      </c>
      <c r="M183" s="36" t="s">
        <v>211</v>
      </c>
      <c r="N183" s="36" t="s">
        <v>208</v>
      </c>
      <c r="O183" s="36" t="s">
        <v>339</v>
      </c>
    </row>
    <row r="184" spans="11:15">
      <c r="K184" s="36" t="s">
        <v>312</v>
      </c>
      <c r="L184" s="36" t="s">
        <v>40</v>
      </c>
      <c r="M184" s="36" t="s">
        <v>211</v>
      </c>
      <c r="N184" s="36" t="s">
        <v>208</v>
      </c>
      <c r="O184" s="36" t="s">
        <v>340</v>
      </c>
    </row>
    <row r="185" spans="11:15">
      <c r="K185" s="36" t="s">
        <v>312</v>
      </c>
      <c r="L185" s="36" t="s">
        <v>40</v>
      </c>
      <c r="M185" s="36" t="s">
        <v>211</v>
      </c>
      <c r="N185" s="36" t="s">
        <v>208</v>
      </c>
      <c r="O185" s="36" t="s">
        <v>341</v>
      </c>
    </row>
    <row r="186" spans="11:15">
      <c r="K186" s="36" t="s">
        <v>312</v>
      </c>
      <c r="L186" s="36" t="s">
        <v>40</v>
      </c>
      <c r="M186" s="36" t="s">
        <v>211</v>
      </c>
      <c r="N186" s="36" t="s">
        <v>208</v>
      </c>
      <c r="O186" s="36" t="s">
        <v>342</v>
      </c>
    </row>
    <row r="187" spans="11:15">
      <c r="K187" s="36" t="s">
        <v>312</v>
      </c>
      <c r="L187" s="36" t="s">
        <v>40</v>
      </c>
      <c r="M187" s="36" t="s">
        <v>211</v>
      </c>
      <c r="N187" s="36" t="s">
        <v>208</v>
      </c>
      <c r="O187" s="36" t="s">
        <v>343</v>
      </c>
    </row>
    <row r="188" spans="11:15">
      <c r="K188" s="36" t="s">
        <v>312</v>
      </c>
      <c r="L188" s="36" t="s">
        <v>40</v>
      </c>
      <c r="M188" s="36" t="s">
        <v>211</v>
      </c>
      <c r="N188" s="36" t="s">
        <v>165</v>
      </c>
      <c r="O188" s="36" t="s">
        <v>344</v>
      </c>
    </row>
    <row r="189" spans="11:15">
      <c r="K189" s="36" t="s">
        <v>312</v>
      </c>
      <c r="L189" s="36" t="s">
        <v>40</v>
      </c>
      <c r="M189" s="36" t="s">
        <v>211</v>
      </c>
      <c r="N189" s="36" t="s">
        <v>165</v>
      </c>
      <c r="O189" s="36" t="s">
        <v>345</v>
      </c>
    </row>
    <row r="190" spans="11:15">
      <c r="K190" s="36" t="s">
        <v>312</v>
      </c>
      <c r="L190" s="36" t="s">
        <v>40</v>
      </c>
      <c r="M190" s="36" t="s">
        <v>211</v>
      </c>
      <c r="N190" s="36" t="s">
        <v>165</v>
      </c>
      <c r="O190" s="36" t="s">
        <v>346</v>
      </c>
    </row>
    <row r="191" spans="11:15">
      <c r="K191" s="36" t="s">
        <v>312</v>
      </c>
      <c r="L191" s="36" t="s">
        <v>40</v>
      </c>
      <c r="M191" s="36" t="s">
        <v>211</v>
      </c>
      <c r="N191" s="36" t="s">
        <v>165</v>
      </c>
      <c r="O191" s="36" t="s">
        <v>347</v>
      </c>
    </row>
    <row r="192" spans="11:15">
      <c r="K192" s="36" t="s">
        <v>312</v>
      </c>
      <c r="L192" s="36" t="s">
        <v>40</v>
      </c>
      <c r="M192" s="36" t="s">
        <v>211</v>
      </c>
      <c r="N192" s="36" t="s">
        <v>165</v>
      </c>
      <c r="O192" s="36" t="s">
        <v>348</v>
      </c>
    </row>
    <row r="193" spans="11:15">
      <c r="K193" s="36" t="s">
        <v>312</v>
      </c>
      <c r="L193" s="36" t="s">
        <v>40</v>
      </c>
      <c r="M193" s="36" t="s">
        <v>211</v>
      </c>
      <c r="N193" s="36" t="s">
        <v>165</v>
      </c>
      <c r="O193" s="36" t="s">
        <v>349</v>
      </c>
    </row>
    <row r="194" spans="11:15">
      <c r="K194" s="36" t="s">
        <v>312</v>
      </c>
      <c r="L194" s="36" t="s">
        <v>40</v>
      </c>
      <c r="M194" s="36" t="s">
        <v>211</v>
      </c>
      <c r="N194" s="36" t="s">
        <v>165</v>
      </c>
      <c r="O194" s="36" t="s">
        <v>350</v>
      </c>
    </row>
    <row r="195" spans="11:15">
      <c r="K195" s="36" t="s">
        <v>312</v>
      </c>
      <c r="L195" s="36" t="s">
        <v>40</v>
      </c>
      <c r="M195" s="36" t="s">
        <v>211</v>
      </c>
      <c r="N195" s="36" t="s">
        <v>165</v>
      </c>
      <c r="O195" s="36" t="s">
        <v>351</v>
      </c>
    </row>
    <row r="196" spans="11:15">
      <c r="K196" s="36" t="s">
        <v>312</v>
      </c>
      <c r="L196" s="36" t="s">
        <v>40</v>
      </c>
      <c r="M196" s="36" t="s">
        <v>211</v>
      </c>
      <c r="N196" s="36" t="s">
        <v>165</v>
      </c>
      <c r="O196" s="36" t="s">
        <v>352</v>
      </c>
    </row>
    <row r="197" spans="11:15">
      <c r="K197" s="36" t="s">
        <v>312</v>
      </c>
      <c r="L197" s="36" t="s">
        <v>40</v>
      </c>
      <c r="M197" s="36" t="s">
        <v>211</v>
      </c>
      <c r="N197" s="36" t="s">
        <v>165</v>
      </c>
      <c r="O197" s="36" t="s">
        <v>353</v>
      </c>
    </row>
    <row r="198" spans="11:15">
      <c r="K198" s="36" t="s">
        <v>312</v>
      </c>
      <c r="L198" s="36" t="s">
        <v>40</v>
      </c>
      <c r="M198" s="36" t="s">
        <v>211</v>
      </c>
      <c r="N198" s="36" t="s">
        <v>165</v>
      </c>
      <c r="O198" s="36" t="s">
        <v>354</v>
      </c>
    </row>
    <row r="199" spans="11:15">
      <c r="K199" s="36" t="s">
        <v>312</v>
      </c>
      <c r="L199" s="36" t="s">
        <v>40</v>
      </c>
      <c r="M199" s="36" t="s">
        <v>211</v>
      </c>
      <c r="N199" s="36" t="s">
        <v>165</v>
      </c>
      <c r="O199" s="36" t="s">
        <v>355</v>
      </c>
    </row>
    <row r="200" spans="11:15">
      <c r="K200" s="36" t="s">
        <v>312</v>
      </c>
      <c r="L200" s="36" t="s">
        <v>40</v>
      </c>
      <c r="M200" s="36" t="s">
        <v>211</v>
      </c>
      <c r="N200" s="36" t="s">
        <v>165</v>
      </c>
      <c r="O200" s="36" t="s">
        <v>356</v>
      </c>
    </row>
    <row r="201" spans="11:15">
      <c r="K201" s="36" t="s">
        <v>312</v>
      </c>
      <c r="L201" s="36" t="s">
        <v>40</v>
      </c>
      <c r="M201" s="36" t="s">
        <v>211</v>
      </c>
      <c r="N201" s="36" t="s">
        <v>165</v>
      </c>
      <c r="O201" s="36" t="s">
        <v>357</v>
      </c>
    </row>
    <row r="202" spans="11:15">
      <c r="K202" s="36" t="s">
        <v>312</v>
      </c>
      <c r="L202" s="36" t="s">
        <v>40</v>
      </c>
      <c r="M202" s="36" t="s">
        <v>261</v>
      </c>
      <c r="N202" s="36" t="s">
        <v>62</v>
      </c>
      <c r="O202" s="36" t="s">
        <v>358</v>
      </c>
    </row>
    <row r="203" spans="11:15">
      <c r="K203" s="36" t="s">
        <v>312</v>
      </c>
      <c r="L203" s="36" t="s">
        <v>40</v>
      </c>
      <c r="M203" s="36" t="s">
        <v>359</v>
      </c>
      <c r="N203" s="36" t="s">
        <v>62</v>
      </c>
      <c r="O203" s="36" t="s">
        <v>360</v>
      </c>
    </row>
    <row r="204" spans="11:15">
      <c r="K204" s="36" t="s">
        <v>312</v>
      </c>
      <c r="L204" s="36" t="s">
        <v>40</v>
      </c>
      <c r="M204" s="36" t="s">
        <v>359</v>
      </c>
      <c r="N204" s="36" t="s">
        <v>62</v>
      </c>
      <c r="O204" s="36" t="s">
        <v>361</v>
      </c>
    </row>
    <row r="205" spans="11:15">
      <c r="K205" s="36" t="s">
        <v>312</v>
      </c>
      <c r="L205" s="36" t="s">
        <v>40</v>
      </c>
      <c r="M205" s="36" t="s">
        <v>359</v>
      </c>
      <c r="N205" s="36" t="s">
        <v>62</v>
      </c>
      <c r="O205" s="36" t="s">
        <v>362</v>
      </c>
    </row>
    <row r="206" spans="11:15">
      <c r="K206" s="36" t="s">
        <v>312</v>
      </c>
      <c r="L206" s="36" t="s">
        <v>40</v>
      </c>
      <c r="M206" s="36" t="s">
        <v>359</v>
      </c>
      <c r="N206" s="36" t="s">
        <v>62</v>
      </c>
      <c r="O206" s="36" t="s">
        <v>363</v>
      </c>
    </row>
    <row r="207" spans="11:15">
      <c r="K207" s="36" t="s">
        <v>312</v>
      </c>
      <c r="L207" s="36" t="s">
        <v>40</v>
      </c>
      <c r="M207" s="36" t="s">
        <v>364</v>
      </c>
      <c r="N207" s="36" t="s">
        <v>55</v>
      </c>
      <c r="O207" s="36" t="s">
        <v>365</v>
      </c>
    </row>
    <row r="208" spans="11:15">
      <c r="K208" s="36" t="s">
        <v>312</v>
      </c>
      <c r="L208" s="36" t="s">
        <v>40</v>
      </c>
      <c r="M208" s="36" t="s">
        <v>364</v>
      </c>
      <c r="N208" s="36" t="s">
        <v>55</v>
      </c>
      <c r="O208" s="36" t="s">
        <v>366</v>
      </c>
    </row>
    <row r="209" spans="11:15">
      <c r="K209" s="36" t="s">
        <v>312</v>
      </c>
      <c r="L209" s="36" t="s">
        <v>40</v>
      </c>
      <c r="M209" s="36" t="s">
        <v>364</v>
      </c>
      <c r="N209" s="36" t="s">
        <v>55</v>
      </c>
      <c r="O209" s="36" t="s">
        <v>367</v>
      </c>
    </row>
    <row r="210" spans="11:15">
      <c r="K210" s="36" t="s">
        <v>312</v>
      </c>
      <c r="L210" s="36" t="s">
        <v>40</v>
      </c>
      <c r="M210" s="36" t="s">
        <v>364</v>
      </c>
      <c r="N210" s="36" t="s">
        <v>62</v>
      </c>
      <c r="O210" s="36" t="s">
        <v>368</v>
      </c>
    </row>
    <row r="211" spans="11:15">
      <c r="K211" s="36" t="s">
        <v>312</v>
      </c>
      <c r="L211" s="36" t="s">
        <v>40</v>
      </c>
      <c r="M211" s="36" t="s">
        <v>364</v>
      </c>
      <c r="N211" s="36" t="s">
        <v>62</v>
      </c>
      <c r="O211" s="36" t="s">
        <v>369</v>
      </c>
    </row>
    <row r="212" spans="11:15">
      <c r="K212" s="36" t="s">
        <v>312</v>
      </c>
      <c r="L212" s="36" t="s">
        <v>40</v>
      </c>
      <c r="M212" s="36" t="s">
        <v>364</v>
      </c>
      <c r="N212" s="36" t="s">
        <v>62</v>
      </c>
      <c r="O212" s="36" t="s">
        <v>370</v>
      </c>
    </row>
    <row r="213" spans="11:15">
      <c r="K213" s="36" t="s">
        <v>312</v>
      </c>
      <c r="L213" s="36" t="s">
        <v>40</v>
      </c>
      <c r="M213" s="36" t="s">
        <v>364</v>
      </c>
      <c r="N213" s="36" t="s">
        <v>62</v>
      </c>
      <c r="O213" s="36" t="s">
        <v>371</v>
      </c>
    </row>
    <row r="214" spans="11:15">
      <c r="K214" s="36" t="s">
        <v>312</v>
      </c>
      <c r="L214" s="36" t="s">
        <v>40</v>
      </c>
      <c r="M214" s="36" t="s">
        <v>364</v>
      </c>
      <c r="N214" s="36" t="s">
        <v>55</v>
      </c>
      <c r="O214" s="36" t="s">
        <v>372</v>
      </c>
    </row>
    <row r="215" spans="11:15">
      <c r="K215" s="36" t="s">
        <v>312</v>
      </c>
      <c r="L215" s="36" t="s">
        <v>40</v>
      </c>
      <c r="M215" s="36" t="s">
        <v>364</v>
      </c>
      <c r="N215" s="36" t="s">
        <v>55</v>
      </c>
      <c r="O215" s="36" t="s">
        <v>373</v>
      </c>
    </row>
    <row r="216" spans="11:15">
      <c r="K216" s="36" t="s">
        <v>312</v>
      </c>
      <c r="L216" s="36" t="s">
        <v>54</v>
      </c>
      <c r="M216" s="36" t="s">
        <v>274</v>
      </c>
      <c r="N216" s="36" t="s">
        <v>55</v>
      </c>
      <c r="O216" s="36" t="s">
        <v>374</v>
      </c>
    </row>
    <row r="217" spans="11:15">
      <c r="K217" s="36" t="s">
        <v>312</v>
      </c>
      <c r="L217" s="36" t="s">
        <v>54</v>
      </c>
      <c r="M217" s="36" t="s">
        <v>274</v>
      </c>
      <c r="N217" s="36" t="s">
        <v>55</v>
      </c>
      <c r="O217" s="36" t="s">
        <v>375</v>
      </c>
    </row>
    <row r="218" spans="11:15">
      <c r="K218" s="36" t="s">
        <v>312</v>
      </c>
      <c r="L218" s="36" t="s">
        <v>54</v>
      </c>
      <c r="M218" s="36" t="s">
        <v>274</v>
      </c>
      <c r="N218" s="36" t="s">
        <v>62</v>
      </c>
      <c r="O218" s="36" t="s">
        <v>376</v>
      </c>
    </row>
    <row r="219" spans="11:15">
      <c r="K219" s="36" t="s">
        <v>312</v>
      </c>
      <c r="L219" s="36" t="s">
        <v>54</v>
      </c>
      <c r="M219" s="36" t="s">
        <v>274</v>
      </c>
      <c r="N219" s="36" t="s">
        <v>62</v>
      </c>
      <c r="O219" s="36" t="s">
        <v>377</v>
      </c>
    </row>
    <row r="220" spans="11:15">
      <c r="K220" s="36" t="s">
        <v>312</v>
      </c>
      <c r="L220" s="36" t="s">
        <v>54</v>
      </c>
      <c r="M220" s="36" t="s">
        <v>274</v>
      </c>
      <c r="N220" s="36" t="s">
        <v>62</v>
      </c>
      <c r="O220" s="36" t="s">
        <v>378</v>
      </c>
    </row>
    <row r="221" spans="11:15">
      <c r="K221" s="36" t="s">
        <v>312</v>
      </c>
      <c r="L221" s="36" t="s">
        <v>54</v>
      </c>
      <c r="M221" s="36" t="s">
        <v>274</v>
      </c>
      <c r="N221" s="36" t="s">
        <v>62</v>
      </c>
      <c r="O221" s="36" t="s">
        <v>379</v>
      </c>
    </row>
    <row r="222" spans="11:15">
      <c r="K222" s="36" t="s">
        <v>312</v>
      </c>
      <c r="L222" s="36" t="s">
        <v>54</v>
      </c>
      <c r="M222" s="36" t="s">
        <v>274</v>
      </c>
      <c r="N222" s="36" t="s">
        <v>62</v>
      </c>
      <c r="O222" s="36" t="s">
        <v>380</v>
      </c>
    </row>
    <row r="223" spans="11:15">
      <c r="K223" s="36" t="s">
        <v>312</v>
      </c>
      <c r="L223" s="36" t="s">
        <v>54</v>
      </c>
      <c r="M223" s="36" t="s">
        <v>274</v>
      </c>
      <c r="N223" s="36" t="s">
        <v>62</v>
      </c>
      <c r="O223" s="36" t="s">
        <v>381</v>
      </c>
    </row>
    <row r="224" spans="11:15">
      <c r="K224" s="36" t="s">
        <v>312</v>
      </c>
      <c r="L224" s="36" t="s">
        <v>54</v>
      </c>
      <c r="M224" s="36" t="s">
        <v>274</v>
      </c>
      <c r="N224" s="36" t="s">
        <v>62</v>
      </c>
      <c r="O224" s="36" t="s">
        <v>382</v>
      </c>
    </row>
    <row r="225" spans="11:15">
      <c r="K225" s="36" t="s">
        <v>312</v>
      </c>
      <c r="L225" s="36" t="s">
        <v>54</v>
      </c>
      <c r="M225" s="36" t="s">
        <v>274</v>
      </c>
      <c r="N225" s="36" t="s">
        <v>62</v>
      </c>
      <c r="O225" s="36" t="s">
        <v>383</v>
      </c>
    </row>
    <row r="226" spans="11:15">
      <c r="K226" s="36" t="s">
        <v>312</v>
      </c>
      <c r="L226" s="36" t="s">
        <v>54</v>
      </c>
      <c r="M226" s="36" t="s">
        <v>274</v>
      </c>
      <c r="N226" s="36" t="s">
        <v>62</v>
      </c>
      <c r="O226" s="36" t="s">
        <v>384</v>
      </c>
    </row>
    <row r="227" spans="11:15">
      <c r="K227" s="36" t="s">
        <v>312</v>
      </c>
      <c r="L227" s="36" t="s">
        <v>54</v>
      </c>
      <c r="M227" s="36" t="s">
        <v>274</v>
      </c>
      <c r="N227" s="36" t="s">
        <v>208</v>
      </c>
      <c r="O227" s="36" t="s">
        <v>385</v>
      </c>
    </row>
    <row r="228" spans="11:15">
      <c r="K228" s="36" t="s">
        <v>312</v>
      </c>
      <c r="L228" s="36" t="s">
        <v>54</v>
      </c>
      <c r="M228" s="36" t="s">
        <v>274</v>
      </c>
      <c r="N228" s="36" t="s">
        <v>208</v>
      </c>
      <c r="O228" s="36" t="s">
        <v>386</v>
      </c>
    </row>
    <row r="229" spans="11:15">
      <c r="K229" s="36" t="s">
        <v>312</v>
      </c>
      <c r="L229" s="36" t="s">
        <v>54</v>
      </c>
      <c r="M229" s="36" t="s">
        <v>274</v>
      </c>
      <c r="N229" s="36" t="s">
        <v>208</v>
      </c>
      <c r="O229" s="36" t="s">
        <v>387</v>
      </c>
    </row>
    <row r="230" spans="11:15">
      <c r="K230" s="36" t="s">
        <v>312</v>
      </c>
      <c r="L230" s="36" t="s">
        <v>54</v>
      </c>
      <c r="M230" s="36" t="s">
        <v>274</v>
      </c>
      <c r="N230" s="36" t="s">
        <v>208</v>
      </c>
      <c r="O230" s="36" t="s">
        <v>388</v>
      </c>
    </row>
    <row r="231" spans="11:15">
      <c r="K231" s="36" t="s">
        <v>312</v>
      </c>
      <c r="L231" s="36" t="s">
        <v>54</v>
      </c>
      <c r="M231" s="36" t="s">
        <v>274</v>
      </c>
      <c r="N231" s="36" t="s">
        <v>208</v>
      </c>
      <c r="O231" s="36" t="s">
        <v>389</v>
      </c>
    </row>
    <row r="232" spans="11:15">
      <c r="K232" s="36" t="s">
        <v>312</v>
      </c>
      <c r="L232" s="36" t="s">
        <v>54</v>
      </c>
      <c r="M232" s="36" t="s">
        <v>274</v>
      </c>
      <c r="N232" s="36" t="s">
        <v>208</v>
      </c>
      <c r="O232" s="36" t="s">
        <v>390</v>
      </c>
    </row>
    <row r="233" spans="11:15">
      <c r="K233" s="36" t="s">
        <v>312</v>
      </c>
      <c r="L233" s="36" t="s">
        <v>54</v>
      </c>
      <c r="M233" s="36" t="s">
        <v>274</v>
      </c>
      <c r="N233" s="36" t="s">
        <v>208</v>
      </c>
      <c r="O233" s="36" t="s">
        <v>391</v>
      </c>
    </row>
    <row r="234" spans="11:15">
      <c r="K234" s="36" t="s">
        <v>312</v>
      </c>
      <c r="L234" s="36" t="s">
        <v>54</v>
      </c>
      <c r="M234" s="36" t="s">
        <v>274</v>
      </c>
      <c r="N234" s="36" t="s">
        <v>165</v>
      </c>
      <c r="O234" s="36" t="s">
        <v>392</v>
      </c>
    </row>
    <row r="235" spans="11:15">
      <c r="K235" s="36" t="s">
        <v>312</v>
      </c>
      <c r="L235" s="36" t="s">
        <v>54</v>
      </c>
      <c r="M235" s="36" t="s">
        <v>274</v>
      </c>
      <c r="N235" s="36" t="s">
        <v>165</v>
      </c>
      <c r="O235" s="36" t="s">
        <v>393</v>
      </c>
    </row>
    <row r="236" spans="11:15">
      <c r="K236" s="36" t="s">
        <v>312</v>
      </c>
      <c r="L236" s="36" t="s">
        <v>54</v>
      </c>
      <c r="M236" s="36" t="s">
        <v>274</v>
      </c>
      <c r="N236" s="36" t="s">
        <v>165</v>
      </c>
      <c r="O236" s="36" t="s">
        <v>394</v>
      </c>
    </row>
    <row r="237" spans="11:15">
      <c r="K237" s="36" t="s">
        <v>312</v>
      </c>
      <c r="L237" s="36" t="s">
        <v>54</v>
      </c>
      <c r="M237" s="36" t="s">
        <v>274</v>
      </c>
      <c r="N237" s="36" t="s">
        <v>165</v>
      </c>
      <c r="O237" s="36" t="s">
        <v>395</v>
      </c>
    </row>
    <row r="238" spans="11:15">
      <c r="K238" s="36" t="s">
        <v>312</v>
      </c>
      <c r="L238" s="36" t="s">
        <v>54</v>
      </c>
      <c r="M238" s="36" t="s">
        <v>274</v>
      </c>
      <c r="N238" s="36" t="s">
        <v>165</v>
      </c>
      <c r="O238" s="36" t="s">
        <v>396</v>
      </c>
    </row>
    <row r="239" spans="11:15">
      <c r="K239" s="36" t="s">
        <v>312</v>
      </c>
      <c r="L239" s="36" t="s">
        <v>54</v>
      </c>
      <c r="M239" s="36" t="s">
        <v>274</v>
      </c>
      <c r="N239" s="36" t="s">
        <v>165</v>
      </c>
      <c r="O239" s="36" t="s">
        <v>397</v>
      </c>
    </row>
    <row r="240" spans="11:15">
      <c r="K240" s="36" t="s">
        <v>312</v>
      </c>
      <c r="L240" s="36" t="s">
        <v>54</v>
      </c>
      <c r="M240" s="36" t="s">
        <v>274</v>
      </c>
      <c r="N240" s="36" t="s">
        <v>165</v>
      </c>
      <c r="O240" s="36" t="s">
        <v>398</v>
      </c>
    </row>
    <row r="241" spans="11:15">
      <c r="K241" s="36" t="s">
        <v>312</v>
      </c>
      <c r="L241" s="36" t="s">
        <v>54</v>
      </c>
      <c r="M241" s="36" t="s">
        <v>274</v>
      </c>
      <c r="N241" s="36" t="s">
        <v>165</v>
      </c>
      <c r="O241" s="36" t="s">
        <v>399</v>
      </c>
    </row>
    <row r="242" spans="11:15">
      <c r="K242" s="36" t="s">
        <v>312</v>
      </c>
      <c r="L242" s="36" t="s">
        <v>54</v>
      </c>
      <c r="M242" s="36" t="s">
        <v>274</v>
      </c>
      <c r="N242" s="36" t="s">
        <v>165</v>
      </c>
      <c r="O242" s="36" t="s">
        <v>400</v>
      </c>
    </row>
    <row r="243" spans="11:15">
      <c r="K243" s="36" t="s">
        <v>312</v>
      </c>
      <c r="L243" s="36" t="s">
        <v>54</v>
      </c>
      <c r="M243" s="36" t="s">
        <v>274</v>
      </c>
      <c r="N243" s="36" t="s">
        <v>165</v>
      </c>
      <c r="O243" s="36" t="s">
        <v>401</v>
      </c>
    </row>
    <row r="244" spans="11:15">
      <c r="K244" s="36" t="s">
        <v>312</v>
      </c>
      <c r="L244" s="36" t="s">
        <v>54</v>
      </c>
      <c r="M244" s="36" t="s">
        <v>274</v>
      </c>
      <c r="N244" s="36" t="s">
        <v>165</v>
      </c>
      <c r="O244" s="36" t="s">
        <v>402</v>
      </c>
    </row>
    <row r="245" spans="11:15">
      <c r="K245" s="36" t="s">
        <v>312</v>
      </c>
      <c r="L245" s="36" t="s">
        <v>54</v>
      </c>
      <c r="M245" s="36" t="s">
        <v>274</v>
      </c>
      <c r="N245" s="36" t="s">
        <v>165</v>
      </c>
      <c r="O245" s="36" t="s">
        <v>403</v>
      </c>
    </row>
    <row r="246" spans="11:15">
      <c r="K246" s="36" t="s">
        <v>312</v>
      </c>
      <c r="L246" s="36" t="s">
        <v>54</v>
      </c>
      <c r="M246" s="36" t="s">
        <v>274</v>
      </c>
      <c r="N246" s="36" t="s">
        <v>165</v>
      </c>
      <c r="O246" s="36" t="s">
        <v>404</v>
      </c>
    </row>
    <row r="247" spans="11:15">
      <c r="K247" s="36" t="s">
        <v>312</v>
      </c>
      <c r="L247" s="36" t="s">
        <v>54</v>
      </c>
      <c r="M247" s="36" t="s">
        <v>274</v>
      </c>
      <c r="N247" s="36" t="s">
        <v>165</v>
      </c>
      <c r="O247" s="36" t="s">
        <v>405</v>
      </c>
    </row>
    <row r="248" spans="11:15">
      <c r="K248" s="36" t="s">
        <v>312</v>
      </c>
      <c r="L248" s="36" t="s">
        <v>54</v>
      </c>
      <c r="M248" s="36" t="s">
        <v>274</v>
      </c>
      <c r="N248" s="36" t="s">
        <v>165</v>
      </c>
      <c r="O248" s="36" t="s">
        <v>406</v>
      </c>
    </row>
    <row r="249" spans="11:15">
      <c r="K249" s="36" t="s">
        <v>312</v>
      </c>
      <c r="L249" s="36" t="s">
        <v>54</v>
      </c>
      <c r="M249" s="36" t="s">
        <v>274</v>
      </c>
      <c r="N249" s="36" t="s">
        <v>165</v>
      </c>
      <c r="O249" s="36" t="s">
        <v>407</v>
      </c>
    </row>
    <row r="250" spans="11:15">
      <c r="K250" s="36" t="s">
        <v>312</v>
      </c>
      <c r="L250" s="36" t="s">
        <v>54</v>
      </c>
      <c r="M250" s="36" t="s">
        <v>408</v>
      </c>
      <c r="N250" s="36" t="s">
        <v>55</v>
      </c>
      <c r="O250" s="36" t="s">
        <v>409</v>
      </c>
    </row>
    <row r="251" spans="11:15">
      <c r="K251" s="36" t="s">
        <v>312</v>
      </c>
      <c r="L251" s="36" t="s">
        <v>54</v>
      </c>
      <c r="M251" s="36" t="s">
        <v>408</v>
      </c>
      <c r="N251" s="36" t="s">
        <v>55</v>
      </c>
      <c r="O251" s="36" t="s">
        <v>410</v>
      </c>
    </row>
    <row r="252" spans="11:15">
      <c r="K252" s="36" t="s">
        <v>312</v>
      </c>
      <c r="L252" s="36" t="s">
        <v>54</v>
      </c>
      <c r="M252" s="36" t="s">
        <v>408</v>
      </c>
      <c r="N252" s="36" t="s">
        <v>55</v>
      </c>
      <c r="O252" s="36" t="s">
        <v>411</v>
      </c>
    </row>
    <row r="253" spans="11:15">
      <c r="K253" s="36" t="s">
        <v>312</v>
      </c>
      <c r="L253" s="36" t="s">
        <v>54</v>
      </c>
      <c r="M253" s="36" t="s">
        <v>408</v>
      </c>
      <c r="N253" s="36" t="s">
        <v>55</v>
      </c>
      <c r="O253" s="36" t="s">
        <v>412</v>
      </c>
    </row>
    <row r="254" spans="11:15">
      <c r="K254" s="36" t="s">
        <v>312</v>
      </c>
      <c r="L254" s="36" t="s">
        <v>54</v>
      </c>
      <c r="M254" s="36" t="s">
        <v>413</v>
      </c>
      <c r="N254" s="36" t="s">
        <v>55</v>
      </c>
      <c r="O254" s="36" t="s">
        <v>414</v>
      </c>
    </row>
    <row r="255" spans="11:15">
      <c r="K255" s="36" t="s">
        <v>312</v>
      </c>
      <c r="L255" s="36" t="s">
        <v>54</v>
      </c>
      <c r="M255" s="36" t="s">
        <v>413</v>
      </c>
      <c r="N255" s="36" t="s">
        <v>55</v>
      </c>
      <c r="O255" s="36" t="s">
        <v>415</v>
      </c>
    </row>
    <row r="256" spans="11:15">
      <c r="K256" s="36" t="s">
        <v>312</v>
      </c>
      <c r="L256" s="36" t="s">
        <v>54</v>
      </c>
      <c r="M256" s="36" t="s">
        <v>413</v>
      </c>
      <c r="N256" s="36" t="s">
        <v>55</v>
      </c>
      <c r="O256" s="36" t="s">
        <v>416</v>
      </c>
    </row>
    <row r="257" spans="11:15">
      <c r="K257" s="36" t="s">
        <v>312</v>
      </c>
      <c r="L257" s="36" t="s">
        <v>54</v>
      </c>
      <c r="M257" s="36" t="s">
        <v>413</v>
      </c>
      <c r="N257" s="36" t="s">
        <v>62</v>
      </c>
      <c r="O257" s="36" t="s">
        <v>417</v>
      </c>
    </row>
    <row r="258" spans="11:15">
      <c r="K258" s="36" t="s">
        <v>312</v>
      </c>
      <c r="L258" s="36" t="s">
        <v>54</v>
      </c>
      <c r="M258" s="36" t="s">
        <v>413</v>
      </c>
      <c r="N258" s="36" t="s">
        <v>62</v>
      </c>
      <c r="O258" s="36" t="s">
        <v>418</v>
      </c>
    </row>
    <row r="259" spans="11:15">
      <c r="K259" s="36" t="s">
        <v>312</v>
      </c>
      <c r="L259" s="36" t="s">
        <v>54</v>
      </c>
      <c r="M259" s="36" t="s">
        <v>413</v>
      </c>
      <c r="N259" s="36" t="s">
        <v>62</v>
      </c>
      <c r="O259" s="36" t="s">
        <v>419</v>
      </c>
    </row>
    <row r="260" spans="11:15">
      <c r="K260" s="36" t="s">
        <v>312</v>
      </c>
      <c r="L260" s="36" t="s">
        <v>296</v>
      </c>
      <c r="M260" s="36" t="s">
        <v>420</v>
      </c>
      <c r="N260" s="36" t="s">
        <v>62</v>
      </c>
      <c r="O260" s="36" t="s">
        <v>421</v>
      </c>
    </row>
    <row r="261" spans="11:15">
      <c r="K261" s="36" t="s">
        <v>312</v>
      </c>
      <c r="L261" s="36" t="s">
        <v>296</v>
      </c>
      <c r="M261" s="36" t="s">
        <v>420</v>
      </c>
      <c r="N261" s="36" t="s">
        <v>165</v>
      </c>
      <c r="O261" s="36" t="s">
        <v>422</v>
      </c>
    </row>
    <row r="262" spans="11:15">
      <c r="K262" s="36" t="s">
        <v>312</v>
      </c>
      <c r="L262" s="36" t="s">
        <v>296</v>
      </c>
      <c r="M262" s="36" t="s">
        <v>423</v>
      </c>
      <c r="N262" s="36" t="s">
        <v>165</v>
      </c>
      <c r="O262" s="36" t="s">
        <v>424</v>
      </c>
    </row>
    <row r="263" spans="11:15">
      <c r="K263" s="36" t="s">
        <v>312</v>
      </c>
      <c r="L263" s="36" t="s">
        <v>296</v>
      </c>
      <c r="M263" s="36" t="s">
        <v>423</v>
      </c>
      <c r="N263" s="36" t="s">
        <v>165</v>
      </c>
      <c r="O263" s="36" t="s">
        <v>425</v>
      </c>
    </row>
    <row r="264" spans="11:15">
      <c r="K264" s="36" t="s">
        <v>312</v>
      </c>
      <c r="L264" s="36" t="s">
        <v>296</v>
      </c>
      <c r="M264" s="36" t="s">
        <v>423</v>
      </c>
      <c r="N264" s="36" t="s">
        <v>165</v>
      </c>
      <c r="O264" s="36" t="s">
        <v>426</v>
      </c>
    </row>
    <row r="265" spans="11:15">
      <c r="K265" s="36" t="s">
        <v>312</v>
      </c>
      <c r="L265" s="36" t="s">
        <v>296</v>
      </c>
      <c r="M265" s="36" t="s">
        <v>301</v>
      </c>
      <c r="N265" s="36" t="s">
        <v>62</v>
      </c>
      <c r="O265" s="36" t="s">
        <v>427</v>
      </c>
    </row>
    <row r="266" spans="11:15">
      <c r="K266" s="36" t="s">
        <v>312</v>
      </c>
      <c r="L266" s="36" t="s">
        <v>296</v>
      </c>
      <c r="M266" s="36" t="s">
        <v>301</v>
      </c>
      <c r="N266" s="36" t="s">
        <v>62</v>
      </c>
      <c r="O266" s="36" t="s">
        <v>428</v>
      </c>
    </row>
    <row r="267" spans="11:15">
      <c r="K267" s="36" t="s">
        <v>312</v>
      </c>
      <c r="L267" s="36" t="s">
        <v>296</v>
      </c>
      <c r="M267" s="36" t="s">
        <v>301</v>
      </c>
      <c r="N267" s="36" t="s">
        <v>62</v>
      </c>
      <c r="O267" s="36" t="s">
        <v>429</v>
      </c>
    </row>
    <row r="268" spans="11:15">
      <c r="K268" s="36" t="s">
        <v>312</v>
      </c>
      <c r="L268" s="36" t="s">
        <v>296</v>
      </c>
      <c r="M268" s="36" t="s">
        <v>301</v>
      </c>
      <c r="N268" s="36" t="s">
        <v>62</v>
      </c>
      <c r="O268" s="36" t="s">
        <v>430</v>
      </c>
    </row>
    <row r="269" spans="11:15">
      <c r="K269" s="36" t="s">
        <v>312</v>
      </c>
      <c r="L269" s="36" t="s">
        <v>296</v>
      </c>
      <c r="M269" s="36" t="s">
        <v>301</v>
      </c>
      <c r="N269" s="36" t="s">
        <v>62</v>
      </c>
      <c r="O269" s="36" t="s">
        <v>431</v>
      </c>
    </row>
    <row r="270" spans="11:15">
      <c r="K270" s="36" t="s">
        <v>312</v>
      </c>
      <c r="L270" s="36" t="s">
        <v>296</v>
      </c>
      <c r="M270" s="36" t="s">
        <v>301</v>
      </c>
      <c r="N270" s="36" t="s">
        <v>62</v>
      </c>
      <c r="O270" s="36" t="s">
        <v>432</v>
      </c>
    </row>
    <row r="271" spans="11:15">
      <c r="K271" s="36" t="s">
        <v>312</v>
      </c>
      <c r="L271" s="36" t="s">
        <v>296</v>
      </c>
      <c r="M271" s="36" t="s">
        <v>301</v>
      </c>
      <c r="N271" s="36" t="s">
        <v>62</v>
      </c>
      <c r="O271" s="36" t="s">
        <v>433</v>
      </c>
    </row>
    <row r="272" spans="11:15">
      <c r="K272" s="36" t="s">
        <v>312</v>
      </c>
      <c r="L272" s="36" t="s">
        <v>296</v>
      </c>
      <c r="M272" s="36" t="s">
        <v>301</v>
      </c>
      <c r="N272" s="36" t="s">
        <v>62</v>
      </c>
      <c r="O272" s="36" t="s">
        <v>434</v>
      </c>
    </row>
    <row r="273" spans="11:15">
      <c r="K273" s="36" t="s">
        <v>312</v>
      </c>
      <c r="L273" s="36" t="s">
        <v>296</v>
      </c>
      <c r="M273" s="36" t="s">
        <v>301</v>
      </c>
      <c r="N273" s="36" t="s">
        <v>62</v>
      </c>
      <c r="O273" s="36" t="s">
        <v>435</v>
      </c>
    </row>
    <row r="274" spans="11:15">
      <c r="K274" s="36" t="s">
        <v>312</v>
      </c>
      <c r="L274" s="36" t="s">
        <v>296</v>
      </c>
      <c r="M274" s="36" t="s">
        <v>301</v>
      </c>
      <c r="N274" s="36" t="s">
        <v>62</v>
      </c>
      <c r="O274" s="36" t="s">
        <v>436</v>
      </c>
    </row>
    <row r="275" spans="11:15">
      <c r="K275" s="36" t="s">
        <v>312</v>
      </c>
      <c r="L275" s="36" t="s">
        <v>296</v>
      </c>
      <c r="M275" s="36" t="s">
        <v>301</v>
      </c>
      <c r="N275" s="36" t="s">
        <v>165</v>
      </c>
      <c r="O275" s="36" t="s">
        <v>437</v>
      </c>
    </row>
    <row r="276" spans="11:15">
      <c r="K276" s="36" t="s">
        <v>312</v>
      </c>
      <c r="L276" s="36" t="s">
        <v>296</v>
      </c>
      <c r="M276" s="36" t="s">
        <v>301</v>
      </c>
      <c r="N276" s="36" t="s">
        <v>165</v>
      </c>
      <c r="O276" s="36" t="s">
        <v>438</v>
      </c>
    </row>
    <row r="277" spans="11:15">
      <c r="K277" s="36" t="s">
        <v>312</v>
      </c>
      <c r="L277" s="36" t="s">
        <v>296</v>
      </c>
      <c r="M277" s="36" t="s">
        <v>301</v>
      </c>
      <c r="N277" s="36" t="s">
        <v>165</v>
      </c>
      <c r="O277" s="36" t="s">
        <v>439</v>
      </c>
    </row>
    <row r="278" spans="11:15">
      <c r="K278" s="36" t="s">
        <v>312</v>
      </c>
      <c r="L278" s="36" t="s">
        <v>296</v>
      </c>
      <c r="M278" s="36" t="s">
        <v>301</v>
      </c>
      <c r="N278" s="36" t="s">
        <v>165</v>
      </c>
      <c r="O278" s="36" t="s">
        <v>440</v>
      </c>
    </row>
    <row r="279" spans="11:15">
      <c r="K279" s="36" t="s">
        <v>312</v>
      </c>
      <c r="L279" s="36" t="s">
        <v>296</v>
      </c>
      <c r="M279" s="36" t="s">
        <v>301</v>
      </c>
      <c r="N279" s="36" t="s">
        <v>165</v>
      </c>
      <c r="O279" s="36" t="s">
        <v>441</v>
      </c>
    </row>
    <row r="280" spans="11:15">
      <c r="K280" s="36" t="s">
        <v>312</v>
      </c>
      <c r="L280" s="36" t="s">
        <v>296</v>
      </c>
      <c r="M280" s="36" t="s">
        <v>301</v>
      </c>
      <c r="N280" s="36" t="s">
        <v>165</v>
      </c>
      <c r="O280" s="36" t="s">
        <v>442</v>
      </c>
    </row>
    <row r="281" spans="11:15">
      <c r="K281" s="36" t="s">
        <v>312</v>
      </c>
      <c r="L281" s="36" t="s">
        <v>296</v>
      </c>
      <c r="M281" s="36" t="s">
        <v>301</v>
      </c>
      <c r="N281" s="36" t="s">
        <v>165</v>
      </c>
      <c r="O281" s="36" t="s">
        <v>443</v>
      </c>
    </row>
    <row r="282" spans="11:15">
      <c r="K282" s="36" t="s">
        <v>312</v>
      </c>
      <c r="L282" s="36" t="s">
        <v>296</v>
      </c>
      <c r="M282" s="36" t="s">
        <v>301</v>
      </c>
      <c r="N282" s="36" t="s">
        <v>165</v>
      </c>
      <c r="O282" s="36" t="s">
        <v>444</v>
      </c>
    </row>
    <row r="283" spans="11:15">
      <c r="K283" s="36" t="s">
        <v>312</v>
      </c>
      <c r="L283" s="36" t="s">
        <v>296</v>
      </c>
      <c r="M283" s="36" t="s">
        <v>301</v>
      </c>
      <c r="N283" s="36" t="s">
        <v>165</v>
      </c>
      <c r="O283" s="36" t="s">
        <v>445</v>
      </c>
    </row>
    <row r="284" spans="11:15">
      <c r="K284" s="36" t="s">
        <v>312</v>
      </c>
      <c r="L284" s="36" t="s">
        <v>296</v>
      </c>
      <c r="M284" s="36" t="s">
        <v>301</v>
      </c>
      <c r="N284" s="36" t="s">
        <v>165</v>
      </c>
      <c r="O284" s="36" t="s">
        <v>446</v>
      </c>
    </row>
    <row r="285" spans="11:15">
      <c r="K285" s="36" t="s">
        <v>447</v>
      </c>
      <c r="L285" s="36" t="s">
        <v>133</v>
      </c>
      <c r="M285" s="36" t="s">
        <v>448</v>
      </c>
      <c r="N285" s="36" t="s">
        <v>62</v>
      </c>
      <c r="O285" s="36" t="s">
        <v>449</v>
      </c>
    </row>
    <row r="286" spans="11:15">
      <c r="K286" s="36" t="s">
        <v>447</v>
      </c>
      <c r="L286" s="36" t="s">
        <v>133</v>
      </c>
      <c r="M286" s="36" t="s">
        <v>448</v>
      </c>
      <c r="N286" s="36" t="s">
        <v>62</v>
      </c>
      <c r="O286" s="36" t="s">
        <v>450</v>
      </c>
    </row>
    <row r="287" spans="11:15">
      <c r="K287" s="36" t="s">
        <v>447</v>
      </c>
      <c r="L287" s="36" t="s">
        <v>133</v>
      </c>
      <c r="M287" s="36" t="s">
        <v>448</v>
      </c>
      <c r="N287" s="36" t="s">
        <v>62</v>
      </c>
      <c r="O287" s="36" t="s">
        <v>451</v>
      </c>
    </row>
    <row r="288" spans="11:15">
      <c r="K288" s="36" t="s">
        <v>447</v>
      </c>
      <c r="L288" s="36" t="s">
        <v>40</v>
      </c>
      <c r="M288" s="36" t="s">
        <v>211</v>
      </c>
      <c r="N288" s="36" t="s">
        <v>62</v>
      </c>
      <c r="O288" s="36" t="s">
        <v>452</v>
      </c>
    </row>
    <row r="289" spans="11:15">
      <c r="K289" s="36" t="s">
        <v>447</v>
      </c>
      <c r="L289" s="36" t="s">
        <v>40</v>
      </c>
      <c r="M289" s="36" t="s">
        <v>211</v>
      </c>
      <c r="N289" s="36" t="s">
        <v>62</v>
      </c>
      <c r="O289" s="36" t="s">
        <v>453</v>
      </c>
    </row>
    <row r="290" spans="11:15">
      <c r="K290" s="36" t="s">
        <v>447</v>
      </c>
      <c r="L290" s="36" t="s">
        <v>40</v>
      </c>
      <c r="M290" s="36" t="s">
        <v>211</v>
      </c>
      <c r="N290" s="36" t="s">
        <v>62</v>
      </c>
      <c r="O290" s="36" t="s">
        <v>454</v>
      </c>
    </row>
    <row r="291" spans="11:15">
      <c r="K291" s="36" t="s">
        <v>447</v>
      </c>
      <c r="L291" s="36" t="s">
        <v>40</v>
      </c>
      <c r="M291" s="36" t="s">
        <v>455</v>
      </c>
      <c r="N291" s="36" t="s">
        <v>62</v>
      </c>
      <c r="O291" s="36" t="s">
        <v>456</v>
      </c>
    </row>
    <row r="292" spans="11:15">
      <c r="K292" s="36" t="s">
        <v>447</v>
      </c>
      <c r="L292" s="36" t="s">
        <v>40</v>
      </c>
      <c r="M292" s="36" t="s">
        <v>455</v>
      </c>
      <c r="N292" s="36" t="s">
        <v>62</v>
      </c>
      <c r="O292" s="36" t="s">
        <v>457</v>
      </c>
    </row>
    <row r="293" spans="11:15">
      <c r="K293" s="36" t="s">
        <v>447</v>
      </c>
      <c r="L293" s="36" t="s">
        <v>40</v>
      </c>
      <c r="M293" s="36" t="s">
        <v>455</v>
      </c>
      <c r="N293" s="36" t="s">
        <v>62</v>
      </c>
      <c r="O293" s="36" t="s">
        <v>458</v>
      </c>
    </row>
    <row r="294" spans="11:15">
      <c r="K294" s="36" t="s">
        <v>447</v>
      </c>
      <c r="L294" s="36" t="s">
        <v>40</v>
      </c>
      <c r="M294" s="36" t="s">
        <v>455</v>
      </c>
      <c r="N294" s="36" t="s">
        <v>62</v>
      </c>
      <c r="O294" s="36" t="s">
        <v>459</v>
      </c>
    </row>
    <row r="295" spans="11:15">
      <c r="K295" s="36" t="s">
        <v>447</v>
      </c>
      <c r="L295" s="36" t="s">
        <v>40</v>
      </c>
      <c r="M295" s="36" t="s">
        <v>455</v>
      </c>
      <c r="N295" s="36" t="s">
        <v>62</v>
      </c>
      <c r="O295" s="36" t="s">
        <v>460</v>
      </c>
    </row>
    <row r="296" spans="11:15">
      <c r="K296" s="36" t="s">
        <v>447</v>
      </c>
      <c r="L296" s="36" t="s">
        <v>40</v>
      </c>
      <c r="M296" s="36" t="s">
        <v>455</v>
      </c>
      <c r="N296" s="36" t="s">
        <v>208</v>
      </c>
      <c r="O296" s="36" t="s">
        <v>461</v>
      </c>
    </row>
    <row r="297" spans="11:15">
      <c r="K297" s="36" t="s">
        <v>447</v>
      </c>
      <c r="L297" s="36" t="s">
        <v>40</v>
      </c>
      <c r="M297" s="36" t="s">
        <v>455</v>
      </c>
      <c r="N297" s="36" t="s">
        <v>208</v>
      </c>
      <c r="O297" s="36" t="s">
        <v>462</v>
      </c>
    </row>
    <row r="298" spans="11:15">
      <c r="K298" s="36" t="s">
        <v>447</v>
      </c>
      <c r="L298" s="36" t="s">
        <v>40</v>
      </c>
      <c r="M298" s="36" t="s">
        <v>455</v>
      </c>
      <c r="N298" s="36" t="s">
        <v>208</v>
      </c>
      <c r="O298" s="36" t="s">
        <v>463</v>
      </c>
    </row>
    <row r="299" spans="11:15">
      <c r="K299" s="36" t="s">
        <v>447</v>
      </c>
      <c r="L299" s="36" t="s">
        <v>40</v>
      </c>
      <c r="M299" s="36" t="s">
        <v>455</v>
      </c>
      <c r="N299" s="36" t="s">
        <v>165</v>
      </c>
      <c r="O299" s="36" t="s">
        <v>464</v>
      </c>
    </row>
    <row r="300" spans="11:15">
      <c r="K300" s="36" t="s">
        <v>447</v>
      </c>
      <c r="L300" s="36" t="s">
        <v>40</v>
      </c>
      <c r="M300" s="36" t="s">
        <v>455</v>
      </c>
      <c r="N300" s="36" t="s">
        <v>165</v>
      </c>
      <c r="O300" s="36" t="s">
        <v>465</v>
      </c>
    </row>
    <row r="301" spans="11:15">
      <c r="K301" s="36" t="s">
        <v>447</v>
      </c>
      <c r="L301" s="36" t="s">
        <v>40</v>
      </c>
      <c r="M301" s="36" t="s">
        <v>455</v>
      </c>
      <c r="N301" s="36" t="s">
        <v>165</v>
      </c>
      <c r="O301" s="36" t="s">
        <v>466</v>
      </c>
    </row>
    <row r="302" spans="11:15">
      <c r="K302" s="36" t="s">
        <v>447</v>
      </c>
      <c r="L302" s="36" t="s">
        <v>40</v>
      </c>
      <c r="M302" s="36" t="s">
        <v>455</v>
      </c>
      <c r="N302" s="36" t="s">
        <v>165</v>
      </c>
      <c r="O302" s="36" t="s">
        <v>467</v>
      </c>
    </row>
    <row r="303" spans="11:15">
      <c r="K303" s="36" t="s">
        <v>447</v>
      </c>
      <c r="L303" s="36" t="s">
        <v>40</v>
      </c>
      <c r="M303" s="36" t="s">
        <v>455</v>
      </c>
      <c r="N303" s="36" t="s">
        <v>165</v>
      </c>
      <c r="O303" s="36" t="s">
        <v>468</v>
      </c>
    </row>
    <row r="304" spans="11:15">
      <c r="K304" s="36" t="s">
        <v>447</v>
      </c>
      <c r="L304" s="36" t="s">
        <v>40</v>
      </c>
      <c r="M304" s="36" t="s">
        <v>455</v>
      </c>
      <c r="N304" s="36" t="s">
        <v>165</v>
      </c>
      <c r="O304" s="36" t="s">
        <v>469</v>
      </c>
    </row>
    <row r="305" spans="11:15">
      <c r="K305" s="36" t="s">
        <v>447</v>
      </c>
      <c r="L305" s="36" t="s">
        <v>40</v>
      </c>
      <c r="M305" s="36" t="s">
        <v>455</v>
      </c>
      <c r="N305" s="36" t="s">
        <v>165</v>
      </c>
      <c r="O305" s="36" t="s">
        <v>470</v>
      </c>
    </row>
    <row r="306" spans="11:15">
      <c r="K306" s="36" t="s">
        <v>447</v>
      </c>
      <c r="L306" s="36" t="s">
        <v>40</v>
      </c>
      <c r="M306" s="36" t="s">
        <v>455</v>
      </c>
      <c r="N306" s="36" t="s">
        <v>165</v>
      </c>
      <c r="O306" s="36" t="s">
        <v>471</v>
      </c>
    </row>
    <row r="307" spans="11:15">
      <c r="K307" s="36" t="s">
        <v>447</v>
      </c>
      <c r="L307" s="36" t="s">
        <v>40</v>
      </c>
      <c r="M307" s="36" t="s">
        <v>455</v>
      </c>
      <c r="N307" s="36" t="s">
        <v>165</v>
      </c>
      <c r="O307" s="36" t="s">
        <v>472</v>
      </c>
    </row>
    <row r="308" spans="11:15">
      <c r="K308" s="36" t="s">
        <v>447</v>
      </c>
      <c r="L308" s="36" t="s">
        <v>40</v>
      </c>
      <c r="M308" s="36" t="s">
        <v>455</v>
      </c>
      <c r="N308" s="36" t="s">
        <v>165</v>
      </c>
      <c r="O308" s="36" t="s">
        <v>473</v>
      </c>
    </row>
    <row r="309" spans="11:15">
      <c r="K309" s="36" t="s">
        <v>447</v>
      </c>
      <c r="L309" s="36" t="s">
        <v>40</v>
      </c>
      <c r="M309" s="36" t="s">
        <v>455</v>
      </c>
      <c r="N309" s="36" t="s">
        <v>165</v>
      </c>
      <c r="O309" s="36" t="s">
        <v>474</v>
      </c>
    </row>
    <row r="310" spans="11:15">
      <c r="K310" s="36" t="s">
        <v>447</v>
      </c>
      <c r="L310" s="36" t="s">
        <v>40</v>
      </c>
      <c r="M310" s="36" t="s">
        <v>455</v>
      </c>
      <c r="N310" s="36" t="s">
        <v>165</v>
      </c>
      <c r="O310" s="36" t="s">
        <v>475</v>
      </c>
    </row>
    <row r="311" spans="11:15">
      <c r="K311" s="36" t="s">
        <v>447</v>
      </c>
      <c r="L311" s="36" t="s">
        <v>40</v>
      </c>
      <c r="M311" s="36" t="s">
        <v>455</v>
      </c>
      <c r="N311" s="36" t="s">
        <v>165</v>
      </c>
      <c r="O311" s="36" t="s">
        <v>476</v>
      </c>
    </row>
    <row r="312" spans="11:15">
      <c r="K312" s="36" t="s">
        <v>447</v>
      </c>
      <c r="L312" s="36" t="s">
        <v>40</v>
      </c>
      <c r="M312" s="36" t="s">
        <v>364</v>
      </c>
      <c r="N312" s="36" t="s">
        <v>62</v>
      </c>
      <c r="O312" s="36" t="s">
        <v>477</v>
      </c>
    </row>
    <row r="313" spans="11:15">
      <c r="K313" s="36" t="s">
        <v>447</v>
      </c>
      <c r="L313" s="36" t="s">
        <v>54</v>
      </c>
      <c r="M313" s="36" t="s">
        <v>408</v>
      </c>
      <c r="N313" s="36" t="s">
        <v>62</v>
      </c>
      <c r="O313" s="36" t="s">
        <v>478</v>
      </c>
    </row>
    <row r="314" spans="11:15">
      <c r="K314" s="36" t="s">
        <v>447</v>
      </c>
      <c r="L314" s="36" t="s">
        <v>54</v>
      </c>
      <c r="M314" s="36" t="s">
        <v>408</v>
      </c>
      <c r="N314" s="36" t="s">
        <v>62</v>
      </c>
      <c r="O314" s="36" t="s">
        <v>479</v>
      </c>
    </row>
    <row r="315" spans="11:15">
      <c r="K315" s="36" t="s">
        <v>447</v>
      </c>
      <c r="L315" s="36" t="s">
        <v>54</v>
      </c>
      <c r="M315" s="36" t="s">
        <v>408</v>
      </c>
      <c r="N315" s="36" t="s">
        <v>62</v>
      </c>
      <c r="O315" s="36" t="s">
        <v>480</v>
      </c>
    </row>
    <row r="316" spans="11:15">
      <c r="K316" s="36" t="s">
        <v>447</v>
      </c>
      <c r="L316" s="36" t="s">
        <v>54</v>
      </c>
      <c r="M316" s="36" t="s">
        <v>408</v>
      </c>
      <c r="N316" s="36" t="s">
        <v>62</v>
      </c>
      <c r="O316" s="36" t="s">
        <v>481</v>
      </c>
    </row>
    <row r="317" spans="11:15">
      <c r="K317" s="36" t="s">
        <v>447</v>
      </c>
      <c r="L317" s="36" t="s">
        <v>54</v>
      </c>
      <c r="M317" s="36" t="s">
        <v>408</v>
      </c>
      <c r="N317" s="36" t="s">
        <v>62</v>
      </c>
      <c r="O317" s="36" t="s">
        <v>482</v>
      </c>
    </row>
    <row r="318" spans="11:15">
      <c r="K318" s="36" t="s">
        <v>447</v>
      </c>
      <c r="L318" s="36" t="s">
        <v>54</v>
      </c>
      <c r="M318" s="36" t="s">
        <v>408</v>
      </c>
      <c r="N318" s="36" t="s">
        <v>62</v>
      </c>
      <c r="O318" s="36" t="s">
        <v>483</v>
      </c>
    </row>
    <row r="319" spans="11:15">
      <c r="K319" s="36" t="s">
        <v>447</v>
      </c>
      <c r="L319" s="36" t="s">
        <v>54</v>
      </c>
      <c r="M319" s="36" t="s">
        <v>408</v>
      </c>
      <c r="N319" s="36" t="s">
        <v>62</v>
      </c>
      <c r="O319" s="36" t="s">
        <v>484</v>
      </c>
    </row>
    <row r="320" spans="11:15">
      <c r="K320" s="36" t="s">
        <v>447</v>
      </c>
      <c r="L320" s="36" t="s">
        <v>54</v>
      </c>
      <c r="M320" s="36" t="s">
        <v>408</v>
      </c>
      <c r="N320" s="36" t="s">
        <v>62</v>
      </c>
      <c r="O320" s="36" t="s">
        <v>485</v>
      </c>
    </row>
    <row r="321" spans="11:15">
      <c r="K321" s="36" t="s">
        <v>447</v>
      </c>
      <c r="L321" s="36" t="s">
        <v>54</v>
      </c>
      <c r="M321" s="36" t="s">
        <v>408</v>
      </c>
      <c r="N321" s="36" t="s">
        <v>62</v>
      </c>
      <c r="O321" s="36" t="s">
        <v>486</v>
      </c>
    </row>
    <row r="322" spans="11:15">
      <c r="K322" s="36" t="s">
        <v>447</v>
      </c>
      <c r="L322" s="36" t="s">
        <v>54</v>
      </c>
      <c r="M322" s="36" t="s">
        <v>408</v>
      </c>
      <c r="N322" s="36" t="s">
        <v>208</v>
      </c>
      <c r="O322" s="36" t="s">
        <v>487</v>
      </c>
    </row>
    <row r="323" spans="11:15">
      <c r="K323" s="36" t="s">
        <v>447</v>
      </c>
      <c r="L323" s="36" t="s">
        <v>54</v>
      </c>
      <c r="M323" s="36" t="s">
        <v>408</v>
      </c>
      <c r="N323" s="36" t="s">
        <v>208</v>
      </c>
      <c r="O323" s="36" t="s">
        <v>488</v>
      </c>
    </row>
    <row r="324" spans="11:15">
      <c r="K324" s="36" t="s">
        <v>447</v>
      </c>
      <c r="L324" s="36" t="s">
        <v>54</v>
      </c>
      <c r="M324" s="36" t="s">
        <v>408</v>
      </c>
      <c r="N324" s="36" t="s">
        <v>208</v>
      </c>
      <c r="O324" s="36" t="s">
        <v>489</v>
      </c>
    </row>
    <row r="325" spans="11:15">
      <c r="K325" s="36" t="s">
        <v>447</v>
      </c>
      <c r="L325" s="36" t="s">
        <v>54</v>
      </c>
      <c r="M325" s="36" t="s">
        <v>408</v>
      </c>
      <c r="N325" s="36" t="s">
        <v>208</v>
      </c>
      <c r="O325" s="36" t="s">
        <v>490</v>
      </c>
    </row>
    <row r="326" spans="11:15">
      <c r="K326" s="36" t="s">
        <v>447</v>
      </c>
      <c r="L326" s="36" t="s">
        <v>54</v>
      </c>
      <c r="M326" s="36" t="s">
        <v>408</v>
      </c>
      <c r="N326" s="36" t="s">
        <v>208</v>
      </c>
      <c r="O326" s="36" t="s">
        <v>491</v>
      </c>
    </row>
    <row r="327" spans="11:15">
      <c r="K327" s="36" t="s">
        <v>447</v>
      </c>
      <c r="L327" s="36" t="s">
        <v>54</v>
      </c>
      <c r="M327" s="36" t="s">
        <v>408</v>
      </c>
      <c r="N327" s="36" t="s">
        <v>208</v>
      </c>
      <c r="O327" s="36" t="s">
        <v>492</v>
      </c>
    </row>
    <row r="328" spans="11:15">
      <c r="K328" s="36" t="s">
        <v>447</v>
      </c>
      <c r="L328" s="36" t="s">
        <v>54</v>
      </c>
      <c r="M328" s="36" t="s">
        <v>408</v>
      </c>
      <c r="N328" s="36" t="s">
        <v>165</v>
      </c>
      <c r="O328" s="36" t="s">
        <v>493</v>
      </c>
    </row>
    <row r="329" spans="11:15">
      <c r="K329" s="36" t="s">
        <v>447</v>
      </c>
      <c r="L329" s="36" t="s">
        <v>54</v>
      </c>
      <c r="M329" s="36" t="s">
        <v>408</v>
      </c>
      <c r="N329" s="36" t="s">
        <v>165</v>
      </c>
      <c r="O329" s="36" t="s">
        <v>494</v>
      </c>
    </row>
    <row r="330" spans="11:15">
      <c r="K330" s="36" t="s">
        <v>447</v>
      </c>
      <c r="L330" s="36" t="s">
        <v>54</v>
      </c>
      <c r="M330" s="36" t="s">
        <v>408</v>
      </c>
      <c r="N330" s="36" t="s">
        <v>165</v>
      </c>
      <c r="O330" s="36" t="s">
        <v>495</v>
      </c>
    </row>
    <row r="331" spans="11:15">
      <c r="K331" s="36" t="s">
        <v>447</v>
      </c>
      <c r="L331" s="36" t="s">
        <v>54</v>
      </c>
      <c r="M331" s="36" t="s">
        <v>408</v>
      </c>
      <c r="N331" s="36" t="s">
        <v>165</v>
      </c>
      <c r="O331" s="36" t="s">
        <v>496</v>
      </c>
    </row>
    <row r="332" spans="11:15">
      <c r="K332" s="36" t="s">
        <v>447</v>
      </c>
      <c r="L332" s="36" t="s">
        <v>54</v>
      </c>
      <c r="M332" s="36" t="s">
        <v>408</v>
      </c>
      <c r="N332" s="36" t="s">
        <v>165</v>
      </c>
      <c r="O332" s="36" t="s">
        <v>497</v>
      </c>
    </row>
    <row r="333" spans="11:15">
      <c r="K333" s="36" t="s">
        <v>447</v>
      </c>
      <c r="L333" s="36" t="s">
        <v>54</v>
      </c>
      <c r="M333" s="36" t="s">
        <v>408</v>
      </c>
      <c r="N333" s="36" t="s">
        <v>165</v>
      </c>
      <c r="O333" s="36" t="s">
        <v>498</v>
      </c>
    </row>
    <row r="334" spans="11:15">
      <c r="K334" s="36" t="s">
        <v>447</v>
      </c>
      <c r="L334" s="36" t="s">
        <v>54</v>
      </c>
      <c r="M334" s="36" t="s">
        <v>408</v>
      </c>
      <c r="N334" s="36" t="s">
        <v>165</v>
      </c>
      <c r="O334" s="36" t="s">
        <v>499</v>
      </c>
    </row>
    <row r="335" spans="11:15">
      <c r="K335" s="36" t="s">
        <v>447</v>
      </c>
      <c r="L335" s="36" t="s">
        <v>54</v>
      </c>
      <c r="M335" s="36" t="s">
        <v>408</v>
      </c>
      <c r="N335" s="36" t="s">
        <v>165</v>
      </c>
      <c r="O335" s="36" t="s">
        <v>500</v>
      </c>
    </row>
    <row r="336" spans="11:15">
      <c r="K336" s="36" t="s">
        <v>447</v>
      </c>
      <c r="L336" s="36" t="s">
        <v>54</v>
      </c>
      <c r="M336" s="36" t="s">
        <v>408</v>
      </c>
      <c r="N336" s="36" t="s">
        <v>165</v>
      </c>
      <c r="O336" s="36" t="s">
        <v>501</v>
      </c>
    </row>
    <row r="337" spans="11:15">
      <c r="K337" s="36" t="s">
        <v>447</v>
      </c>
      <c r="L337" s="36" t="s">
        <v>54</v>
      </c>
      <c r="M337" s="36" t="s">
        <v>408</v>
      </c>
      <c r="N337" s="36" t="s">
        <v>165</v>
      </c>
      <c r="O337" s="36" t="s">
        <v>502</v>
      </c>
    </row>
    <row r="338" spans="11:15">
      <c r="K338" s="36" t="s">
        <v>447</v>
      </c>
      <c r="L338" s="36" t="s">
        <v>54</v>
      </c>
      <c r="M338" s="36" t="s">
        <v>408</v>
      </c>
      <c r="N338" s="36" t="s">
        <v>165</v>
      </c>
      <c r="O338" s="36" t="s">
        <v>503</v>
      </c>
    </row>
    <row r="339" spans="11:15">
      <c r="K339" s="36" t="s">
        <v>447</v>
      </c>
      <c r="L339" s="36" t="s">
        <v>54</v>
      </c>
      <c r="M339" s="36" t="s">
        <v>408</v>
      </c>
      <c r="N339" s="36" t="s">
        <v>165</v>
      </c>
      <c r="O339" s="36" t="s">
        <v>504</v>
      </c>
    </row>
    <row r="340" spans="11:15">
      <c r="K340" s="36" t="s">
        <v>447</v>
      </c>
      <c r="L340" s="36" t="s">
        <v>54</v>
      </c>
      <c r="M340" s="36" t="s">
        <v>413</v>
      </c>
      <c r="N340" s="36" t="s">
        <v>62</v>
      </c>
      <c r="O340" s="36" t="s">
        <v>505</v>
      </c>
    </row>
    <row r="341" spans="11:15">
      <c r="K341" s="36" t="s">
        <v>447</v>
      </c>
      <c r="L341" s="36" t="s">
        <v>54</v>
      </c>
      <c r="M341" s="36" t="s">
        <v>413</v>
      </c>
      <c r="N341" s="36" t="s">
        <v>62</v>
      </c>
      <c r="O341" s="36" t="s">
        <v>506</v>
      </c>
    </row>
    <row r="342" spans="11:15">
      <c r="K342" s="36" t="s">
        <v>447</v>
      </c>
      <c r="L342" s="36" t="s">
        <v>296</v>
      </c>
      <c r="M342" s="36" t="s">
        <v>423</v>
      </c>
      <c r="N342" s="36" t="s">
        <v>62</v>
      </c>
      <c r="O342" s="36" t="s">
        <v>507</v>
      </c>
    </row>
    <row r="343" spans="11:15">
      <c r="K343" s="36" t="s">
        <v>508</v>
      </c>
      <c r="L343" s="36" t="s">
        <v>133</v>
      </c>
      <c r="M343" s="36" t="s">
        <v>448</v>
      </c>
      <c r="N343" s="36" t="s">
        <v>62</v>
      </c>
      <c r="O343" s="36" t="s">
        <v>509</v>
      </c>
    </row>
    <row r="344" spans="11:15">
      <c r="K344" s="36" t="s">
        <v>508</v>
      </c>
      <c r="L344" s="36" t="s">
        <v>133</v>
      </c>
      <c r="M344" s="36" t="s">
        <v>448</v>
      </c>
      <c r="N344" s="36" t="s">
        <v>62</v>
      </c>
      <c r="O344" s="36" t="s">
        <v>510</v>
      </c>
    </row>
    <row r="345" spans="11:15">
      <c r="K345" s="36" t="s">
        <v>508</v>
      </c>
      <c r="L345" s="36" t="s">
        <v>40</v>
      </c>
      <c r="M345" s="36" t="s">
        <v>455</v>
      </c>
      <c r="N345" s="36" t="s">
        <v>62</v>
      </c>
      <c r="O345" s="36" t="s">
        <v>511</v>
      </c>
    </row>
    <row r="346" spans="11:15">
      <c r="K346" s="36" t="s">
        <v>508</v>
      </c>
      <c r="L346" s="36" t="s">
        <v>40</v>
      </c>
      <c r="M346" s="36" t="s">
        <v>455</v>
      </c>
      <c r="N346" s="36" t="s">
        <v>62</v>
      </c>
      <c r="O346" s="36" t="s">
        <v>512</v>
      </c>
    </row>
    <row r="347" spans="11:15">
      <c r="K347" s="36" t="s">
        <v>508</v>
      </c>
      <c r="L347" s="36" t="s">
        <v>40</v>
      </c>
      <c r="M347" s="36" t="s">
        <v>455</v>
      </c>
      <c r="N347" s="36" t="s">
        <v>62</v>
      </c>
      <c r="O347" s="36" t="s">
        <v>513</v>
      </c>
    </row>
    <row r="348" spans="11:15">
      <c r="K348" s="36" t="s">
        <v>508</v>
      </c>
      <c r="L348" s="36" t="s">
        <v>40</v>
      </c>
      <c r="M348" s="36" t="s">
        <v>364</v>
      </c>
      <c r="N348" s="36" t="s">
        <v>62</v>
      </c>
      <c r="O348" s="36" t="s">
        <v>514</v>
      </c>
    </row>
    <row r="349" spans="11:15">
      <c r="K349" s="36" t="s">
        <v>508</v>
      </c>
      <c r="L349" s="36" t="s">
        <v>40</v>
      </c>
      <c r="M349" s="36" t="s">
        <v>364</v>
      </c>
      <c r="N349" s="36" t="s">
        <v>62</v>
      </c>
      <c r="O349" s="36" t="s">
        <v>515</v>
      </c>
    </row>
    <row r="350" spans="11:15">
      <c r="K350" s="36" t="s">
        <v>508</v>
      </c>
      <c r="L350" s="36" t="s">
        <v>40</v>
      </c>
      <c r="M350" s="36" t="s">
        <v>364</v>
      </c>
      <c r="N350" s="36" t="s">
        <v>62</v>
      </c>
      <c r="O350" s="36" t="s">
        <v>516</v>
      </c>
    </row>
    <row r="351" spans="11:15">
      <c r="K351" s="36" t="s">
        <v>508</v>
      </c>
      <c r="L351" s="36" t="s">
        <v>40</v>
      </c>
      <c r="M351" s="36" t="s">
        <v>364</v>
      </c>
      <c r="N351" s="36" t="s">
        <v>62</v>
      </c>
      <c r="O351" s="36" t="s">
        <v>517</v>
      </c>
    </row>
    <row r="352" spans="11:15">
      <c r="K352" s="36" t="s">
        <v>508</v>
      </c>
      <c r="L352" s="36" t="s">
        <v>40</v>
      </c>
      <c r="M352" s="36" t="s">
        <v>364</v>
      </c>
      <c r="N352" s="36" t="s">
        <v>62</v>
      </c>
      <c r="O352" s="36" t="s">
        <v>518</v>
      </c>
    </row>
    <row r="353" spans="11:15">
      <c r="K353" s="36" t="s">
        <v>508</v>
      </c>
      <c r="L353" s="36" t="s">
        <v>40</v>
      </c>
      <c r="M353" s="36" t="s">
        <v>364</v>
      </c>
      <c r="N353" s="36" t="s">
        <v>62</v>
      </c>
      <c r="O353" s="36" t="s">
        <v>519</v>
      </c>
    </row>
    <row r="354" spans="11:15">
      <c r="K354" s="36" t="s">
        <v>508</v>
      </c>
      <c r="L354" s="36" t="s">
        <v>40</v>
      </c>
      <c r="M354" s="36" t="s">
        <v>364</v>
      </c>
      <c r="N354" s="36" t="s">
        <v>62</v>
      </c>
      <c r="O354" s="36" t="s">
        <v>520</v>
      </c>
    </row>
    <row r="355" spans="11:15">
      <c r="K355" s="36" t="s">
        <v>508</v>
      </c>
      <c r="L355" s="36" t="s">
        <v>40</v>
      </c>
      <c r="M355" s="36" t="s">
        <v>364</v>
      </c>
      <c r="N355" s="36" t="s">
        <v>62</v>
      </c>
      <c r="O355" s="36" t="s">
        <v>521</v>
      </c>
    </row>
    <row r="356" spans="11:15">
      <c r="K356" s="36" t="s">
        <v>508</v>
      </c>
      <c r="L356" s="36" t="s">
        <v>40</v>
      </c>
      <c r="M356" s="36" t="s">
        <v>364</v>
      </c>
      <c r="N356" s="36" t="s">
        <v>62</v>
      </c>
      <c r="O356" s="36" t="s">
        <v>522</v>
      </c>
    </row>
    <row r="357" spans="11:15">
      <c r="K357" s="36" t="s">
        <v>508</v>
      </c>
      <c r="L357" s="36" t="s">
        <v>40</v>
      </c>
      <c r="M357" s="36" t="s">
        <v>364</v>
      </c>
      <c r="N357" s="36" t="s">
        <v>62</v>
      </c>
      <c r="O357" s="36" t="s">
        <v>523</v>
      </c>
    </row>
    <row r="358" spans="11:15">
      <c r="K358" s="36" t="s">
        <v>508</v>
      </c>
      <c r="L358" s="36" t="s">
        <v>40</v>
      </c>
      <c r="M358" s="36" t="s">
        <v>364</v>
      </c>
      <c r="N358" s="36" t="s">
        <v>62</v>
      </c>
      <c r="O358" s="36" t="s">
        <v>524</v>
      </c>
    </row>
    <row r="359" spans="11:15">
      <c r="K359" s="36" t="s">
        <v>508</v>
      </c>
      <c r="L359" s="36" t="s">
        <v>40</v>
      </c>
      <c r="M359" s="36" t="s">
        <v>364</v>
      </c>
      <c r="N359" s="36" t="s">
        <v>62</v>
      </c>
      <c r="O359" s="36" t="s">
        <v>525</v>
      </c>
    </row>
    <row r="360" spans="11:15">
      <c r="K360" s="36" t="s">
        <v>508</v>
      </c>
      <c r="L360" s="36" t="s">
        <v>40</v>
      </c>
      <c r="M360" s="36" t="s">
        <v>364</v>
      </c>
      <c r="N360" s="36" t="s">
        <v>62</v>
      </c>
      <c r="O360" s="36" t="s">
        <v>526</v>
      </c>
    </row>
    <row r="361" spans="11:15">
      <c r="K361" s="36" t="s">
        <v>508</v>
      </c>
      <c r="L361" s="36" t="s">
        <v>40</v>
      </c>
      <c r="M361" s="36" t="s">
        <v>364</v>
      </c>
      <c r="N361" s="36" t="s">
        <v>62</v>
      </c>
      <c r="O361" s="36" t="s">
        <v>527</v>
      </c>
    </row>
    <row r="362" spans="11:15">
      <c r="K362" s="36" t="s">
        <v>508</v>
      </c>
      <c r="L362" s="36" t="s">
        <v>40</v>
      </c>
      <c r="M362" s="36" t="s">
        <v>364</v>
      </c>
      <c r="N362" s="36" t="s">
        <v>62</v>
      </c>
      <c r="O362" s="36" t="s">
        <v>528</v>
      </c>
    </row>
    <row r="363" spans="11:15">
      <c r="K363" s="36" t="s">
        <v>508</v>
      </c>
      <c r="L363" s="36" t="s">
        <v>40</v>
      </c>
      <c r="M363" s="36" t="s">
        <v>364</v>
      </c>
      <c r="N363" s="36" t="s">
        <v>62</v>
      </c>
      <c r="O363" s="36" t="s">
        <v>529</v>
      </c>
    </row>
    <row r="364" spans="11:15">
      <c r="K364" s="36" t="s">
        <v>508</v>
      </c>
      <c r="L364" s="36" t="s">
        <v>40</v>
      </c>
      <c r="M364" s="36" t="s">
        <v>364</v>
      </c>
      <c r="N364" s="36" t="s">
        <v>62</v>
      </c>
      <c r="O364" s="36" t="s">
        <v>530</v>
      </c>
    </row>
    <row r="365" spans="11:15">
      <c r="K365" s="36" t="s">
        <v>508</v>
      </c>
      <c r="L365" s="36" t="s">
        <v>40</v>
      </c>
      <c r="M365" s="36" t="s">
        <v>364</v>
      </c>
      <c r="N365" s="36" t="s">
        <v>62</v>
      </c>
      <c r="O365" s="36" t="s">
        <v>531</v>
      </c>
    </row>
    <row r="366" spans="11:15">
      <c r="K366" s="36" t="s">
        <v>508</v>
      </c>
      <c r="L366" s="36" t="s">
        <v>54</v>
      </c>
      <c r="M366" s="36" t="s">
        <v>408</v>
      </c>
      <c r="N366" s="36" t="s">
        <v>62</v>
      </c>
      <c r="O366" s="36" t="s">
        <v>532</v>
      </c>
    </row>
    <row r="367" spans="11:15">
      <c r="K367" s="36" t="s">
        <v>508</v>
      </c>
      <c r="L367" s="36" t="s">
        <v>54</v>
      </c>
      <c r="M367" s="36" t="s">
        <v>408</v>
      </c>
      <c r="N367" s="36" t="s">
        <v>62</v>
      </c>
      <c r="O367" s="36" t="s">
        <v>533</v>
      </c>
    </row>
    <row r="368" spans="11:15">
      <c r="K368" s="36" t="s">
        <v>508</v>
      </c>
      <c r="L368" s="36" t="s">
        <v>54</v>
      </c>
      <c r="M368" s="36" t="s">
        <v>534</v>
      </c>
      <c r="N368" s="36" t="s">
        <v>62</v>
      </c>
      <c r="O368" s="36" t="s">
        <v>535</v>
      </c>
    </row>
    <row r="369" spans="11:15">
      <c r="K369" s="36" t="s">
        <v>508</v>
      </c>
      <c r="L369" s="36" t="s">
        <v>54</v>
      </c>
      <c r="M369" s="36" t="s">
        <v>534</v>
      </c>
      <c r="N369" s="36" t="s">
        <v>62</v>
      </c>
      <c r="O369" s="36" t="s">
        <v>536</v>
      </c>
    </row>
    <row r="370" spans="11:15">
      <c r="K370" s="36" t="s">
        <v>508</v>
      </c>
      <c r="L370" s="36" t="s">
        <v>54</v>
      </c>
      <c r="M370" s="36" t="s">
        <v>534</v>
      </c>
      <c r="N370" s="36" t="s">
        <v>62</v>
      </c>
      <c r="O370" s="36" t="s">
        <v>537</v>
      </c>
    </row>
    <row r="371" spans="11:15">
      <c r="K371" s="36" t="s">
        <v>508</v>
      </c>
      <c r="L371" s="36" t="s">
        <v>54</v>
      </c>
      <c r="M371" s="36" t="s">
        <v>534</v>
      </c>
      <c r="N371" s="36" t="s">
        <v>62</v>
      </c>
      <c r="O371" s="36" t="s">
        <v>538</v>
      </c>
    </row>
    <row r="372" spans="11:15">
      <c r="K372" s="36" t="s">
        <v>508</v>
      </c>
      <c r="L372" s="36" t="s">
        <v>54</v>
      </c>
      <c r="M372" s="36" t="s">
        <v>534</v>
      </c>
      <c r="N372" s="36" t="s">
        <v>62</v>
      </c>
      <c r="O372" s="36" t="s">
        <v>539</v>
      </c>
    </row>
    <row r="373" spans="11:15">
      <c r="K373" s="36" t="s">
        <v>508</v>
      </c>
      <c r="L373" s="36" t="s">
        <v>54</v>
      </c>
      <c r="M373" s="36" t="s">
        <v>534</v>
      </c>
      <c r="N373" s="36" t="s">
        <v>62</v>
      </c>
      <c r="O373" s="36" t="s">
        <v>540</v>
      </c>
    </row>
    <row r="374" spans="11:15">
      <c r="K374" s="36" t="s">
        <v>508</v>
      </c>
      <c r="L374" s="36" t="s">
        <v>54</v>
      </c>
      <c r="M374" s="36" t="s">
        <v>534</v>
      </c>
      <c r="N374" s="36" t="s">
        <v>62</v>
      </c>
      <c r="O374" s="36" t="s">
        <v>541</v>
      </c>
    </row>
    <row r="375" spans="11:15">
      <c r="K375" s="36" t="s">
        <v>508</v>
      </c>
      <c r="L375" s="36" t="s">
        <v>54</v>
      </c>
      <c r="M375" s="36" t="s">
        <v>534</v>
      </c>
      <c r="N375" s="36" t="s">
        <v>62</v>
      </c>
      <c r="O375" s="36" t="s">
        <v>542</v>
      </c>
    </row>
    <row r="376" spans="11:15">
      <c r="K376" s="36" t="s">
        <v>508</v>
      </c>
      <c r="L376" s="36" t="s">
        <v>54</v>
      </c>
      <c r="M376" s="36" t="s">
        <v>534</v>
      </c>
      <c r="N376" s="36" t="s">
        <v>62</v>
      </c>
      <c r="O376" s="36" t="s">
        <v>543</v>
      </c>
    </row>
    <row r="377" spans="11:15">
      <c r="K377" s="36" t="s">
        <v>508</v>
      </c>
      <c r="L377" s="36" t="s">
        <v>54</v>
      </c>
      <c r="M377" s="36" t="s">
        <v>534</v>
      </c>
      <c r="N377" s="36" t="s">
        <v>62</v>
      </c>
      <c r="O377" s="36" t="s">
        <v>544</v>
      </c>
    </row>
    <row r="378" spans="11:15">
      <c r="K378" s="36" t="s">
        <v>508</v>
      </c>
      <c r="L378" s="36" t="s">
        <v>54</v>
      </c>
      <c r="M378" s="36" t="s">
        <v>534</v>
      </c>
      <c r="N378" s="36" t="s">
        <v>62</v>
      </c>
      <c r="O378" s="36" t="s">
        <v>545</v>
      </c>
    </row>
    <row r="379" spans="11:15">
      <c r="K379" s="36" t="s">
        <v>508</v>
      </c>
      <c r="L379" s="36" t="s">
        <v>54</v>
      </c>
      <c r="M379" s="36" t="s">
        <v>534</v>
      </c>
      <c r="N379" s="36" t="s">
        <v>62</v>
      </c>
      <c r="O379" s="36" t="s">
        <v>546</v>
      </c>
    </row>
    <row r="380" spans="11:15">
      <c r="K380" s="36" t="s">
        <v>508</v>
      </c>
      <c r="L380" s="36" t="s">
        <v>54</v>
      </c>
      <c r="M380" s="36" t="s">
        <v>413</v>
      </c>
      <c r="N380" s="36" t="s">
        <v>62</v>
      </c>
      <c r="O380" s="36" t="s">
        <v>547</v>
      </c>
    </row>
    <row r="381" spans="11:15">
      <c r="K381" s="36" t="s">
        <v>508</v>
      </c>
      <c r="L381" s="36" t="s">
        <v>54</v>
      </c>
      <c r="M381" s="36" t="s">
        <v>413</v>
      </c>
      <c r="N381" s="36" t="s">
        <v>62</v>
      </c>
      <c r="O381" s="36" t="s">
        <v>548</v>
      </c>
    </row>
    <row r="382" spans="11:15">
      <c r="K382" s="36" t="s">
        <v>549</v>
      </c>
      <c r="L382" s="36" t="s">
        <v>40</v>
      </c>
      <c r="M382" s="36" t="s">
        <v>364</v>
      </c>
      <c r="N382" s="36" t="s">
        <v>62</v>
      </c>
      <c r="O382" s="36" t="s">
        <v>550</v>
      </c>
    </row>
    <row r="383" spans="11:15">
      <c r="K383" s="36" t="s">
        <v>549</v>
      </c>
      <c r="L383" s="36" t="s">
        <v>40</v>
      </c>
      <c r="M383" s="36" t="s">
        <v>364</v>
      </c>
      <c r="N383" s="36" t="s">
        <v>62</v>
      </c>
      <c r="O383" s="36" t="s">
        <v>551</v>
      </c>
    </row>
    <row r="384" spans="11:15">
      <c r="K384" s="36" t="s">
        <v>549</v>
      </c>
      <c r="L384" s="36" t="s">
        <v>40</v>
      </c>
      <c r="M384" s="36" t="s">
        <v>364</v>
      </c>
      <c r="N384" s="36" t="s">
        <v>62</v>
      </c>
      <c r="O384" s="36" t="s">
        <v>552</v>
      </c>
    </row>
    <row r="385" spans="11:15">
      <c r="K385" s="36" t="s">
        <v>549</v>
      </c>
      <c r="L385" s="36" t="s">
        <v>40</v>
      </c>
      <c r="M385" s="36" t="s">
        <v>364</v>
      </c>
      <c r="N385" s="36" t="s">
        <v>62</v>
      </c>
      <c r="O385" s="36" t="s">
        <v>553</v>
      </c>
    </row>
    <row r="386" spans="11:15">
      <c r="K386" s="36" t="s">
        <v>549</v>
      </c>
      <c r="L386" s="36" t="s">
        <v>40</v>
      </c>
      <c r="M386" s="36" t="s">
        <v>364</v>
      </c>
      <c r="N386" s="36" t="s">
        <v>62</v>
      </c>
      <c r="O386" s="36" t="s">
        <v>554</v>
      </c>
    </row>
    <row r="387" spans="11:15">
      <c r="K387" s="36" t="s">
        <v>549</v>
      </c>
      <c r="L387" s="36" t="s">
        <v>54</v>
      </c>
      <c r="M387" s="36" t="s">
        <v>534</v>
      </c>
      <c r="N387" s="36" t="s">
        <v>62</v>
      </c>
      <c r="O387" s="36" t="s">
        <v>555</v>
      </c>
    </row>
    <row r="388" spans="11:15">
      <c r="K388" s="36" t="s">
        <v>549</v>
      </c>
      <c r="L388" s="36" t="s">
        <v>556</v>
      </c>
      <c r="M388" s="36" t="s">
        <v>557</v>
      </c>
      <c r="N388" s="36" t="s">
        <v>62</v>
      </c>
      <c r="O388" s="36" t="s">
        <v>558</v>
      </c>
    </row>
    <row r="389" spans="11:15">
      <c r="K389" s="36" t="s">
        <v>559</v>
      </c>
      <c r="L389" s="36" t="s">
        <v>133</v>
      </c>
      <c r="M389" s="36" t="s">
        <v>560</v>
      </c>
      <c r="N389" s="36" t="s">
        <v>62</v>
      </c>
      <c r="O389" s="36" t="s">
        <v>561</v>
      </c>
    </row>
    <row r="390" spans="11:15">
      <c r="K390" s="36" t="s">
        <v>559</v>
      </c>
      <c r="L390" s="36" t="s">
        <v>133</v>
      </c>
      <c r="M390" s="36" t="s">
        <v>560</v>
      </c>
      <c r="N390" s="36" t="s">
        <v>62</v>
      </c>
      <c r="O390" s="36" t="s">
        <v>562</v>
      </c>
    </row>
    <row r="391" spans="11:15">
      <c r="K391" s="36" t="s">
        <v>559</v>
      </c>
      <c r="L391" s="36" t="s">
        <v>133</v>
      </c>
      <c r="M391" s="36" t="s">
        <v>560</v>
      </c>
      <c r="N391" s="36" t="s">
        <v>62</v>
      </c>
      <c r="O391" s="36" t="s">
        <v>563</v>
      </c>
    </row>
    <row r="392" spans="11:15">
      <c r="K392" s="36" t="s">
        <v>559</v>
      </c>
      <c r="L392" s="36" t="s">
        <v>133</v>
      </c>
      <c r="M392" s="36" t="s">
        <v>560</v>
      </c>
      <c r="N392" s="36" t="s">
        <v>62</v>
      </c>
      <c r="O392" s="36" t="s">
        <v>564</v>
      </c>
    </row>
    <row r="393" spans="11:15">
      <c r="K393" s="36" t="s">
        <v>559</v>
      </c>
      <c r="L393" s="36" t="s">
        <v>133</v>
      </c>
      <c r="M393" s="36" t="s">
        <v>560</v>
      </c>
      <c r="N393" s="36" t="s">
        <v>62</v>
      </c>
      <c r="O393" s="36" t="s">
        <v>565</v>
      </c>
    </row>
    <row r="394" spans="11:15">
      <c r="K394" s="36" t="s">
        <v>559</v>
      </c>
      <c r="L394" s="36" t="s">
        <v>40</v>
      </c>
      <c r="M394" s="36" t="s">
        <v>566</v>
      </c>
      <c r="N394" s="36" t="s">
        <v>55</v>
      </c>
      <c r="O394" s="36" t="s">
        <v>567</v>
      </c>
    </row>
    <row r="395" spans="11:15">
      <c r="K395" s="36" t="s">
        <v>559</v>
      </c>
      <c r="L395" s="36" t="s">
        <v>40</v>
      </c>
      <c r="M395" s="36" t="s">
        <v>566</v>
      </c>
      <c r="N395" s="36" t="s">
        <v>55</v>
      </c>
      <c r="O395" s="36" t="s">
        <v>568</v>
      </c>
    </row>
    <row r="396" spans="11:15">
      <c r="K396" s="36" t="s">
        <v>559</v>
      </c>
      <c r="L396" s="36" t="s">
        <v>40</v>
      </c>
      <c r="M396" s="36" t="s">
        <v>566</v>
      </c>
      <c r="N396" s="36" t="s">
        <v>55</v>
      </c>
      <c r="O396" s="36" t="s">
        <v>569</v>
      </c>
    </row>
    <row r="397" spans="11:15">
      <c r="K397" s="36" t="s">
        <v>559</v>
      </c>
      <c r="L397" s="36" t="s">
        <v>40</v>
      </c>
      <c r="M397" s="36" t="s">
        <v>566</v>
      </c>
      <c r="N397" s="36" t="s">
        <v>55</v>
      </c>
      <c r="O397" s="36" t="s">
        <v>570</v>
      </c>
    </row>
    <row r="398" spans="11:15">
      <c r="K398" s="36" t="s">
        <v>559</v>
      </c>
      <c r="L398" s="36" t="s">
        <v>40</v>
      </c>
      <c r="M398" s="36" t="s">
        <v>566</v>
      </c>
      <c r="N398" s="36" t="s">
        <v>55</v>
      </c>
      <c r="O398" s="36" t="s">
        <v>571</v>
      </c>
    </row>
    <row r="399" spans="11:15">
      <c r="K399" s="36" t="s">
        <v>559</v>
      </c>
      <c r="L399" s="36" t="s">
        <v>40</v>
      </c>
      <c r="M399" s="36" t="s">
        <v>566</v>
      </c>
      <c r="N399" s="36" t="s">
        <v>55</v>
      </c>
      <c r="O399" s="36" t="s">
        <v>572</v>
      </c>
    </row>
    <row r="400" spans="11:15">
      <c r="K400" s="36" t="s">
        <v>559</v>
      </c>
      <c r="L400" s="36" t="s">
        <v>40</v>
      </c>
      <c r="M400" s="36" t="s">
        <v>566</v>
      </c>
      <c r="N400" s="36" t="s">
        <v>55</v>
      </c>
      <c r="O400" s="36" t="s">
        <v>573</v>
      </c>
    </row>
    <row r="401" spans="11:15">
      <c r="K401" s="36" t="s">
        <v>559</v>
      </c>
      <c r="L401" s="36" t="s">
        <v>40</v>
      </c>
      <c r="M401" s="36" t="s">
        <v>574</v>
      </c>
      <c r="N401" s="36" t="s">
        <v>55</v>
      </c>
      <c r="O401" s="36" t="s">
        <v>575</v>
      </c>
    </row>
    <row r="402" spans="11:15">
      <c r="K402" s="36" t="s">
        <v>559</v>
      </c>
      <c r="L402" s="36" t="s">
        <v>40</v>
      </c>
      <c r="M402" s="36" t="s">
        <v>574</v>
      </c>
      <c r="N402" s="36" t="s">
        <v>55</v>
      </c>
      <c r="O402" s="36" t="s">
        <v>576</v>
      </c>
    </row>
    <row r="403" spans="11:15">
      <c r="K403" s="36" t="s">
        <v>559</v>
      </c>
      <c r="L403" s="36" t="s">
        <v>40</v>
      </c>
      <c r="M403" s="36" t="s">
        <v>574</v>
      </c>
      <c r="N403" s="36" t="s">
        <v>55</v>
      </c>
      <c r="O403" s="36" t="s">
        <v>577</v>
      </c>
    </row>
    <row r="404" spans="11:15">
      <c r="K404" s="36" t="s">
        <v>559</v>
      </c>
      <c r="L404" s="36" t="s">
        <v>40</v>
      </c>
      <c r="M404" s="36" t="s">
        <v>574</v>
      </c>
      <c r="N404" s="36" t="s">
        <v>55</v>
      </c>
      <c r="O404" s="36" t="s">
        <v>578</v>
      </c>
    </row>
    <row r="405" spans="11:15">
      <c r="K405" s="36" t="s">
        <v>559</v>
      </c>
      <c r="L405" s="36" t="s">
        <v>40</v>
      </c>
      <c r="M405" s="36" t="s">
        <v>574</v>
      </c>
      <c r="N405" s="36" t="s">
        <v>55</v>
      </c>
      <c r="O405" s="36" t="s">
        <v>579</v>
      </c>
    </row>
    <row r="406" spans="11:15">
      <c r="K406" s="36" t="s">
        <v>559</v>
      </c>
      <c r="L406" s="36" t="s">
        <v>40</v>
      </c>
      <c r="M406" s="36" t="s">
        <v>574</v>
      </c>
      <c r="N406" s="36" t="s">
        <v>55</v>
      </c>
      <c r="O406" s="36" t="s">
        <v>580</v>
      </c>
    </row>
    <row r="407" spans="11:15">
      <c r="K407" s="36" t="s">
        <v>559</v>
      </c>
      <c r="L407" s="36" t="s">
        <v>40</v>
      </c>
      <c r="M407" s="36" t="s">
        <v>574</v>
      </c>
      <c r="N407" s="36" t="s">
        <v>55</v>
      </c>
      <c r="O407" s="36" t="s">
        <v>581</v>
      </c>
    </row>
    <row r="408" spans="11:15">
      <c r="K408" s="36" t="s">
        <v>559</v>
      </c>
      <c r="L408" s="36" t="s">
        <v>40</v>
      </c>
      <c r="M408" s="36" t="s">
        <v>574</v>
      </c>
      <c r="N408" s="36" t="s">
        <v>55</v>
      </c>
      <c r="O408" s="36" t="s">
        <v>582</v>
      </c>
    </row>
    <row r="409" spans="11:15">
      <c r="K409" s="36" t="s">
        <v>559</v>
      </c>
      <c r="L409" s="36" t="s">
        <v>40</v>
      </c>
      <c r="M409" s="36" t="s">
        <v>574</v>
      </c>
      <c r="N409" s="36" t="s">
        <v>55</v>
      </c>
      <c r="O409" s="36" t="s">
        <v>583</v>
      </c>
    </row>
    <row r="410" spans="11:15">
      <c r="K410" s="36" t="s">
        <v>559</v>
      </c>
      <c r="L410" s="36" t="s">
        <v>40</v>
      </c>
      <c r="M410" s="36" t="s">
        <v>574</v>
      </c>
      <c r="N410" s="36" t="s">
        <v>55</v>
      </c>
      <c r="O410" s="36" t="s">
        <v>584</v>
      </c>
    </row>
    <row r="411" spans="11:15">
      <c r="K411" s="36" t="s">
        <v>559</v>
      </c>
      <c r="L411" s="36" t="s">
        <v>40</v>
      </c>
      <c r="M411" s="36" t="s">
        <v>574</v>
      </c>
      <c r="N411" s="36" t="s">
        <v>55</v>
      </c>
      <c r="O411" s="36" t="s">
        <v>585</v>
      </c>
    </row>
    <row r="412" spans="11:15">
      <c r="K412" s="36" t="s">
        <v>559</v>
      </c>
      <c r="L412" s="36" t="s">
        <v>40</v>
      </c>
      <c r="M412" s="36" t="s">
        <v>574</v>
      </c>
      <c r="N412" s="36" t="s">
        <v>55</v>
      </c>
      <c r="O412" s="36" t="s">
        <v>586</v>
      </c>
    </row>
    <row r="413" spans="11:15">
      <c r="K413" s="36" t="s">
        <v>559</v>
      </c>
      <c r="L413" s="36" t="s">
        <v>40</v>
      </c>
      <c r="M413" s="36" t="s">
        <v>574</v>
      </c>
      <c r="N413" s="36" t="s">
        <v>55</v>
      </c>
      <c r="O413" s="36" t="s">
        <v>587</v>
      </c>
    </row>
    <row r="414" spans="11:15">
      <c r="K414" s="36" t="s">
        <v>559</v>
      </c>
      <c r="L414" s="36" t="s">
        <v>40</v>
      </c>
      <c r="M414" s="36" t="s">
        <v>574</v>
      </c>
      <c r="N414" s="36" t="s">
        <v>55</v>
      </c>
      <c r="O414" s="36" t="s">
        <v>588</v>
      </c>
    </row>
    <row r="415" spans="11:15">
      <c r="K415" s="36" t="s">
        <v>559</v>
      </c>
      <c r="L415" s="36" t="s">
        <v>40</v>
      </c>
      <c r="M415" s="36" t="s">
        <v>574</v>
      </c>
      <c r="N415" s="36" t="s">
        <v>55</v>
      </c>
      <c r="O415" s="36" t="s">
        <v>589</v>
      </c>
    </row>
    <row r="416" spans="11:15">
      <c r="K416" s="36" t="s">
        <v>559</v>
      </c>
      <c r="L416" s="36" t="s">
        <v>40</v>
      </c>
      <c r="M416" s="36" t="s">
        <v>574</v>
      </c>
      <c r="N416" s="36" t="s">
        <v>55</v>
      </c>
      <c r="O416" s="36" t="s">
        <v>590</v>
      </c>
    </row>
    <row r="417" spans="11:15">
      <c r="K417" s="36" t="s">
        <v>559</v>
      </c>
      <c r="L417" s="36" t="s">
        <v>40</v>
      </c>
      <c r="M417" s="36" t="s">
        <v>574</v>
      </c>
      <c r="N417" s="36" t="s">
        <v>55</v>
      </c>
      <c r="O417" s="36" t="s">
        <v>591</v>
      </c>
    </row>
    <row r="418" spans="11:15">
      <c r="K418" s="36" t="s">
        <v>559</v>
      </c>
      <c r="L418" s="36" t="s">
        <v>40</v>
      </c>
      <c r="M418" s="36" t="s">
        <v>574</v>
      </c>
      <c r="N418" s="36" t="s">
        <v>55</v>
      </c>
      <c r="O418" s="36" t="s">
        <v>592</v>
      </c>
    </row>
    <row r="419" spans="11:15">
      <c r="K419" s="36" t="s">
        <v>559</v>
      </c>
      <c r="L419" s="36" t="s">
        <v>40</v>
      </c>
      <c r="M419" s="36" t="s">
        <v>574</v>
      </c>
      <c r="N419" s="36" t="s">
        <v>55</v>
      </c>
      <c r="O419" s="36" t="s">
        <v>593</v>
      </c>
    </row>
    <row r="420" spans="11:15">
      <c r="K420" s="36" t="s">
        <v>559</v>
      </c>
      <c r="L420" s="36" t="s">
        <v>40</v>
      </c>
      <c r="M420" s="36" t="s">
        <v>574</v>
      </c>
      <c r="N420" s="36" t="s">
        <v>55</v>
      </c>
      <c r="O420" s="36" t="s">
        <v>594</v>
      </c>
    </row>
    <row r="421" spans="11:15">
      <c r="K421" s="36" t="s">
        <v>559</v>
      </c>
      <c r="L421" s="36" t="s">
        <v>40</v>
      </c>
      <c r="M421" s="36" t="s">
        <v>574</v>
      </c>
      <c r="N421" s="36" t="s">
        <v>55</v>
      </c>
      <c r="O421" s="36" t="s">
        <v>595</v>
      </c>
    </row>
    <row r="422" spans="11:15">
      <c r="K422" s="36" t="s">
        <v>559</v>
      </c>
      <c r="L422" s="36" t="s">
        <v>40</v>
      </c>
      <c r="M422" s="36" t="s">
        <v>574</v>
      </c>
      <c r="N422" s="36" t="s">
        <v>55</v>
      </c>
      <c r="O422" s="36" t="s">
        <v>596</v>
      </c>
    </row>
    <row r="423" spans="11:15">
      <c r="K423" s="36" t="s">
        <v>559</v>
      </c>
      <c r="L423" s="36" t="s">
        <v>40</v>
      </c>
      <c r="M423" s="36" t="s">
        <v>574</v>
      </c>
      <c r="N423" s="36" t="s">
        <v>55</v>
      </c>
      <c r="O423" s="36" t="s">
        <v>597</v>
      </c>
    </row>
    <row r="424" spans="11:15">
      <c r="K424" s="36" t="s">
        <v>559</v>
      </c>
      <c r="L424" s="36" t="s">
        <v>40</v>
      </c>
      <c r="M424" s="36" t="s">
        <v>574</v>
      </c>
      <c r="N424" s="36" t="s">
        <v>55</v>
      </c>
      <c r="O424" s="36" t="s">
        <v>598</v>
      </c>
    </row>
    <row r="425" spans="11:15">
      <c r="K425" s="36" t="s">
        <v>559</v>
      </c>
      <c r="L425" s="36" t="s">
        <v>40</v>
      </c>
      <c r="M425" s="36" t="s">
        <v>574</v>
      </c>
      <c r="N425" s="36" t="s">
        <v>55</v>
      </c>
      <c r="O425" s="36" t="s">
        <v>599</v>
      </c>
    </row>
    <row r="426" spans="11:15">
      <c r="K426" s="36" t="s">
        <v>559</v>
      </c>
      <c r="L426" s="36" t="s">
        <v>40</v>
      </c>
      <c r="M426" s="36" t="s">
        <v>574</v>
      </c>
      <c r="N426" s="36" t="s">
        <v>55</v>
      </c>
      <c r="O426" s="36" t="s">
        <v>600</v>
      </c>
    </row>
    <row r="427" spans="11:15">
      <c r="K427" s="36" t="s">
        <v>559</v>
      </c>
      <c r="L427" s="36" t="s">
        <v>40</v>
      </c>
      <c r="M427" s="36" t="s">
        <v>574</v>
      </c>
      <c r="N427" s="36" t="s">
        <v>55</v>
      </c>
      <c r="O427" s="36" t="s">
        <v>601</v>
      </c>
    </row>
    <row r="428" spans="11:15">
      <c r="K428" s="36" t="s">
        <v>559</v>
      </c>
      <c r="L428" s="36" t="s">
        <v>40</v>
      </c>
      <c r="M428" s="36" t="s">
        <v>574</v>
      </c>
      <c r="N428" s="36" t="s">
        <v>55</v>
      </c>
      <c r="O428" s="36" t="s">
        <v>602</v>
      </c>
    </row>
    <row r="429" spans="11:15">
      <c r="K429" s="36" t="s">
        <v>559</v>
      </c>
      <c r="L429" s="36" t="s">
        <v>40</v>
      </c>
      <c r="M429" s="36" t="s">
        <v>574</v>
      </c>
      <c r="N429" s="36" t="s">
        <v>55</v>
      </c>
      <c r="O429" s="36" t="s">
        <v>603</v>
      </c>
    </row>
    <row r="430" spans="11:15">
      <c r="K430" s="36" t="s">
        <v>559</v>
      </c>
      <c r="L430" s="36" t="s">
        <v>40</v>
      </c>
      <c r="M430" s="36" t="s">
        <v>574</v>
      </c>
      <c r="N430" s="36" t="s">
        <v>55</v>
      </c>
      <c r="O430" s="36" t="s">
        <v>604</v>
      </c>
    </row>
    <row r="431" spans="11:15">
      <c r="K431" s="36" t="s">
        <v>559</v>
      </c>
      <c r="L431" s="36" t="s">
        <v>40</v>
      </c>
      <c r="M431" s="36" t="s">
        <v>574</v>
      </c>
      <c r="N431" s="36" t="s">
        <v>55</v>
      </c>
      <c r="O431" s="36" t="s">
        <v>605</v>
      </c>
    </row>
    <row r="432" spans="11:15">
      <c r="K432" s="36" t="s">
        <v>559</v>
      </c>
      <c r="L432" s="36" t="s">
        <v>40</v>
      </c>
      <c r="M432" s="36" t="s">
        <v>574</v>
      </c>
      <c r="N432" s="36" t="s">
        <v>55</v>
      </c>
      <c r="O432" s="36" t="s">
        <v>606</v>
      </c>
    </row>
    <row r="433" spans="11:15">
      <c r="K433" s="36" t="s">
        <v>559</v>
      </c>
      <c r="L433" s="36" t="s">
        <v>40</v>
      </c>
      <c r="M433" s="36" t="s">
        <v>574</v>
      </c>
      <c r="N433" s="36" t="s">
        <v>62</v>
      </c>
      <c r="O433" s="36" t="s">
        <v>607</v>
      </c>
    </row>
    <row r="434" spans="11:15">
      <c r="K434" s="36" t="s">
        <v>559</v>
      </c>
      <c r="L434" s="36" t="s">
        <v>40</v>
      </c>
      <c r="M434" s="36" t="s">
        <v>574</v>
      </c>
      <c r="N434" s="36" t="s">
        <v>62</v>
      </c>
      <c r="O434" s="36" t="s">
        <v>608</v>
      </c>
    </row>
    <row r="435" spans="11:15">
      <c r="K435" s="36" t="s">
        <v>559</v>
      </c>
      <c r="L435" s="36" t="s">
        <v>40</v>
      </c>
      <c r="M435" s="36" t="s">
        <v>574</v>
      </c>
      <c r="N435" s="36" t="s">
        <v>62</v>
      </c>
      <c r="O435" s="36" t="s">
        <v>609</v>
      </c>
    </row>
    <row r="436" spans="11:15">
      <c r="K436" s="36" t="s">
        <v>559</v>
      </c>
      <c r="L436" s="36" t="s">
        <v>40</v>
      </c>
      <c r="M436" s="36" t="s">
        <v>574</v>
      </c>
      <c r="N436" s="36" t="s">
        <v>62</v>
      </c>
      <c r="O436" s="36" t="s">
        <v>610</v>
      </c>
    </row>
    <row r="437" spans="11:15">
      <c r="K437" s="36" t="s">
        <v>559</v>
      </c>
      <c r="L437" s="36" t="s">
        <v>40</v>
      </c>
      <c r="M437" s="36" t="s">
        <v>574</v>
      </c>
      <c r="N437" s="36" t="s">
        <v>62</v>
      </c>
      <c r="O437" s="36" t="s">
        <v>611</v>
      </c>
    </row>
    <row r="438" spans="11:15">
      <c r="K438" s="36" t="s">
        <v>559</v>
      </c>
      <c r="L438" s="36" t="s">
        <v>40</v>
      </c>
      <c r="M438" s="36" t="s">
        <v>574</v>
      </c>
      <c r="N438" s="36" t="s">
        <v>62</v>
      </c>
      <c r="O438" s="36" t="s">
        <v>612</v>
      </c>
    </row>
    <row r="439" spans="11:15">
      <c r="K439" s="36" t="s">
        <v>559</v>
      </c>
      <c r="L439" s="36" t="s">
        <v>40</v>
      </c>
      <c r="M439" s="36" t="s">
        <v>574</v>
      </c>
      <c r="N439" s="36" t="s">
        <v>62</v>
      </c>
      <c r="O439" s="36" t="s">
        <v>613</v>
      </c>
    </row>
    <row r="440" spans="11:15">
      <c r="K440" s="36" t="s">
        <v>559</v>
      </c>
      <c r="L440" s="36" t="s">
        <v>40</v>
      </c>
      <c r="M440" s="36" t="s">
        <v>574</v>
      </c>
      <c r="N440" s="36" t="s">
        <v>62</v>
      </c>
      <c r="O440" s="36" t="s">
        <v>614</v>
      </c>
    </row>
    <row r="441" spans="11:15">
      <c r="K441" s="36" t="s">
        <v>559</v>
      </c>
      <c r="L441" s="36" t="s">
        <v>40</v>
      </c>
      <c r="M441" s="36" t="s">
        <v>574</v>
      </c>
      <c r="N441" s="36" t="s">
        <v>62</v>
      </c>
      <c r="O441" s="36" t="s">
        <v>615</v>
      </c>
    </row>
    <row r="442" spans="11:15">
      <c r="K442" s="36" t="s">
        <v>559</v>
      </c>
      <c r="L442" s="36" t="s">
        <v>40</v>
      </c>
      <c r="M442" s="36" t="s">
        <v>574</v>
      </c>
      <c r="N442" s="36" t="s">
        <v>62</v>
      </c>
      <c r="O442" s="36" t="s">
        <v>616</v>
      </c>
    </row>
    <row r="443" spans="11:15">
      <c r="K443" s="36" t="s">
        <v>559</v>
      </c>
      <c r="L443" s="36" t="s">
        <v>40</v>
      </c>
      <c r="M443" s="36" t="s">
        <v>574</v>
      </c>
      <c r="N443" s="36" t="s">
        <v>62</v>
      </c>
      <c r="O443" s="36" t="s">
        <v>617</v>
      </c>
    </row>
    <row r="444" spans="11:15">
      <c r="K444" s="36" t="s">
        <v>559</v>
      </c>
      <c r="L444" s="36" t="s">
        <v>40</v>
      </c>
      <c r="M444" s="36" t="s">
        <v>574</v>
      </c>
      <c r="N444" s="36" t="s">
        <v>62</v>
      </c>
      <c r="O444" s="36" t="s">
        <v>618</v>
      </c>
    </row>
    <row r="445" spans="11:15">
      <c r="K445" s="36" t="s">
        <v>559</v>
      </c>
      <c r="L445" s="36" t="s">
        <v>40</v>
      </c>
      <c r="M445" s="36" t="s">
        <v>574</v>
      </c>
      <c r="N445" s="36" t="s">
        <v>62</v>
      </c>
      <c r="O445" s="36" t="s">
        <v>619</v>
      </c>
    </row>
    <row r="446" spans="11:15">
      <c r="K446" s="36" t="s">
        <v>559</v>
      </c>
      <c r="L446" s="36" t="s">
        <v>40</v>
      </c>
      <c r="M446" s="36" t="s">
        <v>574</v>
      </c>
      <c r="N446" s="36" t="s">
        <v>62</v>
      </c>
      <c r="O446" s="36" t="s">
        <v>620</v>
      </c>
    </row>
    <row r="447" spans="11:15">
      <c r="K447" s="36" t="s">
        <v>559</v>
      </c>
      <c r="L447" s="36" t="s">
        <v>40</v>
      </c>
      <c r="M447" s="36" t="s">
        <v>574</v>
      </c>
      <c r="N447" s="36" t="s">
        <v>62</v>
      </c>
      <c r="O447" s="36" t="s">
        <v>621</v>
      </c>
    </row>
    <row r="448" spans="11:15">
      <c r="K448" s="36" t="s">
        <v>559</v>
      </c>
      <c r="L448" s="36" t="s">
        <v>40</v>
      </c>
      <c r="M448" s="36" t="s">
        <v>574</v>
      </c>
      <c r="N448" s="36" t="s">
        <v>62</v>
      </c>
      <c r="O448" s="36" t="s">
        <v>622</v>
      </c>
    </row>
    <row r="449" spans="11:15">
      <c r="K449" s="36" t="s">
        <v>559</v>
      </c>
      <c r="L449" s="36" t="s">
        <v>40</v>
      </c>
      <c r="M449" s="36" t="s">
        <v>623</v>
      </c>
      <c r="N449" s="36" t="s">
        <v>55</v>
      </c>
      <c r="O449" s="36" t="s">
        <v>624</v>
      </c>
    </row>
    <row r="450" spans="11:15">
      <c r="K450" s="36" t="s">
        <v>559</v>
      </c>
      <c r="L450" s="36" t="s">
        <v>40</v>
      </c>
      <c r="M450" s="36" t="s">
        <v>623</v>
      </c>
      <c r="N450" s="36" t="s">
        <v>55</v>
      </c>
      <c r="O450" s="36" t="s">
        <v>625</v>
      </c>
    </row>
    <row r="451" spans="11:15">
      <c r="K451" s="36" t="s">
        <v>559</v>
      </c>
      <c r="L451" s="36" t="s">
        <v>40</v>
      </c>
      <c r="M451" s="36" t="s">
        <v>623</v>
      </c>
      <c r="N451" s="36" t="s">
        <v>55</v>
      </c>
      <c r="O451" s="36" t="s">
        <v>626</v>
      </c>
    </row>
    <row r="452" spans="11:15">
      <c r="K452" s="36" t="s">
        <v>559</v>
      </c>
      <c r="L452" s="36" t="s">
        <v>40</v>
      </c>
      <c r="M452" s="36" t="s">
        <v>623</v>
      </c>
      <c r="N452" s="36" t="s">
        <v>55</v>
      </c>
      <c r="O452" s="36" t="s">
        <v>627</v>
      </c>
    </row>
    <row r="453" spans="11:15">
      <c r="K453" s="36" t="s">
        <v>559</v>
      </c>
      <c r="L453" s="36" t="s">
        <v>40</v>
      </c>
      <c r="M453" s="36" t="s">
        <v>623</v>
      </c>
      <c r="N453" s="36" t="s">
        <v>55</v>
      </c>
      <c r="O453" s="36" t="s">
        <v>628</v>
      </c>
    </row>
    <row r="454" spans="11:15">
      <c r="K454" s="36" t="s">
        <v>559</v>
      </c>
      <c r="L454" s="36" t="s">
        <v>40</v>
      </c>
      <c r="M454" s="36" t="s">
        <v>623</v>
      </c>
      <c r="N454" s="36" t="s">
        <v>55</v>
      </c>
      <c r="O454" s="36" t="s">
        <v>629</v>
      </c>
    </row>
    <row r="455" spans="11:15">
      <c r="K455" s="36" t="s">
        <v>559</v>
      </c>
      <c r="L455" s="36" t="s">
        <v>40</v>
      </c>
      <c r="M455" s="36" t="s">
        <v>623</v>
      </c>
      <c r="N455" s="36" t="s">
        <v>55</v>
      </c>
      <c r="O455" s="36" t="s">
        <v>630</v>
      </c>
    </row>
    <row r="456" spans="11:15">
      <c r="K456" s="36" t="s">
        <v>559</v>
      </c>
      <c r="L456" s="36" t="s">
        <v>40</v>
      </c>
      <c r="M456" s="36" t="s">
        <v>623</v>
      </c>
      <c r="N456" s="36" t="s">
        <v>55</v>
      </c>
      <c r="O456" s="36" t="s">
        <v>631</v>
      </c>
    </row>
    <row r="457" spans="11:15">
      <c r="K457" s="36" t="s">
        <v>559</v>
      </c>
      <c r="L457" s="36" t="s">
        <v>40</v>
      </c>
      <c r="M457" s="36" t="s">
        <v>623</v>
      </c>
      <c r="N457" s="36" t="s">
        <v>55</v>
      </c>
      <c r="O457" s="36" t="s">
        <v>632</v>
      </c>
    </row>
    <row r="458" spans="11:15">
      <c r="K458" s="36" t="s">
        <v>559</v>
      </c>
      <c r="L458" s="36" t="s">
        <v>40</v>
      </c>
      <c r="M458" s="36" t="s">
        <v>623</v>
      </c>
      <c r="N458" s="36" t="s">
        <v>55</v>
      </c>
      <c r="O458" s="36" t="s">
        <v>633</v>
      </c>
    </row>
    <row r="459" spans="11:15">
      <c r="K459" s="36" t="s">
        <v>559</v>
      </c>
      <c r="L459" s="36" t="s">
        <v>40</v>
      </c>
      <c r="M459" s="36" t="s">
        <v>623</v>
      </c>
      <c r="N459" s="36" t="s">
        <v>55</v>
      </c>
      <c r="O459" s="36" t="s">
        <v>634</v>
      </c>
    </row>
    <row r="460" spans="11:15">
      <c r="K460" s="36" t="s">
        <v>559</v>
      </c>
      <c r="L460" s="36" t="s">
        <v>40</v>
      </c>
      <c r="M460" s="36" t="s">
        <v>623</v>
      </c>
      <c r="N460" s="36" t="s">
        <v>55</v>
      </c>
      <c r="O460" s="36" t="s">
        <v>635</v>
      </c>
    </row>
    <row r="461" spans="11:15">
      <c r="K461" s="36" t="s">
        <v>559</v>
      </c>
      <c r="L461" s="36" t="s">
        <v>40</v>
      </c>
      <c r="M461" s="36" t="s">
        <v>623</v>
      </c>
      <c r="N461" s="36" t="s">
        <v>62</v>
      </c>
      <c r="O461" s="36" t="s">
        <v>636</v>
      </c>
    </row>
    <row r="462" spans="11:15">
      <c r="K462" s="36" t="s">
        <v>559</v>
      </c>
      <c r="L462" s="36" t="s">
        <v>40</v>
      </c>
      <c r="M462" s="36" t="s">
        <v>623</v>
      </c>
      <c r="N462" s="36" t="s">
        <v>62</v>
      </c>
      <c r="O462" s="36" t="s">
        <v>637</v>
      </c>
    </row>
    <row r="463" spans="11:15">
      <c r="K463" s="36" t="s">
        <v>559</v>
      </c>
      <c r="L463" s="36" t="s">
        <v>40</v>
      </c>
      <c r="M463" s="36" t="s">
        <v>623</v>
      </c>
      <c r="N463" s="36" t="s">
        <v>62</v>
      </c>
      <c r="O463" s="36" t="s">
        <v>638</v>
      </c>
    </row>
    <row r="464" spans="11:15">
      <c r="K464" s="36" t="s">
        <v>559</v>
      </c>
      <c r="L464" s="36" t="s">
        <v>40</v>
      </c>
      <c r="M464" s="36" t="s">
        <v>623</v>
      </c>
      <c r="N464" s="36" t="s">
        <v>62</v>
      </c>
      <c r="O464" s="36" t="s">
        <v>639</v>
      </c>
    </row>
    <row r="465" spans="11:15">
      <c r="K465" s="36" t="s">
        <v>559</v>
      </c>
      <c r="L465" s="36" t="s">
        <v>40</v>
      </c>
      <c r="M465" s="36" t="s">
        <v>623</v>
      </c>
      <c r="N465" s="36" t="s">
        <v>62</v>
      </c>
      <c r="O465" s="36" t="s">
        <v>640</v>
      </c>
    </row>
    <row r="466" spans="11:15">
      <c r="K466" s="36" t="s">
        <v>559</v>
      </c>
      <c r="L466" s="36" t="s">
        <v>40</v>
      </c>
      <c r="M466" s="36" t="s">
        <v>623</v>
      </c>
      <c r="N466" s="36" t="s">
        <v>62</v>
      </c>
      <c r="O466" s="36" t="s">
        <v>641</v>
      </c>
    </row>
    <row r="467" spans="11:15">
      <c r="K467" s="36" t="s">
        <v>559</v>
      </c>
      <c r="L467" s="36" t="s">
        <v>40</v>
      </c>
      <c r="M467" s="36" t="s">
        <v>623</v>
      </c>
      <c r="N467" s="36" t="s">
        <v>62</v>
      </c>
      <c r="O467" s="36" t="s">
        <v>642</v>
      </c>
    </row>
    <row r="468" spans="11:15">
      <c r="K468" s="36" t="s">
        <v>559</v>
      </c>
      <c r="L468" s="36" t="s">
        <v>40</v>
      </c>
      <c r="M468" s="36" t="s">
        <v>623</v>
      </c>
      <c r="N468" s="36" t="s">
        <v>62</v>
      </c>
      <c r="O468" s="36" t="s">
        <v>643</v>
      </c>
    </row>
    <row r="469" spans="11:15">
      <c r="K469" s="36" t="s">
        <v>559</v>
      </c>
      <c r="L469" s="36" t="s">
        <v>40</v>
      </c>
      <c r="M469" s="36" t="s">
        <v>623</v>
      </c>
      <c r="N469" s="36" t="s">
        <v>62</v>
      </c>
      <c r="O469" s="36" t="s">
        <v>644</v>
      </c>
    </row>
    <row r="470" spans="11:15">
      <c r="K470" s="36" t="s">
        <v>559</v>
      </c>
      <c r="L470" s="36" t="s">
        <v>40</v>
      </c>
      <c r="M470" s="36" t="s">
        <v>623</v>
      </c>
      <c r="N470" s="36" t="s">
        <v>62</v>
      </c>
      <c r="O470" s="36" t="s">
        <v>645</v>
      </c>
    </row>
    <row r="471" spans="11:15">
      <c r="K471" s="36" t="s">
        <v>559</v>
      </c>
      <c r="L471" s="36" t="s">
        <v>40</v>
      </c>
      <c r="M471" s="36" t="s">
        <v>623</v>
      </c>
      <c r="N471" s="36" t="s">
        <v>62</v>
      </c>
      <c r="O471" s="36" t="s">
        <v>646</v>
      </c>
    </row>
    <row r="472" spans="11:15">
      <c r="K472" s="36" t="s">
        <v>559</v>
      </c>
      <c r="L472" s="36" t="s">
        <v>40</v>
      </c>
      <c r="M472" s="36" t="s">
        <v>623</v>
      </c>
      <c r="N472" s="36" t="s">
        <v>62</v>
      </c>
      <c r="O472" s="36" t="s">
        <v>647</v>
      </c>
    </row>
    <row r="473" spans="11:15">
      <c r="K473" s="36" t="s">
        <v>559</v>
      </c>
      <c r="L473" s="36" t="s">
        <v>40</v>
      </c>
      <c r="M473" s="36" t="s">
        <v>364</v>
      </c>
      <c r="N473" s="36" t="s">
        <v>55</v>
      </c>
      <c r="O473" s="36" t="s">
        <v>648</v>
      </c>
    </row>
    <row r="474" spans="11:15">
      <c r="K474" s="36" t="s">
        <v>559</v>
      </c>
      <c r="L474" s="36" t="s">
        <v>40</v>
      </c>
      <c r="M474" s="36" t="s">
        <v>364</v>
      </c>
      <c r="N474" s="36" t="s">
        <v>55</v>
      </c>
      <c r="O474" s="36" t="s">
        <v>649</v>
      </c>
    </row>
    <row r="475" spans="11:15">
      <c r="K475" s="36" t="s">
        <v>559</v>
      </c>
      <c r="L475" s="36" t="s">
        <v>40</v>
      </c>
      <c r="M475" s="36" t="s">
        <v>364</v>
      </c>
      <c r="N475" s="36" t="s">
        <v>55</v>
      </c>
      <c r="O475" s="36" t="s">
        <v>650</v>
      </c>
    </row>
    <row r="476" spans="11:15">
      <c r="K476" s="36" t="s">
        <v>559</v>
      </c>
      <c r="L476" s="36" t="s">
        <v>40</v>
      </c>
      <c r="M476" s="36" t="s">
        <v>364</v>
      </c>
      <c r="N476" s="36" t="s">
        <v>55</v>
      </c>
      <c r="O476" s="36" t="s">
        <v>651</v>
      </c>
    </row>
    <row r="477" spans="11:15">
      <c r="K477" s="36" t="s">
        <v>559</v>
      </c>
      <c r="L477" s="36" t="s">
        <v>40</v>
      </c>
      <c r="M477" s="36" t="s">
        <v>364</v>
      </c>
      <c r="N477" s="36" t="s">
        <v>62</v>
      </c>
      <c r="O477" s="36" t="s">
        <v>652</v>
      </c>
    </row>
    <row r="478" spans="11:15">
      <c r="K478" s="36" t="s">
        <v>559</v>
      </c>
      <c r="L478" s="36" t="s">
        <v>40</v>
      </c>
      <c r="M478" s="36" t="s">
        <v>364</v>
      </c>
      <c r="N478" s="36" t="s">
        <v>62</v>
      </c>
      <c r="O478" s="36" t="s">
        <v>653</v>
      </c>
    </row>
    <row r="479" spans="11:15">
      <c r="K479" s="36" t="s">
        <v>559</v>
      </c>
      <c r="L479" s="36" t="s">
        <v>40</v>
      </c>
      <c r="M479" s="36" t="s">
        <v>364</v>
      </c>
      <c r="N479" s="36" t="s">
        <v>62</v>
      </c>
      <c r="O479" s="36" t="s">
        <v>654</v>
      </c>
    </row>
    <row r="480" spans="11:15">
      <c r="K480" s="36" t="s">
        <v>559</v>
      </c>
      <c r="L480" s="36" t="s">
        <v>40</v>
      </c>
      <c r="M480" s="36" t="s">
        <v>364</v>
      </c>
      <c r="N480" s="36" t="s">
        <v>62</v>
      </c>
      <c r="O480" s="36" t="s">
        <v>655</v>
      </c>
    </row>
    <row r="481" spans="11:15">
      <c r="K481" s="36" t="s">
        <v>559</v>
      </c>
      <c r="L481" s="36" t="s">
        <v>40</v>
      </c>
      <c r="M481" s="36" t="s">
        <v>364</v>
      </c>
      <c r="N481" s="36" t="s">
        <v>62</v>
      </c>
      <c r="O481" s="36" t="s">
        <v>656</v>
      </c>
    </row>
    <row r="482" spans="11:15">
      <c r="K482" s="36" t="s">
        <v>559</v>
      </c>
      <c r="L482" s="36" t="s">
        <v>40</v>
      </c>
      <c r="M482" s="36" t="s">
        <v>364</v>
      </c>
      <c r="N482" s="36" t="s">
        <v>62</v>
      </c>
      <c r="O482" s="36" t="s">
        <v>657</v>
      </c>
    </row>
    <row r="483" spans="11:15">
      <c r="K483" s="36" t="s">
        <v>559</v>
      </c>
      <c r="L483" s="36" t="s">
        <v>40</v>
      </c>
      <c r="M483" s="36" t="s">
        <v>364</v>
      </c>
      <c r="N483" s="36" t="s">
        <v>62</v>
      </c>
      <c r="O483" s="36" t="s">
        <v>658</v>
      </c>
    </row>
    <row r="484" spans="11:15">
      <c r="K484" s="36" t="s">
        <v>559</v>
      </c>
      <c r="L484" s="36" t="s">
        <v>40</v>
      </c>
      <c r="M484" s="36" t="s">
        <v>364</v>
      </c>
      <c r="N484" s="36" t="s">
        <v>62</v>
      </c>
      <c r="O484" s="36" t="s">
        <v>659</v>
      </c>
    </row>
    <row r="485" spans="11:15">
      <c r="K485" s="36" t="s">
        <v>559</v>
      </c>
      <c r="L485" s="36" t="s">
        <v>40</v>
      </c>
      <c r="M485" s="36" t="s">
        <v>364</v>
      </c>
      <c r="N485" s="36" t="s">
        <v>55</v>
      </c>
      <c r="O485" s="36" t="s">
        <v>660</v>
      </c>
    </row>
    <row r="486" spans="11:15">
      <c r="K486" s="36" t="s">
        <v>559</v>
      </c>
      <c r="L486" s="36" t="s">
        <v>40</v>
      </c>
      <c r="M486" s="36" t="s">
        <v>364</v>
      </c>
      <c r="N486" s="36" t="s">
        <v>55</v>
      </c>
      <c r="O486" s="36" t="s">
        <v>661</v>
      </c>
    </row>
    <row r="487" spans="11:15">
      <c r="K487" s="36" t="s">
        <v>559</v>
      </c>
      <c r="L487" s="36" t="s">
        <v>40</v>
      </c>
      <c r="M487" s="36" t="s">
        <v>364</v>
      </c>
      <c r="N487" s="36" t="s">
        <v>62</v>
      </c>
      <c r="O487" s="36" t="s">
        <v>662</v>
      </c>
    </row>
    <row r="488" spans="11:15">
      <c r="K488" s="36" t="s">
        <v>559</v>
      </c>
      <c r="L488" s="36" t="s">
        <v>40</v>
      </c>
      <c r="M488" s="36" t="s">
        <v>364</v>
      </c>
      <c r="N488" s="36" t="s">
        <v>62</v>
      </c>
      <c r="O488" s="36" t="s">
        <v>663</v>
      </c>
    </row>
    <row r="489" spans="11:15">
      <c r="K489" s="36" t="s">
        <v>559</v>
      </c>
      <c r="L489" s="36" t="s">
        <v>40</v>
      </c>
      <c r="M489" s="36" t="s">
        <v>364</v>
      </c>
      <c r="N489" s="36" t="s">
        <v>62</v>
      </c>
      <c r="O489" s="36" t="s">
        <v>664</v>
      </c>
    </row>
    <row r="490" spans="11:15">
      <c r="K490" s="36" t="s">
        <v>559</v>
      </c>
      <c r="L490" s="36" t="s">
        <v>54</v>
      </c>
      <c r="M490" s="36" t="s">
        <v>665</v>
      </c>
      <c r="N490" s="36" t="s">
        <v>55</v>
      </c>
      <c r="O490" s="36" t="s">
        <v>666</v>
      </c>
    </row>
    <row r="491" spans="11:15">
      <c r="K491" s="36" t="s">
        <v>559</v>
      </c>
      <c r="L491" s="36" t="s">
        <v>54</v>
      </c>
      <c r="M491" s="36" t="s">
        <v>665</v>
      </c>
      <c r="N491" s="36" t="s">
        <v>55</v>
      </c>
      <c r="O491" s="36" t="s">
        <v>667</v>
      </c>
    </row>
    <row r="492" spans="11:15">
      <c r="K492" s="36" t="s">
        <v>559</v>
      </c>
      <c r="L492" s="36" t="s">
        <v>54</v>
      </c>
      <c r="M492" s="36" t="s">
        <v>665</v>
      </c>
      <c r="N492" s="36" t="s">
        <v>55</v>
      </c>
      <c r="O492" s="36" t="s">
        <v>668</v>
      </c>
    </row>
    <row r="493" spans="11:15">
      <c r="K493" s="36" t="s">
        <v>559</v>
      </c>
      <c r="L493" s="36" t="s">
        <v>54</v>
      </c>
      <c r="M493" s="36" t="s">
        <v>665</v>
      </c>
      <c r="N493" s="36" t="s">
        <v>55</v>
      </c>
      <c r="O493" s="36" t="s">
        <v>669</v>
      </c>
    </row>
    <row r="494" spans="11:15">
      <c r="K494" s="36" t="s">
        <v>559</v>
      </c>
      <c r="L494" s="36" t="s">
        <v>54</v>
      </c>
      <c r="M494" s="36" t="s">
        <v>665</v>
      </c>
      <c r="N494" s="36" t="s">
        <v>55</v>
      </c>
      <c r="O494" s="36" t="s">
        <v>670</v>
      </c>
    </row>
    <row r="495" spans="11:15">
      <c r="K495" s="36" t="s">
        <v>559</v>
      </c>
      <c r="L495" s="36" t="s">
        <v>54</v>
      </c>
      <c r="M495" s="36" t="s">
        <v>665</v>
      </c>
      <c r="N495" s="36" t="s">
        <v>55</v>
      </c>
      <c r="O495" s="36" t="s">
        <v>671</v>
      </c>
    </row>
    <row r="496" spans="11:15">
      <c r="K496" s="36" t="s">
        <v>559</v>
      </c>
      <c r="L496" s="36" t="s">
        <v>54</v>
      </c>
      <c r="M496" s="36" t="s">
        <v>665</v>
      </c>
      <c r="N496" s="36" t="s">
        <v>55</v>
      </c>
      <c r="O496" s="36" t="s">
        <v>672</v>
      </c>
    </row>
    <row r="497" spans="11:15">
      <c r="K497" s="36" t="s">
        <v>559</v>
      </c>
      <c r="L497" s="36" t="s">
        <v>54</v>
      </c>
      <c r="M497" s="36" t="s">
        <v>665</v>
      </c>
      <c r="N497" s="36" t="s">
        <v>55</v>
      </c>
      <c r="O497" s="36" t="s">
        <v>673</v>
      </c>
    </row>
    <row r="498" spans="11:15">
      <c r="K498" s="36" t="s">
        <v>559</v>
      </c>
      <c r="L498" s="36" t="s">
        <v>54</v>
      </c>
      <c r="M498" s="36" t="s">
        <v>665</v>
      </c>
      <c r="N498" s="36" t="s">
        <v>55</v>
      </c>
      <c r="O498" s="36" t="s">
        <v>674</v>
      </c>
    </row>
    <row r="499" spans="11:15">
      <c r="K499" s="36" t="s">
        <v>559</v>
      </c>
      <c r="L499" s="36" t="s">
        <v>54</v>
      </c>
      <c r="M499" s="36" t="s">
        <v>665</v>
      </c>
      <c r="N499" s="36" t="s">
        <v>55</v>
      </c>
      <c r="O499" s="36" t="s">
        <v>675</v>
      </c>
    </row>
    <row r="500" spans="11:15">
      <c r="K500" s="36" t="s">
        <v>559</v>
      </c>
      <c r="L500" s="36" t="s">
        <v>54</v>
      </c>
      <c r="M500" s="36" t="s">
        <v>665</v>
      </c>
      <c r="N500" s="36" t="s">
        <v>55</v>
      </c>
      <c r="O500" s="36" t="s">
        <v>676</v>
      </c>
    </row>
    <row r="501" spans="11:15">
      <c r="K501" s="36" t="s">
        <v>559</v>
      </c>
      <c r="L501" s="36" t="s">
        <v>54</v>
      </c>
      <c r="M501" s="36" t="s">
        <v>665</v>
      </c>
      <c r="N501" s="36" t="s">
        <v>55</v>
      </c>
      <c r="O501" s="36" t="s">
        <v>677</v>
      </c>
    </row>
    <row r="502" spans="11:15">
      <c r="K502" s="36" t="s">
        <v>559</v>
      </c>
      <c r="L502" s="36" t="s">
        <v>54</v>
      </c>
      <c r="M502" s="36" t="s">
        <v>665</v>
      </c>
      <c r="N502" s="36" t="s">
        <v>55</v>
      </c>
      <c r="O502" s="36" t="s">
        <v>678</v>
      </c>
    </row>
    <row r="503" spans="11:15">
      <c r="K503" s="36" t="s">
        <v>559</v>
      </c>
      <c r="L503" s="36" t="s">
        <v>54</v>
      </c>
      <c r="M503" s="36" t="s">
        <v>665</v>
      </c>
      <c r="N503" s="36" t="s">
        <v>55</v>
      </c>
      <c r="O503" s="36" t="s">
        <v>679</v>
      </c>
    </row>
    <row r="504" spans="11:15">
      <c r="K504" s="36" t="s">
        <v>559</v>
      </c>
      <c r="L504" s="36" t="s">
        <v>54</v>
      </c>
      <c r="M504" s="36" t="s">
        <v>665</v>
      </c>
      <c r="N504" s="36" t="s">
        <v>55</v>
      </c>
      <c r="O504" s="36" t="s">
        <v>680</v>
      </c>
    </row>
    <row r="505" spans="11:15">
      <c r="K505" s="36" t="s">
        <v>559</v>
      </c>
      <c r="L505" s="36" t="s">
        <v>54</v>
      </c>
      <c r="M505" s="36" t="s">
        <v>665</v>
      </c>
      <c r="N505" s="36" t="s">
        <v>55</v>
      </c>
      <c r="O505" s="36" t="s">
        <v>681</v>
      </c>
    </row>
    <row r="506" spans="11:15">
      <c r="K506" s="36" t="s">
        <v>559</v>
      </c>
      <c r="L506" s="36" t="s">
        <v>54</v>
      </c>
      <c r="M506" s="36" t="s">
        <v>665</v>
      </c>
      <c r="N506" s="36" t="s">
        <v>55</v>
      </c>
      <c r="O506" s="36" t="s">
        <v>682</v>
      </c>
    </row>
    <row r="507" spans="11:15">
      <c r="K507" s="36" t="s">
        <v>559</v>
      </c>
      <c r="L507" s="36" t="s">
        <v>54</v>
      </c>
      <c r="M507" s="36" t="s">
        <v>665</v>
      </c>
      <c r="N507" s="36" t="s">
        <v>55</v>
      </c>
      <c r="O507" s="36" t="s">
        <v>683</v>
      </c>
    </row>
    <row r="508" spans="11:15">
      <c r="K508" s="36" t="s">
        <v>559</v>
      </c>
      <c r="L508" s="36" t="s">
        <v>54</v>
      </c>
      <c r="M508" s="36" t="s">
        <v>665</v>
      </c>
      <c r="N508" s="36" t="s">
        <v>55</v>
      </c>
      <c r="O508" s="36" t="s">
        <v>684</v>
      </c>
    </row>
    <row r="509" spans="11:15">
      <c r="K509" s="36" t="s">
        <v>559</v>
      </c>
      <c r="L509" s="36" t="s">
        <v>54</v>
      </c>
      <c r="M509" s="36" t="s">
        <v>665</v>
      </c>
      <c r="N509" s="36" t="s">
        <v>55</v>
      </c>
      <c r="O509" s="36" t="s">
        <v>685</v>
      </c>
    </row>
    <row r="510" spans="11:15">
      <c r="K510" s="36" t="s">
        <v>559</v>
      </c>
      <c r="L510" s="36" t="s">
        <v>54</v>
      </c>
      <c r="M510" s="36" t="s">
        <v>665</v>
      </c>
      <c r="N510" s="36" t="s">
        <v>55</v>
      </c>
      <c r="O510" s="36" t="s">
        <v>686</v>
      </c>
    </row>
    <row r="511" spans="11:15">
      <c r="K511" s="36" t="s">
        <v>559</v>
      </c>
      <c r="L511" s="36" t="s">
        <v>54</v>
      </c>
      <c r="M511" s="36" t="s">
        <v>665</v>
      </c>
      <c r="N511" s="36" t="s">
        <v>55</v>
      </c>
      <c r="O511" s="36" t="s">
        <v>687</v>
      </c>
    </row>
    <row r="512" spans="11:15">
      <c r="K512" s="36" t="s">
        <v>559</v>
      </c>
      <c r="L512" s="36" t="s">
        <v>54</v>
      </c>
      <c r="M512" s="36" t="s">
        <v>665</v>
      </c>
      <c r="N512" s="36" t="s">
        <v>55</v>
      </c>
      <c r="O512" s="36" t="s">
        <v>688</v>
      </c>
    </row>
    <row r="513" spans="11:15">
      <c r="K513" s="36" t="s">
        <v>559</v>
      </c>
      <c r="L513" s="36" t="s">
        <v>54</v>
      </c>
      <c r="M513" s="36" t="s">
        <v>665</v>
      </c>
      <c r="N513" s="36" t="s">
        <v>55</v>
      </c>
      <c r="O513" s="36" t="s">
        <v>689</v>
      </c>
    </row>
    <row r="514" spans="11:15">
      <c r="K514" s="36" t="s">
        <v>559</v>
      </c>
      <c r="L514" s="36" t="s">
        <v>54</v>
      </c>
      <c r="M514" s="36" t="s">
        <v>665</v>
      </c>
      <c r="N514" s="36" t="s">
        <v>55</v>
      </c>
      <c r="O514" s="36" t="s">
        <v>690</v>
      </c>
    </row>
    <row r="515" spans="11:15">
      <c r="K515" s="36" t="s">
        <v>559</v>
      </c>
      <c r="L515" s="36" t="s">
        <v>54</v>
      </c>
      <c r="M515" s="36" t="s">
        <v>665</v>
      </c>
      <c r="N515" s="36" t="s">
        <v>55</v>
      </c>
      <c r="O515" s="36" t="s">
        <v>691</v>
      </c>
    </row>
    <row r="516" spans="11:15">
      <c r="K516" s="36" t="s">
        <v>559</v>
      </c>
      <c r="L516" s="36" t="s">
        <v>54</v>
      </c>
      <c r="M516" s="36" t="s">
        <v>665</v>
      </c>
      <c r="N516" s="36" t="s">
        <v>55</v>
      </c>
      <c r="O516" s="36" t="s">
        <v>692</v>
      </c>
    </row>
    <row r="517" spans="11:15">
      <c r="K517" s="36" t="s">
        <v>559</v>
      </c>
      <c r="L517" s="36" t="s">
        <v>54</v>
      </c>
      <c r="M517" s="36" t="s">
        <v>665</v>
      </c>
      <c r="N517" s="36" t="s">
        <v>55</v>
      </c>
      <c r="O517" s="36" t="s">
        <v>693</v>
      </c>
    </row>
    <row r="518" spans="11:15">
      <c r="K518" s="36" t="s">
        <v>559</v>
      </c>
      <c r="L518" s="36" t="s">
        <v>54</v>
      </c>
      <c r="M518" s="36" t="s">
        <v>665</v>
      </c>
      <c r="N518" s="36" t="s">
        <v>55</v>
      </c>
      <c r="O518" s="36" t="s">
        <v>694</v>
      </c>
    </row>
    <row r="519" spans="11:15">
      <c r="K519" s="36" t="s">
        <v>559</v>
      </c>
      <c r="L519" s="36" t="s">
        <v>54</v>
      </c>
      <c r="M519" s="36" t="s">
        <v>665</v>
      </c>
      <c r="N519" s="36" t="s">
        <v>55</v>
      </c>
      <c r="O519" s="36" t="s">
        <v>695</v>
      </c>
    </row>
    <row r="520" spans="11:15">
      <c r="K520" s="36" t="s">
        <v>559</v>
      </c>
      <c r="L520" s="36" t="s">
        <v>54</v>
      </c>
      <c r="M520" s="36" t="s">
        <v>665</v>
      </c>
      <c r="N520" s="36" t="s">
        <v>55</v>
      </c>
      <c r="O520" s="36" t="s">
        <v>696</v>
      </c>
    </row>
    <row r="521" spans="11:15">
      <c r="K521" s="36" t="s">
        <v>559</v>
      </c>
      <c r="L521" s="36" t="s">
        <v>54</v>
      </c>
      <c r="M521" s="36" t="s">
        <v>665</v>
      </c>
      <c r="N521" s="36" t="s">
        <v>55</v>
      </c>
      <c r="O521" s="36" t="s">
        <v>697</v>
      </c>
    </row>
    <row r="522" spans="11:15">
      <c r="K522" s="36" t="s">
        <v>559</v>
      </c>
      <c r="L522" s="36" t="s">
        <v>54</v>
      </c>
      <c r="M522" s="36" t="s">
        <v>665</v>
      </c>
      <c r="N522" s="36" t="s">
        <v>55</v>
      </c>
      <c r="O522" s="36" t="s">
        <v>698</v>
      </c>
    </row>
    <row r="523" spans="11:15">
      <c r="K523" s="36" t="s">
        <v>559</v>
      </c>
      <c r="L523" s="36" t="s">
        <v>54</v>
      </c>
      <c r="M523" s="36" t="s">
        <v>665</v>
      </c>
      <c r="N523" s="36" t="s">
        <v>55</v>
      </c>
      <c r="O523" s="36" t="s">
        <v>699</v>
      </c>
    </row>
    <row r="524" spans="11:15">
      <c r="K524" s="36" t="s">
        <v>559</v>
      </c>
      <c r="L524" s="36" t="s">
        <v>54</v>
      </c>
      <c r="M524" s="36" t="s">
        <v>665</v>
      </c>
      <c r="N524" s="36" t="s">
        <v>55</v>
      </c>
      <c r="O524" s="36" t="s">
        <v>700</v>
      </c>
    </row>
    <row r="525" spans="11:15">
      <c r="K525" s="36" t="s">
        <v>559</v>
      </c>
      <c r="L525" s="36" t="s">
        <v>54</v>
      </c>
      <c r="M525" s="36" t="s">
        <v>665</v>
      </c>
      <c r="N525" s="36" t="s">
        <v>55</v>
      </c>
      <c r="O525" s="36" t="s">
        <v>701</v>
      </c>
    </row>
    <row r="526" spans="11:15">
      <c r="K526" s="36" t="s">
        <v>559</v>
      </c>
      <c r="L526" s="36" t="s">
        <v>54</v>
      </c>
      <c r="M526" s="36" t="s">
        <v>665</v>
      </c>
      <c r="N526" s="36" t="s">
        <v>55</v>
      </c>
      <c r="O526" s="36" t="s">
        <v>702</v>
      </c>
    </row>
    <row r="527" spans="11:15">
      <c r="K527" s="36" t="s">
        <v>559</v>
      </c>
      <c r="L527" s="36" t="s">
        <v>54</v>
      </c>
      <c r="M527" s="36" t="s">
        <v>665</v>
      </c>
      <c r="N527" s="36" t="s">
        <v>55</v>
      </c>
      <c r="O527" s="36" t="s">
        <v>703</v>
      </c>
    </row>
    <row r="528" spans="11:15">
      <c r="K528" s="36" t="s">
        <v>559</v>
      </c>
      <c r="L528" s="36" t="s">
        <v>54</v>
      </c>
      <c r="M528" s="36" t="s">
        <v>665</v>
      </c>
      <c r="N528" s="36" t="s">
        <v>55</v>
      </c>
      <c r="O528" s="36" t="s">
        <v>704</v>
      </c>
    </row>
    <row r="529" spans="11:15">
      <c r="K529" s="36" t="s">
        <v>559</v>
      </c>
      <c r="L529" s="36" t="s">
        <v>54</v>
      </c>
      <c r="M529" s="36" t="s">
        <v>665</v>
      </c>
      <c r="N529" s="36" t="s">
        <v>55</v>
      </c>
      <c r="O529" s="36" t="s">
        <v>705</v>
      </c>
    </row>
    <row r="530" spans="11:15">
      <c r="K530" s="36" t="s">
        <v>559</v>
      </c>
      <c r="L530" s="36" t="s">
        <v>54</v>
      </c>
      <c r="M530" s="36" t="s">
        <v>665</v>
      </c>
      <c r="N530" s="36" t="s">
        <v>55</v>
      </c>
      <c r="O530" s="36" t="s">
        <v>706</v>
      </c>
    </row>
    <row r="531" spans="11:15">
      <c r="K531" s="36" t="s">
        <v>559</v>
      </c>
      <c r="L531" s="36" t="s">
        <v>54</v>
      </c>
      <c r="M531" s="36" t="s">
        <v>665</v>
      </c>
      <c r="N531" s="36" t="s">
        <v>55</v>
      </c>
      <c r="O531" s="36" t="s">
        <v>707</v>
      </c>
    </row>
    <row r="532" spans="11:15">
      <c r="K532" s="36" t="s">
        <v>559</v>
      </c>
      <c r="L532" s="36" t="s">
        <v>54</v>
      </c>
      <c r="M532" s="36" t="s">
        <v>665</v>
      </c>
      <c r="N532" s="36" t="s">
        <v>55</v>
      </c>
      <c r="O532" s="36" t="s">
        <v>708</v>
      </c>
    </row>
    <row r="533" spans="11:15">
      <c r="K533" s="36" t="s">
        <v>559</v>
      </c>
      <c r="L533" s="36" t="s">
        <v>54</v>
      </c>
      <c r="M533" s="36" t="s">
        <v>665</v>
      </c>
      <c r="N533" s="36" t="s">
        <v>55</v>
      </c>
      <c r="O533" s="36" t="s">
        <v>709</v>
      </c>
    </row>
    <row r="534" spans="11:15">
      <c r="K534" s="36" t="s">
        <v>559</v>
      </c>
      <c r="L534" s="36" t="s">
        <v>54</v>
      </c>
      <c r="M534" s="36" t="s">
        <v>665</v>
      </c>
      <c r="N534" s="36" t="s">
        <v>55</v>
      </c>
      <c r="O534" s="36" t="s">
        <v>710</v>
      </c>
    </row>
    <row r="535" spans="11:15">
      <c r="K535" s="36" t="s">
        <v>559</v>
      </c>
      <c r="L535" s="36" t="s">
        <v>54</v>
      </c>
      <c r="M535" s="36" t="s">
        <v>665</v>
      </c>
      <c r="N535" s="36" t="s">
        <v>62</v>
      </c>
      <c r="O535" s="36" t="s">
        <v>711</v>
      </c>
    </row>
    <row r="536" spans="11:15">
      <c r="K536" s="36" t="s">
        <v>559</v>
      </c>
      <c r="L536" s="36" t="s">
        <v>54</v>
      </c>
      <c r="M536" s="36" t="s">
        <v>665</v>
      </c>
      <c r="N536" s="36" t="s">
        <v>62</v>
      </c>
      <c r="O536" s="36" t="s">
        <v>712</v>
      </c>
    </row>
    <row r="537" spans="11:15">
      <c r="K537" s="36" t="s">
        <v>559</v>
      </c>
      <c r="L537" s="36" t="s">
        <v>54</v>
      </c>
      <c r="M537" s="36" t="s">
        <v>665</v>
      </c>
      <c r="N537" s="36" t="s">
        <v>62</v>
      </c>
      <c r="O537" s="36" t="s">
        <v>713</v>
      </c>
    </row>
    <row r="538" spans="11:15">
      <c r="K538" s="36" t="s">
        <v>559</v>
      </c>
      <c r="L538" s="36" t="s">
        <v>54</v>
      </c>
      <c r="M538" s="36" t="s">
        <v>665</v>
      </c>
      <c r="N538" s="36" t="s">
        <v>62</v>
      </c>
      <c r="O538" s="36" t="s">
        <v>714</v>
      </c>
    </row>
    <row r="539" spans="11:15">
      <c r="K539" s="36" t="s">
        <v>559</v>
      </c>
      <c r="L539" s="36" t="s">
        <v>54</v>
      </c>
      <c r="M539" s="36" t="s">
        <v>665</v>
      </c>
      <c r="N539" s="36" t="s">
        <v>62</v>
      </c>
      <c r="O539" s="36" t="s">
        <v>715</v>
      </c>
    </row>
    <row r="540" spans="11:15">
      <c r="K540" s="36" t="s">
        <v>559</v>
      </c>
      <c r="L540" s="36" t="s">
        <v>54</v>
      </c>
      <c r="M540" s="36" t="s">
        <v>665</v>
      </c>
      <c r="N540" s="36" t="s">
        <v>62</v>
      </c>
      <c r="O540" s="36" t="s">
        <v>716</v>
      </c>
    </row>
    <row r="541" spans="11:15">
      <c r="K541" s="36" t="s">
        <v>559</v>
      </c>
      <c r="L541" s="36" t="s">
        <v>54</v>
      </c>
      <c r="M541" s="36" t="s">
        <v>665</v>
      </c>
      <c r="N541" s="36" t="s">
        <v>62</v>
      </c>
      <c r="O541" s="36" t="s">
        <v>717</v>
      </c>
    </row>
    <row r="542" spans="11:15">
      <c r="K542" s="36" t="s">
        <v>559</v>
      </c>
      <c r="L542" s="36" t="s">
        <v>54</v>
      </c>
      <c r="M542" s="36" t="s">
        <v>665</v>
      </c>
      <c r="N542" s="36" t="s">
        <v>62</v>
      </c>
      <c r="O542" s="36" t="s">
        <v>718</v>
      </c>
    </row>
    <row r="543" spans="11:15">
      <c r="K543" s="36" t="s">
        <v>559</v>
      </c>
      <c r="L543" s="36" t="s">
        <v>54</v>
      </c>
      <c r="M543" s="36" t="s">
        <v>665</v>
      </c>
      <c r="N543" s="36" t="s">
        <v>62</v>
      </c>
      <c r="O543" s="36" t="s">
        <v>719</v>
      </c>
    </row>
    <row r="544" spans="11:15">
      <c r="K544" s="36" t="s">
        <v>559</v>
      </c>
      <c r="L544" s="36" t="s">
        <v>54</v>
      </c>
      <c r="M544" s="36" t="s">
        <v>665</v>
      </c>
      <c r="N544" s="36" t="s">
        <v>62</v>
      </c>
      <c r="O544" s="36" t="s">
        <v>720</v>
      </c>
    </row>
    <row r="545" spans="11:15">
      <c r="K545" s="36" t="s">
        <v>559</v>
      </c>
      <c r="L545" s="36" t="s">
        <v>54</v>
      </c>
      <c r="M545" s="36" t="s">
        <v>665</v>
      </c>
      <c r="N545" s="36" t="s">
        <v>62</v>
      </c>
      <c r="O545" s="36" t="s">
        <v>721</v>
      </c>
    </row>
    <row r="546" spans="11:15">
      <c r="K546" s="36" t="s">
        <v>559</v>
      </c>
      <c r="L546" s="36" t="s">
        <v>54</v>
      </c>
      <c r="M546" s="36" t="s">
        <v>665</v>
      </c>
      <c r="N546" s="36" t="s">
        <v>62</v>
      </c>
      <c r="O546" s="36" t="s">
        <v>722</v>
      </c>
    </row>
    <row r="547" spans="11:15">
      <c r="K547" s="36" t="s">
        <v>559</v>
      </c>
      <c r="L547" s="36" t="s">
        <v>54</v>
      </c>
      <c r="M547" s="36" t="s">
        <v>665</v>
      </c>
      <c r="N547" s="36" t="s">
        <v>62</v>
      </c>
      <c r="O547" s="36" t="s">
        <v>723</v>
      </c>
    </row>
    <row r="548" spans="11:15">
      <c r="K548" s="36" t="s">
        <v>559</v>
      </c>
      <c r="L548" s="36" t="s">
        <v>54</v>
      </c>
      <c r="M548" s="36" t="s">
        <v>665</v>
      </c>
      <c r="N548" s="36" t="s">
        <v>62</v>
      </c>
      <c r="O548" s="36" t="s">
        <v>724</v>
      </c>
    </row>
    <row r="549" spans="11:15">
      <c r="K549" s="36" t="s">
        <v>559</v>
      </c>
      <c r="L549" s="36" t="s">
        <v>54</v>
      </c>
      <c r="M549" s="36" t="s">
        <v>665</v>
      </c>
      <c r="N549" s="36" t="s">
        <v>62</v>
      </c>
      <c r="O549" s="36" t="s">
        <v>725</v>
      </c>
    </row>
    <row r="550" spans="11:15">
      <c r="K550" s="36" t="s">
        <v>559</v>
      </c>
      <c r="L550" s="36" t="s">
        <v>54</v>
      </c>
      <c r="M550" s="36" t="s">
        <v>665</v>
      </c>
      <c r="N550" s="36" t="s">
        <v>62</v>
      </c>
      <c r="O550" s="36" t="s">
        <v>726</v>
      </c>
    </row>
    <row r="551" spans="11:15">
      <c r="K551" s="36" t="s">
        <v>559</v>
      </c>
      <c r="L551" s="36" t="s">
        <v>54</v>
      </c>
      <c r="M551" s="36" t="s">
        <v>665</v>
      </c>
      <c r="N551" s="36" t="s">
        <v>62</v>
      </c>
      <c r="O551" s="36" t="s">
        <v>727</v>
      </c>
    </row>
    <row r="552" spans="11:15">
      <c r="K552" s="36" t="s">
        <v>559</v>
      </c>
      <c r="L552" s="36" t="s">
        <v>54</v>
      </c>
      <c r="M552" s="36" t="s">
        <v>665</v>
      </c>
      <c r="N552" s="36" t="s">
        <v>62</v>
      </c>
      <c r="O552" s="36" t="s">
        <v>728</v>
      </c>
    </row>
    <row r="553" spans="11:15">
      <c r="K553" s="36" t="s">
        <v>559</v>
      </c>
      <c r="L553" s="36" t="s">
        <v>54</v>
      </c>
      <c r="M553" s="36" t="s">
        <v>665</v>
      </c>
      <c r="N553" s="36" t="s">
        <v>62</v>
      </c>
      <c r="O553" s="36" t="s">
        <v>729</v>
      </c>
    </row>
    <row r="554" spans="11:15">
      <c r="K554" s="36" t="s">
        <v>559</v>
      </c>
      <c r="L554" s="36" t="s">
        <v>54</v>
      </c>
      <c r="M554" s="36" t="s">
        <v>665</v>
      </c>
      <c r="N554" s="36" t="s">
        <v>62</v>
      </c>
      <c r="O554" s="36" t="s">
        <v>730</v>
      </c>
    </row>
    <row r="555" spans="11:15">
      <c r="K555" s="36" t="s">
        <v>559</v>
      </c>
      <c r="L555" s="36" t="s">
        <v>54</v>
      </c>
      <c r="M555" s="36" t="s">
        <v>665</v>
      </c>
      <c r="N555" s="36" t="s">
        <v>62</v>
      </c>
      <c r="O555" s="36" t="s">
        <v>731</v>
      </c>
    </row>
    <row r="556" spans="11:15">
      <c r="K556" s="36" t="s">
        <v>559</v>
      </c>
      <c r="L556" s="36" t="s">
        <v>54</v>
      </c>
      <c r="M556" s="36" t="s">
        <v>665</v>
      </c>
      <c r="N556" s="36" t="s">
        <v>62</v>
      </c>
      <c r="O556" s="36" t="s">
        <v>732</v>
      </c>
    </row>
    <row r="557" spans="11:15">
      <c r="K557" s="36" t="s">
        <v>559</v>
      </c>
      <c r="L557" s="36" t="s">
        <v>54</v>
      </c>
      <c r="M557" s="36" t="s">
        <v>665</v>
      </c>
      <c r="N557" s="36" t="s">
        <v>62</v>
      </c>
      <c r="O557" s="36" t="s">
        <v>733</v>
      </c>
    </row>
    <row r="558" spans="11:15">
      <c r="K558" s="36" t="s">
        <v>559</v>
      </c>
      <c r="L558" s="36" t="s">
        <v>54</v>
      </c>
      <c r="M558" s="36" t="s">
        <v>665</v>
      </c>
      <c r="N558" s="36" t="s">
        <v>62</v>
      </c>
      <c r="O558" s="36" t="s">
        <v>734</v>
      </c>
    </row>
    <row r="559" spans="11:15">
      <c r="K559" s="36" t="s">
        <v>559</v>
      </c>
      <c r="L559" s="36" t="s">
        <v>54</v>
      </c>
      <c r="M559" s="36" t="s">
        <v>665</v>
      </c>
      <c r="N559" s="36" t="s">
        <v>62</v>
      </c>
      <c r="O559" s="36" t="s">
        <v>735</v>
      </c>
    </row>
    <row r="560" spans="11:15">
      <c r="K560" s="36" t="s">
        <v>559</v>
      </c>
      <c r="L560" s="36" t="s">
        <v>54</v>
      </c>
      <c r="M560" s="36" t="s">
        <v>665</v>
      </c>
      <c r="N560" s="36" t="s">
        <v>62</v>
      </c>
      <c r="O560" s="36" t="s">
        <v>736</v>
      </c>
    </row>
    <row r="561" spans="11:15">
      <c r="K561" s="36" t="s">
        <v>559</v>
      </c>
      <c r="L561" s="36" t="s">
        <v>54</v>
      </c>
      <c r="M561" s="36" t="s">
        <v>665</v>
      </c>
      <c r="N561" s="36" t="s">
        <v>62</v>
      </c>
      <c r="O561" s="36" t="s">
        <v>737</v>
      </c>
    </row>
    <row r="562" spans="11:15">
      <c r="K562" s="36" t="s">
        <v>559</v>
      </c>
      <c r="L562" s="36" t="s">
        <v>54</v>
      </c>
      <c r="M562" s="36" t="s">
        <v>665</v>
      </c>
      <c r="N562" s="36" t="s">
        <v>62</v>
      </c>
      <c r="O562" s="36" t="s">
        <v>738</v>
      </c>
    </row>
    <row r="563" spans="11:15">
      <c r="K563" s="36" t="s">
        <v>559</v>
      </c>
      <c r="L563" s="36" t="s">
        <v>54</v>
      </c>
      <c r="M563" s="36" t="s">
        <v>665</v>
      </c>
      <c r="N563" s="36" t="s">
        <v>62</v>
      </c>
      <c r="O563" s="36" t="s">
        <v>739</v>
      </c>
    </row>
    <row r="564" spans="11:15">
      <c r="K564" s="36" t="s">
        <v>559</v>
      </c>
      <c r="L564" s="36" t="s">
        <v>54</v>
      </c>
      <c r="M564" s="36" t="s">
        <v>665</v>
      </c>
      <c r="N564" s="36" t="s">
        <v>62</v>
      </c>
      <c r="O564" s="36" t="s">
        <v>740</v>
      </c>
    </row>
    <row r="565" spans="11:15">
      <c r="K565" s="36" t="s">
        <v>559</v>
      </c>
      <c r="L565" s="36" t="s">
        <v>54</v>
      </c>
      <c r="M565" s="36" t="s">
        <v>741</v>
      </c>
      <c r="N565" s="36" t="s">
        <v>55</v>
      </c>
      <c r="O565" s="36" t="s">
        <v>742</v>
      </c>
    </row>
    <row r="566" spans="11:15">
      <c r="K566" s="36" t="s">
        <v>559</v>
      </c>
      <c r="L566" s="36" t="s">
        <v>54</v>
      </c>
      <c r="M566" s="36" t="s">
        <v>741</v>
      </c>
      <c r="N566" s="36" t="s">
        <v>55</v>
      </c>
      <c r="O566" s="36" t="s">
        <v>743</v>
      </c>
    </row>
    <row r="567" spans="11:15">
      <c r="K567" s="36" t="s">
        <v>559</v>
      </c>
      <c r="L567" s="36" t="s">
        <v>54</v>
      </c>
      <c r="M567" s="36" t="s">
        <v>741</v>
      </c>
      <c r="N567" s="36" t="s">
        <v>55</v>
      </c>
      <c r="O567" s="36" t="s">
        <v>744</v>
      </c>
    </row>
    <row r="568" spans="11:15">
      <c r="K568" s="36" t="s">
        <v>559</v>
      </c>
      <c r="L568" s="36" t="s">
        <v>54</v>
      </c>
      <c r="M568" s="36" t="s">
        <v>741</v>
      </c>
      <c r="N568" s="36" t="s">
        <v>55</v>
      </c>
      <c r="O568" s="36" t="s">
        <v>745</v>
      </c>
    </row>
    <row r="569" spans="11:15">
      <c r="K569" s="36" t="s">
        <v>559</v>
      </c>
      <c r="L569" s="36" t="s">
        <v>54</v>
      </c>
      <c r="M569" s="36" t="s">
        <v>741</v>
      </c>
      <c r="N569" s="36" t="s">
        <v>55</v>
      </c>
      <c r="O569" s="36" t="s">
        <v>746</v>
      </c>
    </row>
    <row r="570" spans="11:15">
      <c r="K570" s="36" t="s">
        <v>559</v>
      </c>
      <c r="L570" s="36" t="s">
        <v>54</v>
      </c>
      <c r="M570" s="36" t="s">
        <v>741</v>
      </c>
      <c r="N570" s="36" t="s">
        <v>55</v>
      </c>
      <c r="O570" s="36" t="s">
        <v>747</v>
      </c>
    </row>
    <row r="571" spans="11:15">
      <c r="K571" s="36" t="s">
        <v>559</v>
      </c>
      <c r="L571" s="36" t="s">
        <v>54</v>
      </c>
      <c r="M571" s="36" t="s">
        <v>741</v>
      </c>
      <c r="N571" s="36" t="s">
        <v>55</v>
      </c>
      <c r="O571" s="36" t="s">
        <v>748</v>
      </c>
    </row>
    <row r="572" spans="11:15">
      <c r="K572" s="36" t="s">
        <v>559</v>
      </c>
      <c r="L572" s="36" t="s">
        <v>54</v>
      </c>
      <c r="M572" s="36" t="s">
        <v>741</v>
      </c>
      <c r="N572" s="36" t="s">
        <v>55</v>
      </c>
      <c r="O572" s="36" t="s">
        <v>749</v>
      </c>
    </row>
    <row r="573" spans="11:15">
      <c r="K573" s="36" t="s">
        <v>559</v>
      </c>
      <c r="L573" s="36" t="s">
        <v>54</v>
      </c>
      <c r="M573" s="36" t="s">
        <v>741</v>
      </c>
      <c r="N573" s="36" t="s">
        <v>55</v>
      </c>
      <c r="O573" s="36" t="s">
        <v>750</v>
      </c>
    </row>
    <row r="574" spans="11:15">
      <c r="K574" s="36" t="s">
        <v>559</v>
      </c>
      <c r="L574" s="36" t="s">
        <v>54</v>
      </c>
      <c r="M574" s="36" t="s">
        <v>741</v>
      </c>
      <c r="N574" s="36" t="s">
        <v>55</v>
      </c>
      <c r="O574" s="36" t="s">
        <v>751</v>
      </c>
    </row>
    <row r="575" spans="11:15">
      <c r="K575" s="36" t="s">
        <v>559</v>
      </c>
      <c r="L575" s="36" t="s">
        <v>54</v>
      </c>
      <c r="M575" s="36" t="s">
        <v>741</v>
      </c>
      <c r="N575" s="36" t="s">
        <v>55</v>
      </c>
      <c r="O575" s="36" t="s">
        <v>752</v>
      </c>
    </row>
    <row r="576" spans="11:15">
      <c r="K576" s="36" t="s">
        <v>559</v>
      </c>
      <c r="L576" s="36" t="s">
        <v>54</v>
      </c>
      <c r="M576" s="36" t="s">
        <v>741</v>
      </c>
      <c r="N576" s="36" t="s">
        <v>55</v>
      </c>
      <c r="O576" s="36" t="s">
        <v>753</v>
      </c>
    </row>
    <row r="577" spans="11:15">
      <c r="K577" s="36" t="s">
        <v>559</v>
      </c>
      <c r="L577" s="36" t="s">
        <v>54</v>
      </c>
      <c r="M577" s="36" t="s">
        <v>741</v>
      </c>
      <c r="N577" s="36" t="s">
        <v>55</v>
      </c>
      <c r="O577" s="36" t="s">
        <v>754</v>
      </c>
    </row>
    <row r="578" spans="11:15">
      <c r="K578" s="36" t="s">
        <v>559</v>
      </c>
      <c r="L578" s="36" t="s">
        <v>54</v>
      </c>
      <c r="M578" s="36" t="s">
        <v>741</v>
      </c>
      <c r="N578" s="36" t="s">
        <v>55</v>
      </c>
      <c r="O578" s="36" t="s">
        <v>755</v>
      </c>
    </row>
    <row r="579" spans="11:15">
      <c r="K579" s="36" t="s">
        <v>559</v>
      </c>
      <c r="L579" s="36" t="s">
        <v>54</v>
      </c>
      <c r="M579" s="36" t="s">
        <v>741</v>
      </c>
      <c r="N579" s="36" t="s">
        <v>55</v>
      </c>
      <c r="O579" s="36" t="s">
        <v>756</v>
      </c>
    </row>
    <row r="580" spans="11:15">
      <c r="K580" s="36" t="s">
        <v>559</v>
      </c>
      <c r="L580" s="36" t="s">
        <v>54</v>
      </c>
      <c r="M580" s="36" t="s">
        <v>60</v>
      </c>
      <c r="N580" s="36" t="s">
        <v>55</v>
      </c>
      <c r="O580" s="36" t="s">
        <v>757</v>
      </c>
    </row>
    <row r="581" spans="11:15">
      <c r="K581" s="36" t="s">
        <v>559</v>
      </c>
      <c r="L581" s="36" t="s">
        <v>54</v>
      </c>
      <c r="M581" s="36" t="s">
        <v>60</v>
      </c>
      <c r="N581" s="36" t="s">
        <v>55</v>
      </c>
      <c r="O581" s="36" t="s">
        <v>758</v>
      </c>
    </row>
    <row r="582" spans="11:15">
      <c r="K582" s="36" t="s">
        <v>559</v>
      </c>
      <c r="L582" s="36" t="s">
        <v>54</v>
      </c>
      <c r="M582" s="36" t="s">
        <v>60</v>
      </c>
      <c r="N582" s="36" t="s">
        <v>55</v>
      </c>
      <c r="O582" s="36" t="s">
        <v>759</v>
      </c>
    </row>
    <row r="583" spans="11:15">
      <c r="K583" s="36" t="s">
        <v>559</v>
      </c>
      <c r="L583" s="36" t="s">
        <v>54</v>
      </c>
      <c r="M583" s="36" t="s">
        <v>60</v>
      </c>
      <c r="N583" s="36" t="s">
        <v>55</v>
      </c>
      <c r="O583" s="36" t="s">
        <v>760</v>
      </c>
    </row>
    <row r="584" spans="11:15">
      <c r="K584" s="36" t="s">
        <v>559</v>
      </c>
      <c r="L584" s="36" t="s">
        <v>54</v>
      </c>
      <c r="M584" s="36" t="s">
        <v>60</v>
      </c>
      <c r="N584" s="36" t="s">
        <v>55</v>
      </c>
      <c r="O584" s="36" t="s">
        <v>761</v>
      </c>
    </row>
    <row r="585" spans="11:15">
      <c r="K585" s="36" t="s">
        <v>559</v>
      </c>
      <c r="L585" s="36" t="s">
        <v>54</v>
      </c>
      <c r="M585" s="36" t="s">
        <v>60</v>
      </c>
      <c r="N585" s="36" t="s">
        <v>55</v>
      </c>
      <c r="O585" s="36" t="s">
        <v>762</v>
      </c>
    </row>
    <row r="586" spans="11:15">
      <c r="K586" s="36" t="s">
        <v>559</v>
      </c>
      <c r="L586" s="36" t="s">
        <v>54</v>
      </c>
      <c r="M586" s="36" t="s">
        <v>60</v>
      </c>
      <c r="N586" s="36" t="s">
        <v>55</v>
      </c>
      <c r="O586" s="36" t="s">
        <v>763</v>
      </c>
    </row>
    <row r="587" spans="11:15">
      <c r="K587" s="36" t="s">
        <v>559</v>
      </c>
      <c r="L587" s="36" t="s">
        <v>54</v>
      </c>
      <c r="M587" s="36" t="s">
        <v>60</v>
      </c>
      <c r="N587" s="36" t="s">
        <v>62</v>
      </c>
      <c r="O587" s="36" t="s">
        <v>764</v>
      </c>
    </row>
    <row r="588" spans="11:15">
      <c r="K588" s="36" t="s">
        <v>559</v>
      </c>
      <c r="L588" s="36" t="s">
        <v>54</v>
      </c>
      <c r="M588" s="36" t="s">
        <v>60</v>
      </c>
      <c r="N588" s="36" t="s">
        <v>62</v>
      </c>
      <c r="O588" s="36" t="s">
        <v>765</v>
      </c>
    </row>
    <row r="589" spans="11:15">
      <c r="K589" s="36" t="s">
        <v>559</v>
      </c>
      <c r="L589" s="36" t="s">
        <v>54</v>
      </c>
      <c r="M589" s="36" t="s">
        <v>60</v>
      </c>
      <c r="N589" s="36" t="s">
        <v>62</v>
      </c>
      <c r="O589" s="36" t="s">
        <v>766</v>
      </c>
    </row>
    <row r="590" spans="11:15">
      <c r="K590" s="36" t="s">
        <v>559</v>
      </c>
      <c r="L590" s="36" t="s">
        <v>54</v>
      </c>
      <c r="M590" s="36" t="s">
        <v>60</v>
      </c>
      <c r="N590" s="36" t="s">
        <v>62</v>
      </c>
      <c r="O590" s="36" t="s">
        <v>767</v>
      </c>
    </row>
    <row r="591" spans="11:15">
      <c r="K591" s="36" t="s">
        <v>559</v>
      </c>
      <c r="L591" s="36" t="s">
        <v>54</v>
      </c>
      <c r="M591" s="36" t="s">
        <v>60</v>
      </c>
      <c r="N591" s="36" t="s">
        <v>62</v>
      </c>
      <c r="O591" s="36" t="s">
        <v>768</v>
      </c>
    </row>
    <row r="592" spans="11:15">
      <c r="K592" s="36" t="s">
        <v>559</v>
      </c>
      <c r="L592" s="36" t="s">
        <v>54</v>
      </c>
      <c r="M592" s="36" t="s">
        <v>60</v>
      </c>
      <c r="N592" s="36" t="s">
        <v>62</v>
      </c>
      <c r="O592" s="36" t="s">
        <v>769</v>
      </c>
    </row>
    <row r="593" spans="11:15">
      <c r="K593" s="36" t="s">
        <v>559</v>
      </c>
      <c r="L593" s="36" t="s">
        <v>556</v>
      </c>
      <c r="M593" s="36" t="s">
        <v>770</v>
      </c>
      <c r="N593" s="36" t="s">
        <v>55</v>
      </c>
      <c r="O593" s="36" t="s">
        <v>771</v>
      </c>
    </row>
    <row r="594" spans="11:15">
      <c r="K594" s="36" t="s">
        <v>559</v>
      </c>
      <c r="L594" s="36" t="s">
        <v>556</v>
      </c>
      <c r="M594" s="36" t="s">
        <v>770</v>
      </c>
      <c r="N594" s="36" t="s">
        <v>55</v>
      </c>
      <c r="O594" s="36" t="s">
        <v>772</v>
      </c>
    </row>
    <row r="595" spans="11:15">
      <c r="K595" s="36" t="s">
        <v>559</v>
      </c>
      <c r="L595" s="36" t="s">
        <v>556</v>
      </c>
      <c r="M595" s="36" t="s">
        <v>770</v>
      </c>
      <c r="N595" s="36" t="s">
        <v>55</v>
      </c>
      <c r="O595" s="36" t="s">
        <v>773</v>
      </c>
    </row>
    <row r="596" spans="11:15">
      <c r="K596" s="36" t="s">
        <v>559</v>
      </c>
      <c r="L596" s="36" t="s">
        <v>556</v>
      </c>
      <c r="M596" s="36" t="s">
        <v>770</v>
      </c>
      <c r="N596" s="36" t="s">
        <v>55</v>
      </c>
      <c r="O596" s="36" t="s">
        <v>774</v>
      </c>
    </row>
    <row r="597" spans="11:15">
      <c r="K597" s="36" t="s">
        <v>559</v>
      </c>
      <c r="L597" s="36" t="s">
        <v>556</v>
      </c>
      <c r="M597" s="36" t="s">
        <v>770</v>
      </c>
      <c r="N597" s="36" t="s">
        <v>55</v>
      </c>
      <c r="O597" s="36" t="s">
        <v>775</v>
      </c>
    </row>
    <row r="598" spans="11:15">
      <c r="K598" s="36" t="s">
        <v>559</v>
      </c>
      <c r="L598" s="36" t="s">
        <v>556</v>
      </c>
      <c r="M598" s="36" t="s">
        <v>770</v>
      </c>
      <c r="N598" s="36" t="s">
        <v>55</v>
      </c>
      <c r="O598" s="36" t="s">
        <v>776</v>
      </c>
    </row>
    <row r="599" spans="11:15">
      <c r="K599" s="36" t="s">
        <v>559</v>
      </c>
      <c r="L599" s="36" t="s">
        <v>556</v>
      </c>
      <c r="M599" s="36" t="s">
        <v>770</v>
      </c>
      <c r="N599" s="36" t="s">
        <v>55</v>
      </c>
      <c r="O599" s="36" t="s">
        <v>777</v>
      </c>
    </row>
    <row r="600" spans="11:15">
      <c r="K600" s="36" t="s">
        <v>559</v>
      </c>
      <c r="L600" s="36" t="s">
        <v>556</v>
      </c>
      <c r="M600" s="36" t="s">
        <v>770</v>
      </c>
      <c r="N600" s="36" t="s">
        <v>55</v>
      </c>
      <c r="O600" s="36" t="s">
        <v>778</v>
      </c>
    </row>
    <row r="601" spans="11:15">
      <c r="K601" s="36" t="s">
        <v>559</v>
      </c>
      <c r="L601" s="36" t="s">
        <v>556</v>
      </c>
      <c r="M601" s="36" t="s">
        <v>770</v>
      </c>
      <c r="N601" s="36" t="s">
        <v>55</v>
      </c>
      <c r="O601" s="36" t="s">
        <v>779</v>
      </c>
    </row>
    <row r="602" spans="11:15">
      <c r="K602" s="36" t="s">
        <v>559</v>
      </c>
      <c r="L602" s="36" t="s">
        <v>556</v>
      </c>
      <c r="M602" s="36" t="s">
        <v>770</v>
      </c>
      <c r="N602" s="36" t="s">
        <v>55</v>
      </c>
      <c r="O602" s="36" t="s">
        <v>780</v>
      </c>
    </row>
    <row r="603" spans="11:15">
      <c r="K603" s="36" t="s">
        <v>559</v>
      </c>
      <c r="L603" s="36" t="s">
        <v>556</v>
      </c>
      <c r="M603" s="36" t="s">
        <v>770</v>
      </c>
      <c r="N603" s="36" t="s">
        <v>55</v>
      </c>
      <c r="O603" s="36" t="s">
        <v>781</v>
      </c>
    </row>
    <row r="604" spans="11:15">
      <c r="K604" s="36" t="s">
        <v>559</v>
      </c>
      <c r="L604" s="36" t="s">
        <v>556</v>
      </c>
      <c r="M604" s="36" t="s">
        <v>770</v>
      </c>
      <c r="N604" s="36" t="s">
        <v>55</v>
      </c>
      <c r="O604" s="36" t="s">
        <v>782</v>
      </c>
    </row>
    <row r="605" spans="11:15">
      <c r="K605" s="36" t="s">
        <v>559</v>
      </c>
      <c r="L605" s="36" t="s">
        <v>556</v>
      </c>
      <c r="M605" s="36" t="s">
        <v>770</v>
      </c>
      <c r="N605" s="36" t="s">
        <v>55</v>
      </c>
      <c r="O605" s="36" t="s">
        <v>783</v>
      </c>
    </row>
    <row r="606" spans="11:15">
      <c r="K606" s="36" t="s">
        <v>559</v>
      </c>
      <c r="L606" s="36" t="s">
        <v>556</v>
      </c>
      <c r="M606" s="36" t="s">
        <v>770</v>
      </c>
      <c r="N606" s="36" t="s">
        <v>55</v>
      </c>
      <c r="O606" s="36" t="s">
        <v>784</v>
      </c>
    </row>
    <row r="607" spans="11:15">
      <c r="K607" s="36" t="s">
        <v>559</v>
      </c>
      <c r="L607" s="36" t="s">
        <v>556</v>
      </c>
      <c r="M607" s="36" t="s">
        <v>770</v>
      </c>
      <c r="N607" s="36" t="s">
        <v>55</v>
      </c>
      <c r="O607" s="36" t="s">
        <v>785</v>
      </c>
    </row>
    <row r="608" spans="11:15">
      <c r="K608" s="36" t="s">
        <v>559</v>
      </c>
      <c r="L608" s="36" t="s">
        <v>556</v>
      </c>
      <c r="M608" s="36" t="s">
        <v>770</v>
      </c>
      <c r="N608" s="36" t="s">
        <v>55</v>
      </c>
      <c r="O608" s="36" t="s">
        <v>786</v>
      </c>
    </row>
    <row r="609" spans="11:15">
      <c r="K609" s="36" t="s">
        <v>559</v>
      </c>
      <c r="L609" s="36" t="s">
        <v>556</v>
      </c>
      <c r="M609" s="36" t="s">
        <v>770</v>
      </c>
      <c r="N609" s="36" t="s">
        <v>55</v>
      </c>
      <c r="O609" s="36" t="s">
        <v>787</v>
      </c>
    </row>
    <row r="610" spans="11:15">
      <c r="K610" s="36" t="s">
        <v>559</v>
      </c>
      <c r="L610" s="36" t="s">
        <v>556</v>
      </c>
      <c r="M610" s="36" t="s">
        <v>770</v>
      </c>
      <c r="N610" s="36" t="s">
        <v>55</v>
      </c>
      <c r="O610" s="36" t="s">
        <v>788</v>
      </c>
    </row>
    <row r="611" spans="11:15">
      <c r="K611" s="36" t="s">
        <v>559</v>
      </c>
      <c r="L611" s="36" t="s">
        <v>556</v>
      </c>
      <c r="M611" s="36" t="s">
        <v>770</v>
      </c>
      <c r="N611" s="36" t="s">
        <v>55</v>
      </c>
      <c r="O611" s="36" t="s">
        <v>789</v>
      </c>
    </row>
    <row r="612" spans="11:15">
      <c r="K612" s="36" t="s">
        <v>559</v>
      </c>
      <c r="L612" s="36" t="s">
        <v>556</v>
      </c>
      <c r="M612" s="36" t="s">
        <v>770</v>
      </c>
      <c r="N612" s="36" t="s">
        <v>55</v>
      </c>
      <c r="O612" s="36" t="s">
        <v>790</v>
      </c>
    </row>
    <row r="613" spans="11:15">
      <c r="K613" s="36" t="s">
        <v>559</v>
      </c>
      <c r="L613" s="36" t="s">
        <v>556</v>
      </c>
      <c r="M613" s="36" t="s">
        <v>770</v>
      </c>
      <c r="N613" s="36" t="s">
        <v>55</v>
      </c>
      <c r="O613" s="36" t="s">
        <v>791</v>
      </c>
    </row>
    <row r="614" spans="11:15">
      <c r="K614" s="36" t="s">
        <v>559</v>
      </c>
      <c r="L614" s="36" t="s">
        <v>556</v>
      </c>
      <c r="M614" s="36" t="s">
        <v>770</v>
      </c>
      <c r="N614" s="36" t="s">
        <v>55</v>
      </c>
      <c r="O614" s="36" t="s">
        <v>792</v>
      </c>
    </row>
    <row r="615" spans="11:15">
      <c r="K615" s="36" t="s">
        <v>559</v>
      </c>
      <c r="L615" s="36" t="s">
        <v>556</v>
      </c>
      <c r="M615" s="36" t="s">
        <v>770</v>
      </c>
      <c r="N615" s="36" t="s">
        <v>55</v>
      </c>
      <c r="O615" s="36" t="s">
        <v>793</v>
      </c>
    </row>
    <row r="616" spans="11:15">
      <c r="K616" s="36" t="s">
        <v>559</v>
      </c>
      <c r="L616" s="36" t="s">
        <v>556</v>
      </c>
      <c r="M616" s="36" t="s">
        <v>770</v>
      </c>
      <c r="N616" s="36" t="s">
        <v>55</v>
      </c>
      <c r="O616" s="36" t="s">
        <v>794</v>
      </c>
    </row>
    <row r="617" spans="11:15">
      <c r="K617" s="36" t="s">
        <v>559</v>
      </c>
      <c r="L617" s="36" t="s">
        <v>556</v>
      </c>
      <c r="M617" s="36" t="s">
        <v>770</v>
      </c>
      <c r="N617" s="36" t="s">
        <v>55</v>
      </c>
      <c r="O617" s="36" t="s">
        <v>795</v>
      </c>
    </row>
    <row r="618" spans="11:15">
      <c r="K618" s="36" t="s">
        <v>559</v>
      </c>
      <c r="L618" s="36" t="s">
        <v>556</v>
      </c>
      <c r="M618" s="36" t="s">
        <v>770</v>
      </c>
      <c r="N618" s="36" t="s">
        <v>55</v>
      </c>
      <c r="O618" s="36" t="s">
        <v>796</v>
      </c>
    </row>
    <row r="619" spans="11:15">
      <c r="K619" s="36" t="s">
        <v>559</v>
      </c>
      <c r="L619" s="36" t="s">
        <v>556</v>
      </c>
      <c r="M619" s="36" t="s">
        <v>770</v>
      </c>
      <c r="N619" s="36" t="s">
        <v>55</v>
      </c>
      <c r="O619" s="36" t="s">
        <v>797</v>
      </c>
    </row>
    <row r="620" spans="11:15">
      <c r="K620" s="36" t="s">
        <v>559</v>
      </c>
      <c r="L620" s="36" t="s">
        <v>556</v>
      </c>
      <c r="M620" s="36" t="s">
        <v>798</v>
      </c>
      <c r="N620" s="36" t="s">
        <v>55</v>
      </c>
      <c r="O620" s="36" t="s">
        <v>799</v>
      </c>
    </row>
    <row r="621" spans="11:15">
      <c r="K621" s="36" t="s">
        <v>559</v>
      </c>
      <c r="L621" s="36" t="s">
        <v>556</v>
      </c>
      <c r="M621" s="36" t="s">
        <v>798</v>
      </c>
      <c r="N621" s="36" t="s">
        <v>55</v>
      </c>
      <c r="O621" s="36" t="s">
        <v>800</v>
      </c>
    </row>
    <row r="622" spans="11:15">
      <c r="K622" s="36" t="s">
        <v>559</v>
      </c>
      <c r="L622" s="36" t="s">
        <v>556</v>
      </c>
      <c r="M622" s="36" t="s">
        <v>798</v>
      </c>
      <c r="N622" s="36" t="s">
        <v>55</v>
      </c>
      <c r="O622" s="36" t="s">
        <v>801</v>
      </c>
    </row>
    <row r="623" spans="11:15">
      <c r="K623" s="36" t="s">
        <v>559</v>
      </c>
      <c r="L623" s="36" t="s">
        <v>556</v>
      </c>
      <c r="M623" s="36" t="s">
        <v>798</v>
      </c>
      <c r="N623" s="36" t="s">
        <v>55</v>
      </c>
      <c r="O623" s="36" t="s">
        <v>802</v>
      </c>
    </row>
    <row r="624" spans="11:15">
      <c r="K624" s="36" t="s">
        <v>559</v>
      </c>
      <c r="L624" s="36" t="s">
        <v>556</v>
      </c>
      <c r="M624" s="36" t="s">
        <v>798</v>
      </c>
      <c r="N624" s="36" t="s">
        <v>55</v>
      </c>
      <c r="O624" s="36" t="s">
        <v>803</v>
      </c>
    </row>
    <row r="625" spans="11:15">
      <c r="K625" s="36" t="s">
        <v>804</v>
      </c>
      <c r="L625" s="36" t="s">
        <v>133</v>
      </c>
      <c r="M625" s="36" t="s">
        <v>805</v>
      </c>
      <c r="N625" s="36" t="s">
        <v>55</v>
      </c>
      <c r="O625" s="36" t="s">
        <v>806</v>
      </c>
    </row>
    <row r="626" spans="11:15">
      <c r="K626" s="36" t="s">
        <v>804</v>
      </c>
      <c r="L626" s="36" t="s">
        <v>133</v>
      </c>
      <c r="M626" s="36" t="s">
        <v>805</v>
      </c>
      <c r="N626" s="36" t="s">
        <v>55</v>
      </c>
      <c r="O626" s="36" t="s">
        <v>807</v>
      </c>
    </row>
    <row r="627" spans="11:15">
      <c r="K627" s="36" t="s">
        <v>804</v>
      </c>
      <c r="L627" s="36" t="s">
        <v>133</v>
      </c>
      <c r="M627" s="36" t="s">
        <v>805</v>
      </c>
      <c r="N627" s="36" t="s">
        <v>55</v>
      </c>
      <c r="O627" s="36" t="s">
        <v>808</v>
      </c>
    </row>
    <row r="628" spans="11:15">
      <c r="K628" s="36" t="s">
        <v>804</v>
      </c>
      <c r="L628" s="36" t="s">
        <v>133</v>
      </c>
      <c r="M628" s="36" t="s">
        <v>805</v>
      </c>
      <c r="N628" s="36" t="s">
        <v>55</v>
      </c>
      <c r="O628" s="36" t="s">
        <v>809</v>
      </c>
    </row>
    <row r="629" spans="11:15">
      <c r="K629" s="36" t="s">
        <v>804</v>
      </c>
      <c r="L629" s="36" t="s">
        <v>133</v>
      </c>
      <c r="M629" s="36" t="s">
        <v>805</v>
      </c>
      <c r="N629" s="36" t="s">
        <v>55</v>
      </c>
      <c r="O629" s="36" t="s">
        <v>810</v>
      </c>
    </row>
    <row r="630" spans="11:15">
      <c r="K630" s="36" t="s">
        <v>804</v>
      </c>
      <c r="L630" s="36" t="s">
        <v>133</v>
      </c>
      <c r="M630" s="36" t="s">
        <v>805</v>
      </c>
      <c r="N630" s="36" t="s">
        <v>55</v>
      </c>
      <c r="O630" s="36" t="s">
        <v>811</v>
      </c>
    </row>
    <row r="631" spans="11:15">
      <c r="K631" s="36" t="s">
        <v>804</v>
      </c>
      <c r="L631" s="36" t="s">
        <v>133</v>
      </c>
      <c r="M631" s="36" t="s">
        <v>805</v>
      </c>
      <c r="N631" s="36" t="s">
        <v>55</v>
      </c>
      <c r="O631" s="36" t="s">
        <v>812</v>
      </c>
    </row>
    <row r="632" spans="11:15">
      <c r="K632" s="36" t="s">
        <v>804</v>
      </c>
      <c r="L632" s="36" t="s">
        <v>133</v>
      </c>
      <c r="M632" s="36" t="s">
        <v>805</v>
      </c>
      <c r="N632" s="36" t="s">
        <v>55</v>
      </c>
      <c r="O632" s="36" t="s">
        <v>813</v>
      </c>
    </row>
    <row r="633" spans="11:15">
      <c r="K633" s="36" t="s">
        <v>804</v>
      </c>
      <c r="L633" s="36" t="s">
        <v>133</v>
      </c>
      <c r="M633" s="36" t="s">
        <v>805</v>
      </c>
      <c r="N633" s="36" t="s">
        <v>55</v>
      </c>
      <c r="O633" s="36" t="s">
        <v>814</v>
      </c>
    </row>
    <row r="634" spans="11:15">
      <c r="K634" s="36" t="s">
        <v>804</v>
      </c>
      <c r="L634" s="36" t="s">
        <v>133</v>
      </c>
      <c r="M634" s="36" t="s">
        <v>805</v>
      </c>
      <c r="N634" s="36" t="s">
        <v>62</v>
      </c>
      <c r="O634" s="36" t="s">
        <v>815</v>
      </c>
    </row>
    <row r="635" spans="11:15">
      <c r="K635" s="36" t="s">
        <v>804</v>
      </c>
      <c r="L635" s="36" t="s">
        <v>133</v>
      </c>
      <c r="M635" s="36" t="s">
        <v>805</v>
      </c>
      <c r="N635" s="36" t="s">
        <v>62</v>
      </c>
      <c r="O635" s="36" t="s">
        <v>816</v>
      </c>
    </row>
    <row r="636" spans="11:15">
      <c r="K636" s="36" t="s">
        <v>804</v>
      </c>
      <c r="L636" s="36" t="s">
        <v>133</v>
      </c>
      <c r="M636" s="36" t="s">
        <v>805</v>
      </c>
      <c r="N636" s="36" t="s">
        <v>62</v>
      </c>
      <c r="O636" s="36" t="s">
        <v>817</v>
      </c>
    </row>
    <row r="637" spans="11:15">
      <c r="K637" s="36" t="s">
        <v>804</v>
      </c>
      <c r="L637" s="36" t="s">
        <v>133</v>
      </c>
      <c r="M637" s="36" t="s">
        <v>805</v>
      </c>
      <c r="N637" s="36" t="s">
        <v>62</v>
      </c>
      <c r="O637" s="36" t="s">
        <v>818</v>
      </c>
    </row>
    <row r="638" spans="11:15">
      <c r="K638" s="36" t="s">
        <v>804</v>
      </c>
      <c r="L638" s="36" t="s">
        <v>133</v>
      </c>
      <c r="M638" s="36" t="s">
        <v>805</v>
      </c>
      <c r="N638" s="36" t="s">
        <v>62</v>
      </c>
      <c r="O638" s="36" t="s">
        <v>819</v>
      </c>
    </row>
    <row r="639" spans="11:15">
      <c r="K639" s="36" t="s">
        <v>804</v>
      </c>
      <c r="L639" s="36" t="s">
        <v>133</v>
      </c>
      <c r="M639" s="36" t="s">
        <v>805</v>
      </c>
      <c r="N639" s="36" t="s">
        <v>62</v>
      </c>
      <c r="O639" s="36" t="s">
        <v>820</v>
      </c>
    </row>
    <row r="640" spans="11:15">
      <c r="K640" s="36" t="s">
        <v>804</v>
      </c>
      <c r="L640" s="36" t="s">
        <v>133</v>
      </c>
      <c r="M640" s="36" t="s">
        <v>805</v>
      </c>
      <c r="N640" s="36" t="s">
        <v>62</v>
      </c>
      <c r="O640" s="36" t="s">
        <v>821</v>
      </c>
    </row>
    <row r="641" spans="11:15">
      <c r="K641" s="36" t="s">
        <v>804</v>
      </c>
      <c r="L641" s="36" t="s">
        <v>133</v>
      </c>
      <c r="M641" s="36" t="s">
        <v>805</v>
      </c>
      <c r="N641" s="36" t="s">
        <v>62</v>
      </c>
      <c r="O641" s="36" t="s">
        <v>822</v>
      </c>
    </row>
    <row r="642" spans="11:15">
      <c r="K642" s="36" t="s">
        <v>804</v>
      </c>
      <c r="L642" s="36" t="s">
        <v>133</v>
      </c>
      <c r="M642" s="36" t="s">
        <v>805</v>
      </c>
      <c r="N642" s="36" t="s">
        <v>62</v>
      </c>
      <c r="O642" s="36" t="s">
        <v>823</v>
      </c>
    </row>
    <row r="643" spans="11:15">
      <c r="K643" s="36" t="s">
        <v>804</v>
      </c>
      <c r="L643" s="36" t="s">
        <v>133</v>
      </c>
      <c r="M643" s="36" t="s">
        <v>805</v>
      </c>
      <c r="N643" s="36" t="s">
        <v>62</v>
      </c>
      <c r="O643" s="36" t="s">
        <v>824</v>
      </c>
    </row>
    <row r="644" spans="11:15">
      <c r="K644" s="36" t="s">
        <v>804</v>
      </c>
      <c r="L644" s="36" t="s">
        <v>133</v>
      </c>
      <c r="M644" s="36" t="s">
        <v>805</v>
      </c>
      <c r="N644" s="36" t="s">
        <v>62</v>
      </c>
      <c r="O644" s="36" t="s">
        <v>825</v>
      </c>
    </row>
    <row r="645" spans="11:15">
      <c r="K645" s="36" t="s">
        <v>804</v>
      </c>
      <c r="L645" s="36" t="s">
        <v>133</v>
      </c>
      <c r="M645" s="36" t="s">
        <v>805</v>
      </c>
      <c r="N645" s="36" t="s">
        <v>62</v>
      </c>
      <c r="O645" s="36" t="s">
        <v>826</v>
      </c>
    </row>
    <row r="646" spans="11:15">
      <c r="K646" s="36" t="s">
        <v>804</v>
      </c>
      <c r="L646" s="36" t="s">
        <v>133</v>
      </c>
      <c r="M646" s="36" t="s">
        <v>805</v>
      </c>
      <c r="N646" s="36" t="s">
        <v>62</v>
      </c>
      <c r="O646" s="36" t="s">
        <v>827</v>
      </c>
    </row>
    <row r="647" spans="11:15">
      <c r="K647" s="36" t="s">
        <v>804</v>
      </c>
      <c r="L647" s="36" t="s">
        <v>133</v>
      </c>
      <c r="M647" s="36" t="s">
        <v>805</v>
      </c>
      <c r="N647" s="36" t="s">
        <v>62</v>
      </c>
      <c r="O647" s="36" t="s">
        <v>828</v>
      </c>
    </row>
    <row r="648" spans="11:15">
      <c r="K648" s="36" t="s">
        <v>804</v>
      </c>
      <c r="L648" s="36" t="s">
        <v>133</v>
      </c>
      <c r="M648" s="36" t="s">
        <v>805</v>
      </c>
      <c r="N648" s="36" t="s">
        <v>62</v>
      </c>
      <c r="O648" s="36" t="s">
        <v>829</v>
      </c>
    </row>
    <row r="649" spans="11:15">
      <c r="K649" s="36" t="s">
        <v>804</v>
      </c>
      <c r="L649" s="36" t="s">
        <v>133</v>
      </c>
      <c r="M649" s="36" t="s">
        <v>830</v>
      </c>
      <c r="N649" s="36" t="s">
        <v>55</v>
      </c>
      <c r="O649" s="36" t="s">
        <v>831</v>
      </c>
    </row>
    <row r="650" spans="11:15">
      <c r="K650" s="36" t="s">
        <v>804</v>
      </c>
      <c r="L650" s="36" t="s">
        <v>133</v>
      </c>
      <c r="M650" s="36" t="s">
        <v>830</v>
      </c>
      <c r="N650" s="36" t="s">
        <v>55</v>
      </c>
      <c r="O650" s="36" t="s">
        <v>832</v>
      </c>
    </row>
    <row r="651" spans="11:15">
      <c r="K651" s="36" t="s">
        <v>804</v>
      </c>
      <c r="L651" s="36" t="s">
        <v>133</v>
      </c>
      <c r="M651" s="36" t="s">
        <v>830</v>
      </c>
      <c r="N651" s="36" t="s">
        <v>55</v>
      </c>
      <c r="O651" s="36" t="s">
        <v>833</v>
      </c>
    </row>
    <row r="652" spans="11:15">
      <c r="K652" s="36" t="s">
        <v>804</v>
      </c>
      <c r="L652" s="36" t="s">
        <v>133</v>
      </c>
      <c r="M652" s="36" t="s">
        <v>830</v>
      </c>
      <c r="N652" s="36" t="s">
        <v>55</v>
      </c>
      <c r="O652" s="36" t="s">
        <v>834</v>
      </c>
    </row>
    <row r="653" spans="11:15">
      <c r="K653" s="36" t="s">
        <v>804</v>
      </c>
      <c r="L653" s="36" t="s">
        <v>133</v>
      </c>
      <c r="M653" s="36" t="s">
        <v>830</v>
      </c>
      <c r="N653" s="36" t="s">
        <v>55</v>
      </c>
      <c r="O653" s="36" t="s">
        <v>835</v>
      </c>
    </row>
    <row r="654" spans="11:15">
      <c r="K654" s="36" t="s">
        <v>804</v>
      </c>
      <c r="L654" s="36" t="s">
        <v>133</v>
      </c>
      <c r="M654" s="36" t="s">
        <v>830</v>
      </c>
      <c r="N654" s="36" t="s">
        <v>55</v>
      </c>
      <c r="O654" s="36" t="s">
        <v>836</v>
      </c>
    </row>
    <row r="655" spans="11:15">
      <c r="K655" s="36" t="s">
        <v>804</v>
      </c>
      <c r="L655" s="36" t="s">
        <v>133</v>
      </c>
      <c r="M655" s="36" t="s">
        <v>830</v>
      </c>
      <c r="N655" s="36" t="s">
        <v>55</v>
      </c>
      <c r="O655" s="36" t="s">
        <v>837</v>
      </c>
    </row>
    <row r="656" spans="11:15">
      <c r="K656" s="36" t="s">
        <v>804</v>
      </c>
      <c r="L656" s="36" t="s">
        <v>133</v>
      </c>
      <c r="M656" s="36" t="s">
        <v>830</v>
      </c>
      <c r="N656" s="36" t="s">
        <v>55</v>
      </c>
      <c r="O656" s="36" t="s">
        <v>838</v>
      </c>
    </row>
    <row r="657" spans="11:15">
      <c r="K657" s="36" t="s">
        <v>804</v>
      </c>
      <c r="L657" s="36" t="s">
        <v>133</v>
      </c>
      <c r="M657" s="36" t="s">
        <v>830</v>
      </c>
      <c r="N657" s="36" t="s">
        <v>55</v>
      </c>
      <c r="O657" s="36" t="s">
        <v>839</v>
      </c>
    </row>
    <row r="658" spans="11:15">
      <c r="K658" s="36" t="s">
        <v>804</v>
      </c>
      <c r="L658" s="36" t="s">
        <v>133</v>
      </c>
      <c r="M658" s="36" t="s">
        <v>830</v>
      </c>
      <c r="N658" s="36" t="s">
        <v>55</v>
      </c>
      <c r="O658" s="36" t="s">
        <v>840</v>
      </c>
    </row>
    <row r="659" spans="11:15">
      <c r="K659" s="36" t="s">
        <v>804</v>
      </c>
      <c r="L659" s="36" t="s">
        <v>133</v>
      </c>
      <c r="M659" s="36" t="s">
        <v>830</v>
      </c>
      <c r="N659" s="36" t="s">
        <v>55</v>
      </c>
      <c r="O659" s="36" t="s">
        <v>841</v>
      </c>
    </row>
    <row r="660" spans="11:15">
      <c r="K660" s="36" t="s">
        <v>804</v>
      </c>
      <c r="L660" s="36" t="s">
        <v>133</v>
      </c>
      <c r="M660" s="36" t="s">
        <v>830</v>
      </c>
      <c r="N660" s="36" t="s">
        <v>55</v>
      </c>
      <c r="O660" s="36" t="s">
        <v>842</v>
      </c>
    </row>
    <row r="661" spans="11:15">
      <c r="K661" s="36" t="s">
        <v>804</v>
      </c>
      <c r="L661" s="36" t="s">
        <v>133</v>
      </c>
      <c r="M661" s="36" t="s">
        <v>843</v>
      </c>
      <c r="N661" s="36" t="s">
        <v>62</v>
      </c>
      <c r="O661" s="36" t="s">
        <v>844</v>
      </c>
    </row>
    <row r="662" spans="11:15">
      <c r="K662" s="36" t="s">
        <v>804</v>
      </c>
      <c r="L662" s="36" t="s">
        <v>133</v>
      </c>
      <c r="M662" s="36" t="s">
        <v>843</v>
      </c>
      <c r="N662" s="36" t="s">
        <v>62</v>
      </c>
      <c r="O662" s="36" t="s">
        <v>845</v>
      </c>
    </row>
    <row r="663" spans="11:15">
      <c r="K663" s="36" t="s">
        <v>804</v>
      </c>
      <c r="L663" s="36" t="s">
        <v>133</v>
      </c>
      <c r="M663" s="36" t="s">
        <v>843</v>
      </c>
      <c r="N663" s="36" t="s">
        <v>62</v>
      </c>
      <c r="O663" s="36" t="s">
        <v>846</v>
      </c>
    </row>
    <row r="664" spans="11:15">
      <c r="K664" s="36" t="s">
        <v>804</v>
      </c>
      <c r="L664" s="36" t="s">
        <v>133</v>
      </c>
      <c r="M664" s="36" t="s">
        <v>843</v>
      </c>
      <c r="N664" s="36" t="s">
        <v>62</v>
      </c>
      <c r="O664" s="36" t="s">
        <v>847</v>
      </c>
    </row>
    <row r="665" spans="11:15">
      <c r="K665" s="36" t="s">
        <v>804</v>
      </c>
      <c r="L665" s="36" t="s">
        <v>133</v>
      </c>
      <c r="M665" s="36" t="s">
        <v>843</v>
      </c>
      <c r="N665" s="36" t="s">
        <v>62</v>
      </c>
      <c r="O665" s="36" t="s">
        <v>848</v>
      </c>
    </row>
    <row r="666" spans="11:15">
      <c r="K666" s="36" t="s">
        <v>804</v>
      </c>
      <c r="L666" s="36" t="s">
        <v>133</v>
      </c>
      <c r="M666" s="36" t="s">
        <v>843</v>
      </c>
      <c r="N666" s="36" t="s">
        <v>62</v>
      </c>
      <c r="O666" s="36" t="s">
        <v>849</v>
      </c>
    </row>
    <row r="667" spans="11:15">
      <c r="K667" s="36" t="s">
        <v>804</v>
      </c>
      <c r="L667" s="36" t="s">
        <v>133</v>
      </c>
      <c r="M667" s="36" t="s">
        <v>843</v>
      </c>
      <c r="N667" s="36" t="s">
        <v>62</v>
      </c>
      <c r="O667" s="36" t="s">
        <v>850</v>
      </c>
    </row>
    <row r="668" spans="11:15">
      <c r="K668" s="36" t="s">
        <v>804</v>
      </c>
      <c r="L668" s="36" t="s">
        <v>133</v>
      </c>
      <c r="M668" s="36" t="s">
        <v>843</v>
      </c>
      <c r="N668" s="36" t="s">
        <v>62</v>
      </c>
      <c r="O668" s="36" t="s">
        <v>851</v>
      </c>
    </row>
    <row r="669" spans="11:15">
      <c r="K669" s="36" t="s">
        <v>804</v>
      </c>
      <c r="L669" s="36" t="s">
        <v>133</v>
      </c>
      <c r="M669" s="36" t="s">
        <v>843</v>
      </c>
      <c r="N669" s="36" t="s">
        <v>62</v>
      </c>
      <c r="O669" s="36" t="s">
        <v>852</v>
      </c>
    </row>
    <row r="670" spans="11:15">
      <c r="K670" s="36" t="s">
        <v>804</v>
      </c>
      <c r="L670" s="36" t="s">
        <v>133</v>
      </c>
      <c r="M670" s="36" t="s">
        <v>843</v>
      </c>
      <c r="N670" s="36" t="s">
        <v>62</v>
      </c>
      <c r="O670" s="36" t="s">
        <v>853</v>
      </c>
    </row>
    <row r="671" spans="11:15">
      <c r="K671" s="36" t="s">
        <v>804</v>
      </c>
      <c r="L671" s="36" t="s">
        <v>40</v>
      </c>
      <c r="M671" s="36" t="s">
        <v>574</v>
      </c>
      <c r="N671" s="36" t="s">
        <v>55</v>
      </c>
      <c r="O671" s="36" t="s">
        <v>854</v>
      </c>
    </row>
    <row r="672" spans="11:15">
      <c r="K672" s="36" t="s">
        <v>804</v>
      </c>
      <c r="L672" s="36" t="s">
        <v>40</v>
      </c>
      <c r="M672" s="36" t="s">
        <v>574</v>
      </c>
      <c r="N672" s="36" t="s">
        <v>55</v>
      </c>
      <c r="O672" s="36" t="s">
        <v>855</v>
      </c>
    </row>
    <row r="673" spans="11:15">
      <c r="K673" s="36" t="s">
        <v>804</v>
      </c>
      <c r="L673" s="36" t="s">
        <v>40</v>
      </c>
      <c r="M673" s="36" t="s">
        <v>574</v>
      </c>
      <c r="N673" s="36" t="s">
        <v>55</v>
      </c>
      <c r="O673" s="36" t="s">
        <v>856</v>
      </c>
    </row>
    <row r="674" spans="11:15">
      <c r="K674" s="36" t="s">
        <v>804</v>
      </c>
      <c r="L674" s="36" t="s">
        <v>40</v>
      </c>
      <c r="M674" s="36" t="s">
        <v>574</v>
      </c>
      <c r="N674" s="36" t="s">
        <v>55</v>
      </c>
      <c r="O674" s="36" t="s">
        <v>857</v>
      </c>
    </row>
    <row r="675" spans="11:15">
      <c r="K675" s="36" t="s">
        <v>804</v>
      </c>
      <c r="L675" s="36" t="s">
        <v>40</v>
      </c>
      <c r="M675" s="36" t="s">
        <v>574</v>
      </c>
      <c r="N675" s="36" t="s">
        <v>55</v>
      </c>
      <c r="O675" s="36" t="s">
        <v>858</v>
      </c>
    </row>
    <row r="676" spans="11:15">
      <c r="K676" s="36" t="s">
        <v>804</v>
      </c>
      <c r="L676" s="36" t="s">
        <v>40</v>
      </c>
      <c r="M676" s="36" t="s">
        <v>574</v>
      </c>
      <c r="N676" s="36" t="s">
        <v>55</v>
      </c>
      <c r="O676" s="36" t="s">
        <v>859</v>
      </c>
    </row>
    <row r="677" spans="11:15">
      <c r="K677" s="36" t="s">
        <v>804</v>
      </c>
      <c r="L677" s="36" t="s">
        <v>40</v>
      </c>
      <c r="M677" s="36" t="s">
        <v>574</v>
      </c>
      <c r="N677" s="36" t="s">
        <v>55</v>
      </c>
      <c r="O677" s="36" t="s">
        <v>860</v>
      </c>
    </row>
    <row r="678" spans="11:15">
      <c r="K678" s="36" t="s">
        <v>804</v>
      </c>
      <c r="L678" s="36" t="s">
        <v>40</v>
      </c>
      <c r="M678" s="36" t="s">
        <v>574</v>
      </c>
      <c r="N678" s="36" t="s">
        <v>55</v>
      </c>
      <c r="O678" s="36" t="s">
        <v>861</v>
      </c>
    </row>
    <row r="679" spans="11:15">
      <c r="K679" s="36" t="s">
        <v>804</v>
      </c>
      <c r="L679" s="36" t="s">
        <v>40</v>
      </c>
      <c r="M679" s="36" t="s">
        <v>574</v>
      </c>
      <c r="N679" s="36" t="s">
        <v>55</v>
      </c>
      <c r="O679" s="36" t="s">
        <v>862</v>
      </c>
    </row>
    <row r="680" spans="11:15">
      <c r="K680" s="36" t="s">
        <v>804</v>
      </c>
      <c r="L680" s="36" t="s">
        <v>40</v>
      </c>
      <c r="M680" s="36" t="s">
        <v>574</v>
      </c>
      <c r="N680" s="36" t="s">
        <v>55</v>
      </c>
      <c r="O680" s="36" t="s">
        <v>863</v>
      </c>
    </row>
    <row r="681" spans="11:15">
      <c r="K681" s="36" t="s">
        <v>804</v>
      </c>
      <c r="L681" s="36" t="s">
        <v>40</v>
      </c>
      <c r="M681" s="36" t="s">
        <v>574</v>
      </c>
      <c r="N681" s="36" t="s">
        <v>55</v>
      </c>
      <c r="O681" s="36" t="s">
        <v>864</v>
      </c>
    </row>
    <row r="682" spans="11:15">
      <c r="K682" s="36" t="s">
        <v>804</v>
      </c>
      <c r="L682" s="36" t="s">
        <v>40</v>
      </c>
      <c r="M682" s="36" t="s">
        <v>574</v>
      </c>
      <c r="N682" s="36" t="s">
        <v>55</v>
      </c>
      <c r="O682" s="36" t="s">
        <v>865</v>
      </c>
    </row>
    <row r="683" spans="11:15">
      <c r="K683" s="36" t="s">
        <v>804</v>
      </c>
      <c r="L683" s="36" t="s">
        <v>40</v>
      </c>
      <c r="M683" s="36" t="s">
        <v>574</v>
      </c>
      <c r="N683" s="36" t="s">
        <v>55</v>
      </c>
      <c r="O683" s="36" t="s">
        <v>866</v>
      </c>
    </row>
    <row r="684" spans="11:15">
      <c r="K684" s="36" t="s">
        <v>804</v>
      </c>
      <c r="L684" s="36" t="s">
        <v>40</v>
      </c>
      <c r="M684" s="36" t="s">
        <v>574</v>
      </c>
      <c r="N684" s="36" t="s">
        <v>55</v>
      </c>
      <c r="O684" s="36" t="s">
        <v>867</v>
      </c>
    </row>
    <row r="685" spans="11:15">
      <c r="K685" s="36" t="s">
        <v>804</v>
      </c>
      <c r="L685" s="36" t="s">
        <v>40</v>
      </c>
      <c r="M685" s="36" t="s">
        <v>574</v>
      </c>
      <c r="N685" s="36" t="s">
        <v>55</v>
      </c>
      <c r="O685" s="36" t="s">
        <v>868</v>
      </c>
    </row>
    <row r="686" spans="11:15">
      <c r="K686" s="36" t="s">
        <v>804</v>
      </c>
      <c r="L686" s="36" t="s">
        <v>40</v>
      </c>
      <c r="M686" s="36" t="s">
        <v>574</v>
      </c>
      <c r="N686" s="36" t="s">
        <v>55</v>
      </c>
      <c r="O686" s="36" t="s">
        <v>869</v>
      </c>
    </row>
    <row r="687" spans="11:15">
      <c r="K687" s="36" t="s">
        <v>804</v>
      </c>
      <c r="L687" s="36" t="s">
        <v>40</v>
      </c>
      <c r="M687" s="36" t="s">
        <v>574</v>
      </c>
      <c r="N687" s="36" t="s">
        <v>55</v>
      </c>
      <c r="O687" s="36" t="s">
        <v>870</v>
      </c>
    </row>
    <row r="688" spans="11:15">
      <c r="K688" s="36" t="s">
        <v>804</v>
      </c>
      <c r="L688" s="36" t="s">
        <v>40</v>
      </c>
      <c r="M688" s="36" t="s">
        <v>574</v>
      </c>
      <c r="N688" s="36" t="s">
        <v>55</v>
      </c>
      <c r="O688" s="36" t="s">
        <v>871</v>
      </c>
    </row>
    <row r="689" spans="11:15">
      <c r="K689" s="36" t="s">
        <v>804</v>
      </c>
      <c r="L689" s="36" t="s">
        <v>40</v>
      </c>
      <c r="M689" s="36" t="s">
        <v>574</v>
      </c>
      <c r="N689" s="36" t="s">
        <v>55</v>
      </c>
      <c r="O689" s="36" t="s">
        <v>872</v>
      </c>
    </row>
    <row r="690" spans="11:15">
      <c r="K690" s="36" t="s">
        <v>804</v>
      </c>
      <c r="L690" s="36" t="s">
        <v>40</v>
      </c>
      <c r="M690" s="36" t="s">
        <v>574</v>
      </c>
      <c r="N690" s="36" t="s">
        <v>55</v>
      </c>
      <c r="O690" s="36" t="s">
        <v>873</v>
      </c>
    </row>
    <row r="691" spans="11:15">
      <c r="K691" s="36" t="s">
        <v>804</v>
      </c>
      <c r="L691" s="36" t="s">
        <v>40</v>
      </c>
      <c r="M691" s="36" t="s">
        <v>574</v>
      </c>
      <c r="N691" s="36" t="s">
        <v>55</v>
      </c>
      <c r="O691" s="36" t="s">
        <v>874</v>
      </c>
    </row>
    <row r="692" spans="11:15">
      <c r="K692" s="36" t="s">
        <v>804</v>
      </c>
      <c r="L692" s="36" t="s">
        <v>40</v>
      </c>
      <c r="M692" s="36" t="s">
        <v>574</v>
      </c>
      <c r="N692" s="36" t="s">
        <v>55</v>
      </c>
      <c r="O692" s="36" t="s">
        <v>875</v>
      </c>
    </row>
    <row r="693" spans="11:15">
      <c r="K693" s="36" t="s">
        <v>804</v>
      </c>
      <c r="L693" s="36" t="s">
        <v>40</v>
      </c>
      <c r="M693" s="36" t="s">
        <v>574</v>
      </c>
      <c r="N693" s="36" t="s">
        <v>62</v>
      </c>
      <c r="O693" s="36" t="s">
        <v>876</v>
      </c>
    </row>
    <row r="694" spans="11:15">
      <c r="K694" s="36" t="s">
        <v>804</v>
      </c>
      <c r="L694" s="36" t="s">
        <v>40</v>
      </c>
      <c r="M694" s="36" t="s">
        <v>574</v>
      </c>
      <c r="N694" s="36" t="s">
        <v>62</v>
      </c>
      <c r="O694" s="36" t="s">
        <v>877</v>
      </c>
    </row>
    <row r="695" spans="11:15">
      <c r="K695" s="36" t="s">
        <v>804</v>
      </c>
      <c r="L695" s="36" t="s">
        <v>40</v>
      </c>
      <c r="M695" s="36" t="s">
        <v>574</v>
      </c>
      <c r="N695" s="36" t="s">
        <v>62</v>
      </c>
      <c r="O695" s="36" t="s">
        <v>878</v>
      </c>
    </row>
    <row r="696" spans="11:15">
      <c r="K696" s="36" t="s">
        <v>804</v>
      </c>
      <c r="L696" s="36" t="s">
        <v>40</v>
      </c>
      <c r="M696" s="36" t="s">
        <v>574</v>
      </c>
      <c r="N696" s="36" t="s">
        <v>62</v>
      </c>
      <c r="O696" s="36" t="s">
        <v>879</v>
      </c>
    </row>
    <row r="697" spans="11:15">
      <c r="K697" s="36" t="s">
        <v>804</v>
      </c>
      <c r="L697" s="36" t="s">
        <v>40</v>
      </c>
      <c r="M697" s="36" t="s">
        <v>574</v>
      </c>
      <c r="N697" s="36" t="s">
        <v>62</v>
      </c>
      <c r="O697" s="36" t="s">
        <v>880</v>
      </c>
    </row>
    <row r="698" spans="11:15">
      <c r="K698" s="36" t="s">
        <v>804</v>
      </c>
      <c r="L698" s="36" t="s">
        <v>40</v>
      </c>
      <c r="M698" s="36" t="s">
        <v>574</v>
      </c>
      <c r="N698" s="36" t="s">
        <v>62</v>
      </c>
      <c r="O698" s="36" t="s">
        <v>881</v>
      </c>
    </row>
    <row r="699" spans="11:15">
      <c r="K699" s="36" t="s">
        <v>804</v>
      </c>
      <c r="L699" s="36" t="s">
        <v>40</v>
      </c>
      <c r="M699" s="36" t="s">
        <v>574</v>
      </c>
      <c r="N699" s="36" t="s">
        <v>62</v>
      </c>
      <c r="O699" s="36" t="s">
        <v>882</v>
      </c>
    </row>
    <row r="700" spans="11:15">
      <c r="K700" s="36" t="s">
        <v>804</v>
      </c>
      <c r="L700" s="36" t="s">
        <v>40</v>
      </c>
      <c r="M700" s="36" t="s">
        <v>574</v>
      </c>
      <c r="N700" s="36" t="s">
        <v>62</v>
      </c>
      <c r="O700" s="36" t="s">
        <v>883</v>
      </c>
    </row>
    <row r="701" spans="11:15">
      <c r="K701" s="36" t="s">
        <v>804</v>
      </c>
      <c r="L701" s="36" t="s">
        <v>40</v>
      </c>
      <c r="M701" s="36" t="s">
        <v>574</v>
      </c>
      <c r="N701" s="36" t="s">
        <v>62</v>
      </c>
      <c r="O701" s="36" t="s">
        <v>884</v>
      </c>
    </row>
    <row r="702" spans="11:15">
      <c r="K702" s="36" t="s">
        <v>804</v>
      </c>
      <c r="L702" s="36" t="s">
        <v>40</v>
      </c>
      <c r="M702" s="36" t="s">
        <v>574</v>
      </c>
      <c r="N702" s="36" t="s">
        <v>62</v>
      </c>
      <c r="O702" s="36" t="s">
        <v>885</v>
      </c>
    </row>
    <row r="703" spans="11:15">
      <c r="K703" s="36" t="s">
        <v>804</v>
      </c>
      <c r="L703" s="36" t="s">
        <v>40</v>
      </c>
      <c r="M703" s="36" t="s">
        <v>574</v>
      </c>
      <c r="N703" s="36" t="s">
        <v>62</v>
      </c>
      <c r="O703" s="36" t="s">
        <v>886</v>
      </c>
    </row>
    <row r="704" spans="11:15">
      <c r="K704" s="36" t="s">
        <v>804</v>
      </c>
      <c r="L704" s="36" t="s">
        <v>40</v>
      </c>
      <c r="M704" s="36" t="s">
        <v>574</v>
      </c>
      <c r="N704" s="36" t="s">
        <v>62</v>
      </c>
      <c r="O704" s="36" t="s">
        <v>887</v>
      </c>
    </row>
    <row r="705" spans="11:15">
      <c r="K705" s="36" t="s">
        <v>804</v>
      </c>
      <c r="L705" s="36" t="s">
        <v>40</v>
      </c>
      <c r="M705" s="36" t="s">
        <v>574</v>
      </c>
      <c r="N705" s="36" t="s">
        <v>62</v>
      </c>
      <c r="O705" s="36" t="s">
        <v>888</v>
      </c>
    </row>
    <row r="706" spans="11:15">
      <c r="K706" s="36" t="s">
        <v>804</v>
      </c>
      <c r="L706" s="36" t="s">
        <v>40</v>
      </c>
      <c r="M706" s="36" t="s">
        <v>574</v>
      </c>
      <c r="N706" s="36" t="s">
        <v>62</v>
      </c>
      <c r="O706" s="36" t="s">
        <v>889</v>
      </c>
    </row>
    <row r="707" spans="11:15">
      <c r="K707" s="36" t="s">
        <v>804</v>
      </c>
      <c r="L707" s="36" t="s">
        <v>40</v>
      </c>
      <c r="M707" s="36" t="s">
        <v>574</v>
      </c>
      <c r="N707" s="36" t="s">
        <v>62</v>
      </c>
      <c r="O707" s="36" t="s">
        <v>890</v>
      </c>
    </row>
    <row r="708" spans="11:15">
      <c r="K708" s="36" t="s">
        <v>804</v>
      </c>
      <c r="L708" s="36" t="s">
        <v>40</v>
      </c>
      <c r="M708" s="36" t="s">
        <v>574</v>
      </c>
      <c r="N708" s="36" t="s">
        <v>62</v>
      </c>
      <c r="O708" s="36" t="s">
        <v>891</v>
      </c>
    </row>
    <row r="709" spans="11:15">
      <c r="K709" s="36" t="s">
        <v>804</v>
      </c>
      <c r="L709" s="36" t="s">
        <v>40</v>
      </c>
      <c r="M709" s="36" t="s">
        <v>574</v>
      </c>
      <c r="N709" s="36" t="s">
        <v>62</v>
      </c>
      <c r="O709" s="36" t="s">
        <v>892</v>
      </c>
    </row>
    <row r="710" spans="11:15">
      <c r="K710" s="36" t="s">
        <v>804</v>
      </c>
      <c r="L710" s="36" t="s">
        <v>40</v>
      </c>
      <c r="M710" s="36" t="s">
        <v>574</v>
      </c>
      <c r="N710" s="36" t="s">
        <v>62</v>
      </c>
      <c r="O710" s="36" t="s">
        <v>893</v>
      </c>
    </row>
    <row r="711" spans="11:15">
      <c r="K711" s="36" t="s">
        <v>804</v>
      </c>
      <c r="L711" s="36" t="s">
        <v>40</v>
      </c>
      <c r="M711" s="36" t="s">
        <v>574</v>
      </c>
      <c r="N711" s="36" t="s">
        <v>62</v>
      </c>
      <c r="O711" s="36" t="s">
        <v>894</v>
      </c>
    </row>
    <row r="712" spans="11:15">
      <c r="K712" s="36" t="s">
        <v>804</v>
      </c>
      <c r="L712" s="36" t="s">
        <v>40</v>
      </c>
      <c r="M712" s="36" t="s">
        <v>574</v>
      </c>
      <c r="N712" s="36" t="s">
        <v>62</v>
      </c>
      <c r="O712" s="36" t="s">
        <v>895</v>
      </c>
    </row>
    <row r="713" spans="11:15">
      <c r="K713" s="36" t="s">
        <v>804</v>
      </c>
      <c r="L713" s="36" t="s">
        <v>40</v>
      </c>
      <c r="M713" s="36" t="s">
        <v>896</v>
      </c>
      <c r="N713" s="36" t="s">
        <v>55</v>
      </c>
      <c r="O713" s="36" t="s">
        <v>897</v>
      </c>
    </row>
    <row r="714" spans="11:15">
      <c r="K714" s="36" t="s">
        <v>804</v>
      </c>
      <c r="L714" s="36" t="s">
        <v>40</v>
      </c>
      <c r="M714" s="36" t="s">
        <v>896</v>
      </c>
      <c r="N714" s="36" t="s">
        <v>55</v>
      </c>
      <c r="O714" s="36" t="s">
        <v>898</v>
      </c>
    </row>
    <row r="715" spans="11:15">
      <c r="K715" s="36" t="s">
        <v>804</v>
      </c>
      <c r="L715" s="36" t="s">
        <v>40</v>
      </c>
      <c r="M715" s="36" t="s">
        <v>896</v>
      </c>
      <c r="N715" s="36" t="s">
        <v>55</v>
      </c>
      <c r="O715" s="36" t="s">
        <v>899</v>
      </c>
    </row>
    <row r="716" spans="11:15">
      <c r="K716" s="36" t="s">
        <v>804</v>
      </c>
      <c r="L716" s="36" t="s">
        <v>40</v>
      </c>
      <c r="M716" s="36" t="s">
        <v>896</v>
      </c>
      <c r="N716" s="36" t="s">
        <v>55</v>
      </c>
      <c r="O716" s="36" t="s">
        <v>900</v>
      </c>
    </row>
    <row r="717" spans="11:15">
      <c r="K717" s="36" t="s">
        <v>804</v>
      </c>
      <c r="L717" s="36" t="s">
        <v>40</v>
      </c>
      <c r="M717" s="36" t="s">
        <v>896</v>
      </c>
      <c r="N717" s="36" t="s">
        <v>55</v>
      </c>
      <c r="O717" s="36" t="s">
        <v>901</v>
      </c>
    </row>
    <row r="718" spans="11:15">
      <c r="K718" s="36" t="s">
        <v>804</v>
      </c>
      <c r="L718" s="36" t="s">
        <v>40</v>
      </c>
      <c r="M718" s="36" t="s">
        <v>896</v>
      </c>
      <c r="N718" s="36" t="s">
        <v>55</v>
      </c>
      <c r="O718" s="36" t="s">
        <v>902</v>
      </c>
    </row>
    <row r="719" spans="11:15">
      <c r="K719" s="36" t="s">
        <v>804</v>
      </c>
      <c r="L719" s="36" t="s">
        <v>40</v>
      </c>
      <c r="M719" s="36" t="s">
        <v>896</v>
      </c>
      <c r="N719" s="36" t="s">
        <v>55</v>
      </c>
      <c r="O719" s="36" t="s">
        <v>903</v>
      </c>
    </row>
    <row r="720" spans="11:15">
      <c r="K720" s="36" t="s">
        <v>804</v>
      </c>
      <c r="L720" s="36" t="s">
        <v>40</v>
      </c>
      <c r="M720" s="36" t="s">
        <v>896</v>
      </c>
      <c r="N720" s="36" t="s">
        <v>55</v>
      </c>
      <c r="O720" s="36" t="s">
        <v>904</v>
      </c>
    </row>
    <row r="721" spans="11:15">
      <c r="K721" s="36" t="s">
        <v>804</v>
      </c>
      <c r="L721" s="36" t="s">
        <v>40</v>
      </c>
      <c r="M721" s="36" t="s">
        <v>896</v>
      </c>
      <c r="N721" s="36" t="s">
        <v>55</v>
      </c>
      <c r="O721" s="36" t="s">
        <v>905</v>
      </c>
    </row>
    <row r="722" spans="11:15">
      <c r="K722" s="36" t="s">
        <v>804</v>
      </c>
      <c r="L722" s="36" t="s">
        <v>40</v>
      </c>
      <c r="M722" s="36" t="s">
        <v>896</v>
      </c>
      <c r="N722" s="36" t="s">
        <v>55</v>
      </c>
      <c r="O722" s="36" t="s">
        <v>906</v>
      </c>
    </row>
    <row r="723" spans="11:15">
      <c r="K723" s="36" t="s">
        <v>804</v>
      </c>
      <c r="L723" s="36" t="s">
        <v>40</v>
      </c>
      <c r="M723" s="36" t="s">
        <v>896</v>
      </c>
      <c r="N723" s="36" t="s">
        <v>55</v>
      </c>
      <c r="O723" s="36" t="s">
        <v>907</v>
      </c>
    </row>
    <row r="724" spans="11:15">
      <c r="K724" s="36" t="s">
        <v>804</v>
      </c>
      <c r="L724" s="36" t="s">
        <v>40</v>
      </c>
      <c r="M724" s="36" t="s">
        <v>896</v>
      </c>
      <c r="N724" s="36" t="s">
        <v>55</v>
      </c>
      <c r="O724" s="36" t="s">
        <v>908</v>
      </c>
    </row>
    <row r="725" spans="11:15">
      <c r="K725" s="36" t="s">
        <v>804</v>
      </c>
      <c r="L725" s="36" t="s">
        <v>40</v>
      </c>
      <c r="M725" s="36" t="s">
        <v>896</v>
      </c>
      <c r="N725" s="36" t="s">
        <v>55</v>
      </c>
      <c r="O725" s="36" t="s">
        <v>909</v>
      </c>
    </row>
    <row r="726" spans="11:15">
      <c r="K726" s="36" t="s">
        <v>804</v>
      </c>
      <c r="L726" s="36" t="s">
        <v>40</v>
      </c>
      <c r="M726" s="36" t="s">
        <v>896</v>
      </c>
      <c r="N726" s="36" t="s">
        <v>55</v>
      </c>
      <c r="O726" s="36" t="s">
        <v>910</v>
      </c>
    </row>
    <row r="727" spans="11:15">
      <c r="K727" s="36" t="s">
        <v>804</v>
      </c>
      <c r="L727" s="36" t="s">
        <v>40</v>
      </c>
      <c r="M727" s="36" t="s">
        <v>896</v>
      </c>
      <c r="N727" s="36" t="s">
        <v>55</v>
      </c>
      <c r="O727" s="36" t="s">
        <v>911</v>
      </c>
    </row>
    <row r="728" spans="11:15">
      <c r="K728" s="36" t="s">
        <v>804</v>
      </c>
      <c r="L728" s="36" t="s">
        <v>40</v>
      </c>
      <c r="M728" s="36" t="s">
        <v>896</v>
      </c>
      <c r="N728" s="36" t="s">
        <v>55</v>
      </c>
      <c r="O728" s="36" t="s">
        <v>912</v>
      </c>
    </row>
    <row r="729" spans="11:15">
      <c r="K729" s="36" t="s">
        <v>804</v>
      </c>
      <c r="L729" s="36" t="s">
        <v>40</v>
      </c>
      <c r="M729" s="36" t="s">
        <v>896</v>
      </c>
      <c r="N729" s="36" t="s">
        <v>55</v>
      </c>
      <c r="O729" s="36" t="s">
        <v>913</v>
      </c>
    </row>
    <row r="730" spans="11:15">
      <c r="K730" s="36" t="s">
        <v>804</v>
      </c>
      <c r="L730" s="36" t="s">
        <v>40</v>
      </c>
      <c r="M730" s="36" t="s">
        <v>896</v>
      </c>
      <c r="N730" s="36" t="s">
        <v>55</v>
      </c>
      <c r="O730" s="36" t="s">
        <v>914</v>
      </c>
    </row>
    <row r="731" spans="11:15">
      <c r="K731" s="36" t="s">
        <v>804</v>
      </c>
      <c r="L731" s="36" t="s">
        <v>40</v>
      </c>
      <c r="M731" s="36" t="s">
        <v>896</v>
      </c>
      <c r="N731" s="36" t="s">
        <v>55</v>
      </c>
      <c r="O731" s="36" t="s">
        <v>915</v>
      </c>
    </row>
    <row r="732" spans="11:15">
      <c r="K732" s="36" t="s">
        <v>804</v>
      </c>
      <c r="L732" s="36" t="s">
        <v>40</v>
      </c>
      <c r="M732" s="36" t="s">
        <v>896</v>
      </c>
      <c r="N732" s="36" t="s">
        <v>55</v>
      </c>
      <c r="O732" s="36" t="s">
        <v>916</v>
      </c>
    </row>
    <row r="733" spans="11:15">
      <c r="K733" s="36" t="s">
        <v>804</v>
      </c>
      <c r="L733" s="36" t="s">
        <v>40</v>
      </c>
      <c r="M733" s="36" t="s">
        <v>896</v>
      </c>
      <c r="N733" s="36" t="s">
        <v>55</v>
      </c>
      <c r="O733" s="36" t="s">
        <v>917</v>
      </c>
    </row>
    <row r="734" spans="11:15">
      <c r="K734" s="36" t="s">
        <v>804</v>
      </c>
      <c r="L734" s="36" t="s">
        <v>40</v>
      </c>
      <c r="M734" s="36" t="s">
        <v>896</v>
      </c>
      <c r="N734" s="36" t="s">
        <v>55</v>
      </c>
      <c r="O734" s="36" t="s">
        <v>918</v>
      </c>
    </row>
    <row r="735" spans="11:15">
      <c r="K735" s="36" t="s">
        <v>804</v>
      </c>
      <c r="L735" s="36" t="s">
        <v>40</v>
      </c>
      <c r="M735" s="36" t="s">
        <v>896</v>
      </c>
      <c r="N735" s="36" t="s">
        <v>55</v>
      </c>
      <c r="O735" s="36" t="s">
        <v>919</v>
      </c>
    </row>
    <row r="736" spans="11:15">
      <c r="K736" s="36" t="s">
        <v>804</v>
      </c>
      <c r="L736" s="36" t="s">
        <v>40</v>
      </c>
      <c r="M736" s="36" t="s">
        <v>896</v>
      </c>
      <c r="N736" s="36" t="s">
        <v>55</v>
      </c>
      <c r="O736" s="36" t="s">
        <v>920</v>
      </c>
    </row>
    <row r="737" spans="11:15">
      <c r="K737" s="36" t="s">
        <v>804</v>
      </c>
      <c r="L737" s="36" t="s">
        <v>40</v>
      </c>
      <c r="M737" s="36" t="s">
        <v>896</v>
      </c>
      <c r="N737" s="36" t="s">
        <v>55</v>
      </c>
      <c r="O737" s="36" t="s">
        <v>921</v>
      </c>
    </row>
    <row r="738" spans="11:15">
      <c r="K738" s="36" t="s">
        <v>804</v>
      </c>
      <c r="L738" s="36" t="s">
        <v>40</v>
      </c>
      <c r="M738" s="36" t="s">
        <v>896</v>
      </c>
      <c r="N738" s="36" t="s">
        <v>55</v>
      </c>
      <c r="O738" s="36" t="s">
        <v>922</v>
      </c>
    </row>
    <row r="739" spans="11:15">
      <c r="K739" s="36" t="s">
        <v>804</v>
      </c>
      <c r="L739" s="36" t="s">
        <v>40</v>
      </c>
      <c r="M739" s="36" t="s">
        <v>896</v>
      </c>
      <c r="N739" s="36" t="s">
        <v>62</v>
      </c>
      <c r="O739" s="36" t="s">
        <v>923</v>
      </c>
    </row>
    <row r="740" spans="11:15">
      <c r="K740" s="36" t="s">
        <v>804</v>
      </c>
      <c r="L740" s="36" t="s">
        <v>40</v>
      </c>
      <c r="M740" s="36" t="s">
        <v>896</v>
      </c>
      <c r="N740" s="36" t="s">
        <v>62</v>
      </c>
      <c r="O740" s="36" t="s">
        <v>924</v>
      </c>
    </row>
    <row r="741" spans="11:15">
      <c r="K741" s="36" t="s">
        <v>804</v>
      </c>
      <c r="L741" s="36" t="s">
        <v>40</v>
      </c>
      <c r="M741" s="36" t="s">
        <v>896</v>
      </c>
      <c r="N741" s="36" t="s">
        <v>62</v>
      </c>
      <c r="O741" s="36" t="s">
        <v>925</v>
      </c>
    </row>
    <row r="742" spans="11:15">
      <c r="K742" s="36" t="s">
        <v>804</v>
      </c>
      <c r="L742" s="36" t="s">
        <v>40</v>
      </c>
      <c r="M742" s="36" t="s">
        <v>896</v>
      </c>
      <c r="N742" s="36" t="s">
        <v>62</v>
      </c>
      <c r="O742" s="36" t="s">
        <v>926</v>
      </c>
    </row>
    <row r="743" spans="11:15">
      <c r="K743" s="36" t="s">
        <v>804</v>
      </c>
      <c r="L743" s="36" t="s">
        <v>40</v>
      </c>
      <c r="M743" s="36" t="s">
        <v>896</v>
      </c>
      <c r="N743" s="36" t="s">
        <v>62</v>
      </c>
      <c r="O743" s="36" t="s">
        <v>927</v>
      </c>
    </row>
    <row r="744" spans="11:15">
      <c r="K744" s="36" t="s">
        <v>804</v>
      </c>
      <c r="L744" s="36" t="s">
        <v>40</v>
      </c>
      <c r="M744" s="36" t="s">
        <v>896</v>
      </c>
      <c r="N744" s="36" t="s">
        <v>62</v>
      </c>
      <c r="O744" s="36" t="s">
        <v>928</v>
      </c>
    </row>
    <row r="745" spans="11:15">
      <c r="K745" s="36" t="s">
        <v>804</v>
      </c>
      <c r="L745" s="36" t="s">
        <v>40</v>
      </c>
      <c r="M745" s="36" t="s">
        <v>896</v>
      </c>
      <c r="N745" s="36" t="s">
        <v>62</v>
      </c>
      <c r="O745" s="36" t="s">
        <v>929</v>
      </c>
    </row>
    <row r="746" spans="11:15">
      <c r="K746" s="36" t="s">
        <v>804</v>
      </c>
      <c r="L746" s="36" t="s">
        <v>40</v>
      </c>
      <c r="M746" s="36" t="s">
        <v>896</v>
      </c>
      <c r="N746" s="36" t="s">
        <v>62</v>
      </c>
      <c r="O746" s="36" t="s">
        <v>930</v>
      </c>
    </row>
    <row r="747" spans="11:15">
      <c r="K747" s="36" t="s">
        <v>804</v>
      </c>
      <c r="L747" s="36" t="s">
        <v>40</v>
      </c>
      <c r="M747" s="36" t="s">
        <v>896</v>
      </c>
      <c r="N747" s="36" t="s">
        <v>62</v>
      </c>
      <c r="O747" s="36" t="s">
        <v>931</v>
      </c>
    </row>
    <row r="748" spans="11:15">
      <c r="K748" s="36" t="s">
        <v>804</v>
      </c>
      <c r="L748" s="36" t="s">
        <v>40</v>
      </c>
      <c r="M748" s="36" t="s">
        <v>896</v>
      </c>
      <c r="N748" s="36" t="s">
        <v>62</v>
      </c>
      <c r="O748" s="36" t="s">
        <v>932</v>
      </c>
    </row>
    <row r="749" spans="11:15">
      <c r="K749" s="36" t="s">
        <v>804</v>
      </c>
      <c r="L749" s="36" t="s">
        <v>40</v>
      </c>
      <c r="M749" s="36" t="s">
        <v>896</v>
      </c>
      <c r="N749" s="36" t="s">
        <v>62</v>
      </c>
      <c r="O749" s="36" t="s">
        <v>933</v>
      </c>
    </row>
    <row r="750" spans="11:15">
      <c r="K750" s="36" t="s">
        <v>804</v>
      </c>
      <c r="L750" s="36" t="s">
        <v>40</v>
      </c>
      <c r="M750" s="36" t="s">
        <v>896</v>
      </c>
      <c r="N750" s="36" t="s">
        <v>62</v>
      </c>
      <c r="O750" s="36" t="s">
        <v>934</v>
      </c>
    </row>
    <row r="751" spans="11:15">
      <c r="K751" s="36" t="s">
        <v>804</v>
      </c>
      <c r="L751" s="36" t="s">
        <v>40</v>
      </c>
      <c r="M751" s="36" t="s">
        <v>896</v>
      </c>
      <c r="N751" s="36" t="s">
        <v>62</v>
      </c>
      <c r="O751" s="36" t="s">
        <v>935</v>
      </c>
    </row>
    <row r="752" spans="11:15">
      <c r="K752" s="36" t="s">
        <v>804</v>
      </c>
      <c r="L752" s="36" t="s">
        <v>40</v>
      </c>
      <c r="M752" s="36" t="s">
        <v>896</v>
      </c>
      <c r="N752" s="36" t="s">
        <v>62</v>
      </c>
      <c r="O752" s="36" t="s">
        <v>936</v>
      </c>
    </row>
    <row r="753" spans="11:15">
      <c r="K753" s="36" t="s">
        <v>804</v>
      </c>
      <c r="L753" s="36" t="s">
        <v>40</v>
      </c>
      <c r="M753" s="36" t="s">
        <v>896</v>
      </c>
      <c r="N753" s="36" t="s">
        <v>62</v>
      </c>
      <c r="O753" s="36" t="s">
        <v>937</v>
      </c>
    </row>
    <row r="754" spans="11:15">
      <c r="K754" s="36" t="s">
        <v>804</v>
      </c>
      <c r="L754" s="36" t="s">
        <v>40</v>
      </c>
      <c r="M754" s="36" t="s">
        <v>896</v>
      </c>
      <c r="N754" s="36" t="s">
        <v>62</v>
      </c>
      <c r="O754" s="36" t="s">
        <v>938</v>
      </c>
    </row>
    <row r="755" spans="11:15">
      <c r="K755" s="36" t="s">
        <v>804</v>
      </c>
      <c r="L755" s="36" t="s">
        <v>40</v>
      </c>
      <c r="M755" s="36" t="s">
        <v>896</v>
      </c>
      <c r="N755" s="36" t="s">
        <v>208</v>
      </c>
      <c r="O755" s="36" t="s">
        <v>939</v>
      </c>
    </row>
    <row r="756" spans="11:15">
      <c r="K756" s="36" t="s">
        <v>804</v>
      </c>
      <c r="L756" s="36" t="s">
        <v>40</v>
      </c>
      <c r="M756" s="36" t="s">
        <v>896</v>
      </c>
      <c r="N756" s="36" t="s">
        <v>208</v>
      </c>
      <c r="O756" s="36" t="s">
        <v>940</v>
      </c>
    </row>
    <row r="757" spans="11:15">
      <c r="K757" s="36" t="s">
        <v>804</v>
      </c>
      <c r="L757" s="36" t="s">
        <v>40</v>
      </c>
      <c r="M757" s="36" t="s">
        <v>896</v>
      </c>
      <c r="N757" s="36" t="s">
        <v>208</v>
      </c>
      <c r="O757" s="36" t="s">
        <v>941</v>
      </c>
    </row>
    <row r="758" spans="11:15">
      <c r="K758" s="36" t="s">
        <v>804</v>
      </c>
      <c r="L758" s="36" t="s">
        <v>40</v>
      </c>
      <c r="M758" s="36" t="s">
        <v>896</v>
      </c>
      <c r="N758" s="36" t="s">
        <v>208</v>
      </c>
      <c r="O758" s="36" t="s">
        <v>942</v>
      </c>
    </row>
    <row r="759" spans="11:15">
      <c r="K759" s="36" t="s">
        <v>804</v>
      </c>
      <c r="L759" s="36" t="s">
        <v>40</v>
      </c>
      <c r="M759" s="36" t="s">
        <v>943</v>
      </c>
      <c r="N759" s="36" t="s">
        <v>55</v>
      </c>
      <c r="O759" s="36" t="s">
        <v>944</v>
      </c>
    </row>
    <row r="760" spans="11:15">
      <c r="K760" s="36" t="s">
        <v>804</v>
      </c>
      <c r="L760" s="36" t="s">
        <v>40</v>
      </c>
      <c r="M760" s="36" t="s">
        <v>943</v>
      </c>
      <c r="N760" s="36" t="s">
        <v>55</v>
      </c>
      <c r="O760" s="36" t="s">
        <v>945</v>
      </c>
    </row>
    <row r="761" spans="11:15">
      <c r="K761" s="36" t="s">
        <v>804</v>
      </c>
      <c r="L761" s="36" t="s">
        <v>40</v>
      </c>
      <c r="M761" s="36" t="s">
        <v>943</v>
      </c>
      <c r="N761" s="36" t="s">
        <v>55</v>
      </c>
      <c r="O761" s="36" t="s">
        <v>946</v>
      </c>
    </row>
    <row r="762" spans="11:15">
      <c r="K762" s="36" t="s">
        <v>804</v>
      </c>
      <c r="L762" s="36" t="s">
        <v>40</v>
      </c>
      <c r="M762" s="36" t="s">
        <v>943</v>
      </c>
      <c r="N762" s="36" t="s">
        <v>55</v>
      </c>
      <c r="O762" s="36" t="s">
        <v>947</v>
      </c>
    </row>
    <row r="763" spans="11:15">
      <c r="K763" s="36" t="s">
        <v>804</v>
      </c>
      <c r="L763" s="36" t="s">
        <v>40</v>
      </c>
      <c r="M763" s="36" t="s">
        <v>943</v>
      </c>
      <c r="N763" s="36" t="s">
        <v>55</v>
      </c>
      <c r="O763" s="36" t="s">
        <v>948</v>
      </c>
    </row>
    <row r="764" spans="11:15">
      <c r="K764" s="36" t="s">
        <v>804</v>
      </c>
      <c r="L764" s="36" t="s">
        <v>40</v>
      </c>
      <c r="M764" s="36" t="s">
        <v>943</v>
      </c>
      <c r="N764" s="36" t="s">
        <v>55</v>
      </c>
      <c r="O764" s="36" t="s">
        <v>949</v>
      </c>
    </row>
    <row r="765" spans="11:15">
      <c r="K765" s="36" t="s">
        <v>804</v>
      </c>
      <c r="L765" s="36" t="s">
        <v>40</v>
      </c>
      <c r="M765" s="36" t="s">
        <v>943</v>
      </c>
      <c r="N765" s="36" t="s">
        <v>55</v>
      </c>
      <c r="O765" s="36" t="s">
        <v>950</v>
      </c>
    </row>
    <row r="766" spans="11:15">
      <c r="K766" s="36" t="s">
        <v>804</v>
      </c>
      <c r="L766" s="36" t="s">
        <v>40</v>
      </c>
      <c r="M766" s="36" t="s">
        <v>943</v>
      </c>
      <c r="N766" s="36" t="s">
        <v>55</v>
      </c>
      <c r="O766" s="36" t="s">
        <v>951</v>
      </c>
    </row>
    <row r="767" spans="11:15">
      <c r="K767" s="36" t="s">
        <v>804</v>
      </c>
      <c r="L767" s="36" t="s">
        <v>40</v>
      </c>
      <c r="M767" s="36" t="s">
        <v>943</v>
      </c>
      <c r="N767" s="36" t="s">
        <v>55</v>
      </c>
      <c r="O767" s="36" t="s">
        <v>952</v>
      </c>
    </row>
    <row r="768" spans="11:15">
      <c r="K768" s="36" t="s">
        <v>804</v>
      </c>
      <c r="L768" s="36" t="s">
        <v>40</v>
      </c>
      <c r="M768" s="36" t="s">
        <v>943</v>
      </c>
      <c r="N768" s="36" t="s">
        <v>55</v>
      </c>
      <c r="O768" s="36" t="s">
        <v>953</v>
      </c>
    </row>
    <row r="769" spans="11:15">
      <c r="K769" s="36" t="s">
        <v>804</v>
      </c>
      <c r="L769" s="36" t="s">
        <v>40</v>
      </c>
      <c r="M769" s="36" t="s">
        <v>943</v>
      </c>
      <c r="N769" s="36" t="s">
        <v>55</v>
      </c>
      <c r="O769" s="36" t="s">
        <v>954</v>
      </c>
    </row>
    <row r="770" spans="11:15">
      <c r="K770" s="36" t="s">
        <v>804</v>
      </c>
      <c r="L770" s="36" t="s">
        <v>40</v>
      </c>
      <c r="M770" s="36" t="s">
        <v>943</v>
      </c>
      <c r="N770" s="36" t="s">
        <v>55</v>
      </c>
      <c r="O770" s="36" t="s">
        <v>955</v>
      </c>
    </row>
    <row r="771" spans="11:15">
      <c r="K771" s="36" t="s">
        <v>804</v>
      </c>
      <c r="L771" s="36" t="s">
        <v>40</v>
      </c>
      <c r="M771" s="36" t="s">
        <v>943</v>
      </c>
      <c r="N771" s="36" t="s">
        <v>55</v>
      </c>
      <c r="O771" s="36" t="s">
        <v>956</v>
      </c>
    </row>
    <row r="772" spans="11:15">
      <c r="K772" s="36" t="s">
        <v>804</v>
      </c>
      <c r="L772" s="36" t="s">
        <v>40</v>
      </c>
      <c r="M772" s="36" t="s">
        <v>943</v>
      </c>
      <c r="N772" s="36" t="s">
        <v>62</v>
      </c>
      <c r="O772" s="36" t="s">
        <v>957</v>
      </c>
    </row>
    <row r="773" spans="11:15">
      <c r="K773" s="36" t="s">
        <v>804</v>
      </c>
      <c r="L773" s="36" t="s">
        <v>40</v>
      </c>
      <c r="M773" s="36" t="s">
        <v>943</v>
      </c>
      <c r="N773" s="36" t="s">
        <v>62</v>
      </c>
      <c r="O773" s="36" t="s">
        <v>958</v>
      </c>
    </row>
    <row r="774" spans="11:15">
      <c r="K774" s="36" t="s">
        <v>804</v>
      </c>
      <c r="L774" s="36" t="s">
        <v>40</v>
      </c>
      <c r="M774" s="36" t="s">
        <v>943</v>
      </c>
      <c r="N774" s="36" t="s">
        <v>62</v>
      </c>
      <c r="O774" s="36" t="s">
        <v>959</v>
      </c>
    </row>
    <row r="775" spans="11:15">
      <c r="K775" s="36" t="s">
        <v>804</v>
      </c>
      <c r="L775" s="36" t="s">
        <v>40</v>
      </c>
      <c r="M775" s="36" t="s">
        <v>943</v>
      </c>
      <c r="N775" s="36" t="s">
        <v>62</v>
      </c>
      <c r="O775" s="36" t="s">
        <v>960</v>
      </c>
    </row>
    <row r="776" spans="11:15">
      <c r="K776" s="36" t="s">
        <v>804</v>
      </c>
      <c r="L776" s="36" t="s">
        <v>40</v>
      </c>
      <c r="M776" s="36" t="s">
        <v>943</v>
      </c>
      <c r="N776" s="36" t="s">
        <v>62</v>
      </c>
      <c r="O776" s="36" t="s">
        <v>961</v>
      </c>
    </row>
    <row r="777" spans="11:15">
      <c r="K777" s="36" t="s">
        <v>804</v>
      </c>
      <c r="L777" s="36" t="s">
        <v>40</v>
      </c>
      <c r="M777" s="36" t="s">
        <v>943</v>
      </c>
      <c r="N777" s="36" t="s">
        <v>62</v>
      </c>
      <c r="O777" s="36" t="s">
        <v>962</v>
      </c>
    </row>
    <row r="778" spans="11:15">
      <c r="K778" s="36" t="s">
        <v>804</v>
      </c>
      <c r="L778" s="36" t="s">
        <v>40</v>
      </c>
      <c r="M778" s="36" t="s">
        <v>943</v>
      </c>
      <c r="N778" s="36" t="s">
        <v>62</v>
      </c>
      <c r="O778" s="36" t="s">
        <v>963</v>
      </c>
    </row>
    <row r="779" spans="11:15">
      <c r="K779" s="36" t="s">
        <v>804</v>
      </c>
      <c r="L779" s="36" t="s">
        <v>40</v>
      </c>
      <c r="M779" s="36" t="s">
        <v>943</v>
      </c>
      <c r="N779" s="36" t="s">
        <v>62</v>
      </c>
      <c r="O779" s="36" t="s">
        <v>964</v>
      </c>
    </row>
    <row r="780" spans="11:15">
      <c r="K780" s="36" t="s">
        <v>804</v>
      </c>
      <c r="L780" s="36" t="s">
        <v>40</v>
      </c>
      <c r="M780" s="36" t="s">
        <v>943</v>
      </c>
      <c r="N780" s="36" t="s">
        <v>62</v>
      </c>
      <c r="O780" s="36" t="s">
        <v>965</v>
      </c>
    </row>
    <row r="781" spans="11:15">
      <c r="K781" s="36" t="s">
        <v>804</v>
      </c>
      <c r="L781" s="36" t="s">
        <v>40</v>
      </c>
      <c r="M781" s="36" t="s">
        <v>943</v>
      </c>
      <c r="N781" s="36" t="s">
        <v>62</v>
      </c>
      <c r="O781" s="36" t="s">
        <v>966</v>
      </c>
    </row>
    <row r="782" spans="11:15">
      <c r="K782" s="36" t="s">
        <v>804</v>
      </c>
      <c r="L782" s="36" t="s">
        <v>40</v>
      </c>
      <c r="M782" s="36" t="s">
        <v>943</v>
      </c>
      <c r="N782" s="36" t="s">
        <v>62</v>
      </c>
      <c r="O782" s="36" t="s">
        <v>967</v>
      </c>
    </row>
    <row r="783" spans="11:15">
      <c r="K783" s="36" t="s">
        <v>804</v>
      </c>
      <c r="L783" s="36" t="s">
        <v>40</v>
      </c>
      <c r="M783" s="36" t="s">
        <v>943</v>
      </c>
      <c r="N783" s="36" t="s">
        <v>62</v>
      </c>
      <c r="O783" s="36" t="s">
        <v>968</v>
      </c>
    </row>
    <row r="784" spans="11:15">
      <c r="K784" s="36" t="s">
        <v>804</v>
      </c>
      <c r="L784" s="36" t="s">
        <v>40</v>
      </c>
      <c r="M784" s="36" t="s">
        <v>943</v>
      </c>
      <c r="N784" s="36" t="s">
        <v>62</v>
      </c>
      <c r="O784" s="36" t="s">
        <v>969</v>
      </c>
    </row>
    <row r="785" spans="11:15">
      <c r="K785" s="36" t="s">
        <v>804</v>
      </c>
      <c r="L785" s="36" t="s">
        <v>40</v>
      </c>
      <c r="M785" s="36" t="s">
        <v>943</v>
      </c>
      <c r="N785" s="36" t="s">
        <v>62</v>
      </c>
      <c r="O785" s="36" t="s">
        <v>970</v>
      </c>
    </row>
    <row r="786" spans="11:15">
      <c r="K786" s="36" t="s">
        <v>804</v>
      </c>
      <c r="L786" s="36" t="s">
        <v>40</v>
      </c>
      <c r="M786" s="36" t="s">
        <v>943</v>
      </c>
      <c r="N786" s="36" t="s">
        <v>62</v>
      </c>
      <c r="O786" s="36" t="s">
        <v>971</v>
      </c>
    </row>
    <row r="787" spans="11:15">
      <c r="K787" s="36" t="s">
        <v>804</v>
      </c>
      <c r="L787" s="36" t="s">
        <v>40</v>
      </c>
      <c r="M787" s="36" t="s">
        <v>943</v>
      </c>
      <c r="N787" s="36" t="s">
        <v>62</v>
      </c>
      <c r="O787" s="36" t="s">
        <v>972</v>
      </c>
    </row>
    <row r="788" spans="11:15">
      <c r="K788" s="36" t="s">
        <v>804</v>
      </c>
      <c r="L788" s="36" t="s">
        <v>40</v>
      </c>
      <c r="M788" s="36" t="s">
        <v>943</v>
      </c>
      <c r="N788" s="36" t="s">
        <v>62</v>
      </c>
      <c r="O788" s="36" t="s">
        <v>973</v>
      </c>
    </row>
    <row r="789" spans="11:15">
      <c r="K789" s="36" t="s">
        <v>804</v>
      </c>
      <c r="L789" s="36" t="s">
        <v>40</v>
      </c>
      <c r="M789" s="36" t="s">
        <v>943</v>
      </c>
      <c r="N789" s="36" t="s">
        <v>62</v>
      </c>
      <c r="O789" s="36" t="s">
        <v>974</v>
      </c>
    </row>
    <row r="790" spans="11:15">
      <c r="K790" s="36" t="s">
        <v>804</v>
      </c>
      <c r="L790" s="36" t="s">
        <v>40</v>
      </c>
      <c r="M790" s="36" t="s">
        <v>943</v>
      </c>
      <c r="N790" s="36" t="s">
        <v>62</v>
      </c>
      <c r="O790" s="36" t="s">
        <v>975</v>
      </c>
    </row>
    <row r="791" spans="11:15">
      <c r="K791" s="36" t="s">
        <v>804</v>
      </c>
      <c r="L791" s="36" t="s">
        <v>40</v>
      </c>
      <c r="M791" s="36" t="s">
        <v>943</v>
      </c>
      <c r="N791" s="36" t="s">
        <v>62</v>
      </c>
      <c r="O791" s="36" t="s">
        <v>976</v>
      </c>
    </row>
    <row r="792" spans="11:15">
      <c r="K792" s="36" t="s">
        <v>804</v>
      </c>
      <c r="L792" s="36" t="s">
        <v>40</v>
      </c>
      <c r="M792" s="36" t="s">
        <v>943</v>
      </c>
      <c r="N792" s="36" t="s">
        <v>62</v>
      </c>
      <c r="O792" s="36" t="s">
        <v>977</v>
      </c>
    </row>
    <row r="793" spans="11:15">
      <c r="K793" s="36" t="s">
        <v>804</v>
      </c>
      <c r="L793" s="36" t="s">
        <v>40</v>
      </c>
      <c r="M793" s="36" t="s">
        <v>943</v>
      </c>
      <c r="N793" s="36" t="s">
        <v>62</v>
      </c>
      <c r="O793" s="36" t="s">
        <v>978</v>
      </c>
    </row>
    <row r="794" spans="11:15">
      <c r="K794" s="36" t="s">
        <v>804</v>
      </c>
      <c r="L794" s="36" t="s">
        <v>40</v>
      </c>
      <c r="M794" s="36" t="s">
        <v>943</v>
      </c>
      <c r="N794" s="36" t="s">
        <v>62</v>
      </c>
      <c r="O794" s="36" t="s">
        <v>979</v>
      </c>
    </row>
    <row r="795" spans="11:15">
      <c r="K795" s="36" t="s">
        <v>804</v>
      </c>
      <c r="L795" s="36" t="s">
        <v>40</v>
      </c>
      <c r="M795" s="36" t="s">
        <v>943</v>
      </c>
      <c r="N795" s="36" t="s">
        <v>62</v>
      </c>
      <c r="O795" s="36" t="s">
        <v>980</v>
      </c>
    </row>
    <row r="796" spans="11:15">
      <c r="K796" s="36" t="s">
        <v>804</v>
      </c>
      <c r="L796" s="36" t="s">
        <v>40</v>
      </c>
      <c r="M796" s="36" t="s">
        <v>943</v>
      </c>
      <c r="N796" s="36" t="s">
        <v>62</v>
      </c>
      <c r="O796" s="36" t="s">
        <v>981</v>
      </c>
    </row>
    <row r="797" spans="11:15">
      <c r="K797" s="36" t="s">
        <v>804</v>
      </c>
      <c r="L797" s="36" t="s">
        <v>40</v>
      </c>
      <c r="M797" s="36" t="s">
        <v>943</v>
      </c>
      <c r="N797" s="36" t="s">
        <v>62</v>
      </c>
      <c r="O797" s="36" t="s">
        <v>982</v>
      </c>
    </row>
    <row r="798" spans="11:15">
      <c r="K798" s="36" t="s">
        <v>804</v>
      </c>
      <c r="L798" s="36" t="s">
        <v>40</v>
      </c>
      <c r="M798" s="36" t="s">
        <v>943</v>
      </c>
      <c r="N798" s="36" t="s">
        <v>62</v>
      </c>
      <c r="O798" s="36" t="s">
        <v>983</v>
      </c>
    </row>
    <row r="799" spans="11:15">
      <c r="K799" s="36" t="s">
        <v>804</v>
      </c>
      <c r="L799" s="36" t="s">
        <v>40</v>
      </c>
      <c r="M799" s="36" t="s">
        <v>943</v>
      </c>
      <c r="N799" s="36" t="s">
        <v>62</v>
      </c>
      <c r="O799" s="36" t="s">
        <v>984</v>
      </c>
    </row>
    <row r="800" spans="11:15">
      <c r="K800" s="36" t="s">
        <v>804</v>
      </c>
      <c r="L800" s="36" t="s">
        <v>40</v>
      </c>
      <c r="M800" s="36" t="s">
        <v>943</v>
      </c>
      <c r="N800" s="36" t="s">
        <v>62</v>
      </c>
      <c r="O800" s="36" t="s">
        <v>985</v>
      </c>
    </row>
    <row r="801" spans="11:15">
      <c r="K801" s="36" t="s">
        <v>804</v>
      </c>
      <c r="L801" s="36" t="s">
        <v>40</v>
      </c>
      <c r="M801" s="36" t="s">
        <v>943</v>
      </c>
      <c r="N801" s="36" t="s">
        <v>62</v>
      </c>
      <c r="O801" s="36" t="s">
        <v>986</v>
      </c>
    </row>
    <row r="802" spans="11:15">
      <c r="K802" s="36" t="s">
        <v>804</v>
      </c>
      <c r="L802" s="36" t="s">
        <v>40</v>
      </c>
      <c r="M802" s="36" t="s">
        <v>943</v>
      </c>
      <c r="N802" s="36" t="s">
        <v>62</v>
      </c>
      <c r="O802" s="36" t="s">
        <v>987</v>
      </c>
    </row>
    <row r="803" spans="11:15">
      <c r="K803" s="36" t="s">
        <v>804</v>
      </c>
      <c r="L803" s="36" t="s">
        <v>40</v>
      </c>
      <c r="M803" s="36" t="s">
        <v>943</v>
      </c>
      <c r="N803" s="36" t="s">
        <v>62</v>
      </c>
      <c r="O803" s="36" t="s">
        <v>988</v>
      </c>
    </row>
    <row r="804" spans="11:15">
      <c r="K804" s="36" t="s">
        <v>804</v>
      </c>
      <c r="L804" s="36" t="s">
        <v>40</v>
      </c>
      <c r="M804" s="36" t="s">
        <v>943</v>
      </c>
      <c r="N804" s="36" t="s">
        <v>62</v>
      </c>
      <c r="O804" s="36" t="s">
        <v>989</v>
      </c>
    </row>
    <row r="805" spans="11:15">
      <c r="K805" s="36" t="s">
        <v>804</v>
      </c>
      <c r="L805" s="36" t="s">
        <v>40</v>
      </c>
      <c r="M805" s="36" t="s">
        <v>943</v>
      </c>
      <c r="N805" s="36" t="s">
        <v>62</v>
      </c>
      <c r="O805" s="36" t="s">
        <v>990</v>
      </c>
    </row>
    <row r="806" spans="11:15">
      <c r="K806" s="36" t="s">
        <v>804</v>
      </c>
      <c r="L806" s="36" t="s">
        <v>40</v>
      </c>
      <c r="M806" s="36" t="s">
        <v>943</v>
      </c>
      <c r="N806" s="36" t="s">
        <v>208</v>
      </c>
      <c r="O806" s="36" t="s">
        <v>991</v>
      </c>
    </row>
    <row r="807" spans="11:15">
      <c r="K807" s="36" t="s">
        <v>804</v>
      </c>
      <c r="L807" s="36" t="s">
        <v>40</v>
      </c>
      <c r="M807" s="36" t="s">
        <v>943</v>
      </c>
      <c r="N807" s="36" t="s">
        <v>208</v>
      </c>
      <c r="O807" s="36" t="s">
        <v>992</v>
      </c>
    </row>
    <row r="808" spans="11:15">
      <c r="K808" s="36" t="s">
        <v>804</v>
      </c>
      <c r="L808" s="36" t="s">
        <v>40</v>
      </c>
      <c r="M808" s="36" t="s">
        <v>943</v>
      </c>
      <c r="N808" s="36" t="s">
        <v>208</v>
      </c>
      <c r="O808" s="36" t="s">
        <v>993</v>
      </c>
    </row>
    <row r="809" spans="11:15">
      <c r="K809" s="36" t="s">
        <v>804</v>
      </c>
      <c r="L809" s="36" t="s">
        <v>40</v>
      </c>
      <c r="M809" s="36" t="s">
        <v>943</v>
      </c>
      <c r="N809" s="36" t="s">
        <v>208</v>
      </c>
      <c r="O809" s="36" t="s">
        <v>994</v>
      </c>
    </row>
    <row r="810" spans="11:15">
      <c r="K810" s="36" t="s">
        <v>804</v>
      </c>
      <c r="L810" s="36" t="s">
        <v>40</v>
      </c>
      <c r="M810" s="36" t="s">
        <v>943</v>
      </c>
      <c r="N810" s="36" t="s">
        <v>208</v>
      </c>
      <c r="O810" s="36" t="s">
        <v>995</v>
      </c>
    </row>
    <row r="811" spans="11:15">
      <c r="K811" s="36" t="s">
        <v>804</v>
      </c>
      <c r="L811" s="36" t="s">
        <v>40</v>
      </c>
      <c r="M811" s="36" t="s">
        <v>943</v>
      </c>
      <c r="N811" s="36" t="s">
        <v>208</v>
      </c>
      <c r="O811" s="36" t="s">
        <v>996</v>
      </c>
    </row>
    <row r="812" spans="11:15">
      <c r="K812" s="36" t="s">
        <v>804</v>
      </c>
      <c r="L812" s="36" t="s">
        <v>40</v>
      </c>
      <c r="M812" s="36" t="s">
        <v>997</v>
      </c>
      <c r="N812" s="36" t="s">
        <v>62</v>
      </c>
      <c r="O812" s="36" t="s">
        <v>998</v>
      </c>
    </row>
    <row r="813" spans="11:15">
      <c r="K813" s="36" t="s">
        <v>804</v>
      </c>
      <c r="L813" s="36" t="s">
        <v>40</v>
      </c>
      <c r="M813" s="36" t="s">
        <v>997</v>
      </c>
      <c r="N813" s="36" t="s">
        <v>62</v>
      </c>
      <c r="O813" s="36" t="s">
        <v>999</v>
      </c>
    </row>
    <row r="814" spans="11:15">
      <c r="K814" s="36" t="s">
        <v>804</v>
      </c>
      <c r="L814" s="36" t="s">
        <v>40</v>
      </c>
      <c r="M814" s="36" t="s">
        <v>997</v>
      </c>
      <c r="N814" s="36" t="s">
        <v>62</v>
      </c>
      <c r="O814" s="36" t="s">
        <v>1000</v>
      </c>
    </row>
    <row r="815" spans="11:15">
      <c r="K815" s="36" t="s">
        <v>804</v>
      </c>
      <c r="L815" s="36" t="s">
        <v>54</v>
      </c>
      <c r="M815" s="36" t="s">
        <v>665</v>
      </c>
      <c r="N815" s="36" t="s">
        <v>55</v>
      </c>
      <c r="O815" s="36" t="s">
        <v>1001</v>
      </c>
    </row>
    <row r="816" spans="11:15">
      <c r="K816" s="36" t="s">
        <v>804</v>
      </c>
      <c r="L816" s="36" t="s">
        <v>54</v>
      </c>
      <c r="M816" s="36" t="s">
        <v>665</v>
      </c>
      <c r="N816" s="36" t="s">
        <v>55</v>
      </c>
      <c r="O816" s="36" t="s">
        <v>1002</v>
      </c>
    </row>
    <row r="817" spans="11:15">
      <c r="K817" s="36" t="s">
        <v>804</v>
      </c>
      <c r="L817" s="36" t="s">
        <v>54</v>
      </c>
      <c r="M817" s="36" t="s">
        <v>665</v>
      </c>
      <c r="N817" s="36" t="s">
        <v>55</v>
      </c>
      <c r="O817" s="36" t="s">
        <v>1003</v>
      </c>
    </row>
    <row r="818" spans="11:15">
      <c r="K818" s="36" t="s">
        <v>804</v>
      </c>
      <c r="L818" s="36" t="s">
        <v>54</v>
      </c>
      <c r="M818" s="36" t="s">
        <v>665</v>
      </c>
      <c r="N818" s="36" t="s">
        <v>55</v>
      </c>
      <c r="O818" s="36" t="s">
        <v>1004</v>
      </c>
    </row>
    <row r="819" spans="11:15">
      <c r="K819" s="36" t="s">
        <v>804</v>
      </c>
      <c r="L819" s="36" t="s">
        <v>54</v>
      </c>
      <c r="M819" s="36" t="s">
        <v>665</v>
      </c>
      <c r="N819" s="36" t="s">
        <v>55</v>
      </c>
      <c r="O819" s="36" t="s">
        <v>1005</v>
      </c>
    </row>
    <row r="820" spans="11:15">
      <c r="K820" s="36" t="s">
        <v>804</v>
      </c>
      <c r="L820" s="36" t="s">
        <v>54</v>
      </c>
      <c r="M820" s="36" t="s">
        <v>665</v>
      </c>
      <c r="N820" s="36" t="s">
        <v>55</v>
      </c>
      <c r="O820" s="36" t="s">
        <v>1006</v>
      </c>
    </row>
    <row r="821" spans="11:15">
      <c r="K821" s="36" t="s">
        <v>804</v>
      </c>
      <c r="L821" s="36" t="s">
        <v>54</v>
      </c>
      <c r="M821" s="36" t="s">
        <v>665</v>
      </c>
      <c r="N821" s="36" t="s">
        <v>55</v>
      </c>
      <c r="O821" s="36" t="s">
        <v>1007</v>
      </c>
    </row>
    <row r="822" spans="11:15">
      <c r="K822" s="36" t="s">
        <v>804</v>
      </c>
      <c r="L822" s="36" t="s">
        <v>54</v>
      </c>
      <c r="M822" s="36" t="s">
        <v>665</v>
      </c>
      <c r="N822" s="36" t="s">
        <v>55</v>
      </c>
      <c r="O822" s="36" t="s">
        <v>1008</v>
      </c>
    </row>
    <row r="823" spans="11:15">
      <c r="K823" s="36" t="s">
        <v>804</v>
      </c>
      <c r="L823" s="36" t="s">
        <v>54</v>
      </c>
      <c r="M823" s="36" t="s">
        <v>665</v>
      </c>
      <c r="N823" s="36" t="s">
        <v>55</v>
      </c>
      <c r="O823" s="36" t="s">
        <v>1009</v>
      </c>
    </row>
    <row r="824" spans="11:15">
      <c r="K824" s="36" t="s">
        <v>804</v>
      </c>
      <c r="L824" s="36" t="s">
        <v>54</v>
      </c>
      <c r="M824" s="36" t="s">
        <v>665</v>
      </c>
      <c r="N824" s="36" t="s">
        <v>55</v>
      </c>
      <c r="O824" s="36" t="s">
        <v>1010</v>
      </c>
    </row>
    <row r="825" spans="11:15">
      <c r="K825" s="36" t="s">
        <v>804</v>
      </c>
      <c r="L825" s="36" t="s">
        <v>54</v>
      </c>
      <c r="M825" s="36" t="s">
        <v>665</v>
      </c>
      <c r="N825" s="36" t="s">
        <v>55</v>
      </c>
      <c r="O825" s="36" t="s">
        <v>1011</v>
      </c>
    </row>
    <row r="826" spans="11:15">
      <c r="K826" s="36" t="s">
        <v>804</v>
      </c>
      <c r="L826" s="36" t="s">
        <v>54</v>
      </c>
      <c r="M826" s="36" t="s">
        <v>665</v>
      </c>
      <c r="N826" s="36" t="s">
        <v>55</v>
      </c>
      <c r="O826" s="36" t="s">
        <v>1012</v>
      </c>
    </row>
    <row r="827" spans="11:15">
      <c r="K827" s="36" t="s">
        <v>804</v>
      </c>
      <c r="L827" s="36" t="s">
        <v>54</v>
      </c>
      <c r="M827" s="36" t="s">
        <v>665</v>
      </c>
      <c r="N827" s="36" t="s">
        <v>55</v>
      </c>
      <c r="O827" s="36" t="s">
        <v>1013</v>
      </c>
    </row>
    <row r="828" spans="11:15">
      <c r="K828" s="36" t="s">
        <v>804</v>
      </c>
      <c r="L828" s="36" t="s">
        <v>54</v>
      </c>
      <c r="M828" s="36" t="s">
        <v>665</v>
      </c>
      <c r="N828" s="36" t="s">
        <v>55</v>
      </c>
      <c r="O828" s="36" t="s">
        <v>1014</v>
      </c>
    </row>
    <row r="829" spans="11:15">
      <c r="K829" s="36" t="s">
        <v>804</v>
      </c>
      <c r="L829" s="36" t="s">
        <v>54</v>
      </c>
      <c r="M829" s="36" t="s">
        <v>665</v>
      </c>
      <c r="N829" s="36" t="s">
        <v>55</v>
      </c>
      <c r="O829" s="36" t="s">
        <v>1015</v>
      </c>
    </row>
    <row r="830" spans="11:15">
      <c r="K830" s="36" t="s">
        <v>804</v>
      </c>
      <c r="L830" s="36" t="s">
        <v>54</v>
      </c>
      <c r="M830" s="36" t="s">
        <v>665</v>
      </c>
      <c r="N830" s="36" t="s">
        <v>55</v>
      </c>
      <c r="O830" s="36" t="s">
        <v>1016</v>
      </c>
    </row>
    <row r="831" spans="11:15">
      <c r="K831" s="36" t="s">
        <v>804</v>
      </c>
      <c r="L831" s="36" t="s">
        <v>54</v>
      </c>
      <c r="M831" s="36" t="s">
        <v>665</v>
      </c>
      <c r="N831" s="36" t="s">
        <v>55</v>
      </c>
      <c r="O831" s="36" t="s">
        <v>1017</v>
      </c>
    </row>
    <row r="832" spans="11:15">
      <c r="K832" s="36" t="s">
        <v>804</v>
      </c>
      <c r="L832" s="36" t="s">
        <v>54</v>
      </c>
      <c r="M832" s="36" t="s">
        <v>665</v>
      </c>
      <c r="N832" s="36" t="s">
        <v>55</v>
      </c>
      <c r="O832" s="36" t="s">
        <v>1018</v>
      </c>
    </row>
    <row r="833" spans="11:15">
      <c r="K833" s="36" t="s">
        <v>804</v>
      </c>
      <c r="L833" s="36" t="s">
        <v>54</v>
      </c>
      <c r="M833" s="36" t="s">
        <v>665</v>
      </c>
      <c r="N833" s="36" t="s">
        <v>55</v>
      </c>
      <c r="O833" s="36" t="s">
        <v>1019</v>
      </c>
    </row>
    <row r="834" spans="11:15">
      <c r="K834" s="36" t="s">
        <v>804</v>
      </c>
      <c r="L834" s="36" t="s">
        <v>54</v>
      </c>
      <c r="M834" s="36" t="s">
        <v>665</v>
      </c>
      <c r="N834" s="36" t="s">
        <v>55</v>
      </c>
      <c r="O834" s="36" t="s">
        <v>1020</v>
      </c>
    </row>
    <row r="835" spans="11:15">
      <c r="K835" s="36" t="s">
        <v>804</v>
      </c>
      <c r="L835" s="36" t="s">
        <v>54</v>
      </c>
      <c r="M835" s="36" t="s">
        <v>665</v>
      </c>
      <c r="N835" s="36" t="s">
        <v>55</v>
      </c>
      <c r="O835" s="36" t="s">
        <v>1021</v>
      </c>
    </row>
    <row r="836" spans="11:15">
      <c r="K836" s="36" t="s">
        <v>804</v>
      </c>
      <c r="L836" s="36" t="s">
        <v>54</v>
      </c>
      <c r="M836" s="36" t="s">
        <v>665</v>
      </c>
      <c r="N836" s="36" t="s">
        <v>55</v>
      </c>
      <c r="O836" s="36" t="s">
        <v>1022</v>
      </c>
    </row>
    <row r="837" spans="11:15">
      <c r="K837" s="36" t="s">
        <v>804</v>
      </c>
      <c r="L837" s="36" t="s">
        <v>54</v>
      </c>
      <c r="M837" s="36" t="s">
        <v>665</v>
      </c>
      <c r="N837" s="36" t="s">
        <v>55</v>
      </c>
      <c r="O837" s="36" t="s">
        <v>1023</v>
      </c>
    </row>
    <row r="838" spans="11:15">
      <c r="K838" s="36" t="s">
        <v>804</v>
      </c>
      <c r="L838" s="36" t="s">
        <v>54</v>
      </c>
      <c r="M838" s="36" t="s">
        <v>665</v>
      </c>
      <c r="N838" s="36" t="s">
        <v>62</v>
      </c>
      <c r="O838" s="36" t="s">
        <v>1024</v>
      </c>
    </row>
    <row r="839" spans="11:15">
      <c r="K839" s="36" t="s">
        <v>804</v>
      </c>
      <c r="L839" s="36" t="s">
        <v>54</v>
      </c>
      <c r="M839" s="36" t="s">
        <v>665</v>
      </c>
      <c r="N839" s="36" t="s">
        <v>62</v>
      </c>
      <c r="O839" s="36" t="s">
        <v>1025</v>
      </c>
    </row>
    <row r="840" spans="11:15">
      <c r="K840" s="36" t="s">
        <v>804</v>
      </c>
      <c r="L840" s="36" t="s">
        <v>54</v>
      </c>
      <c r="M840" s="36" t="s">
        <v>665</v>
      </c>
      <c r="N840" s="36" t="s">
        <v>62</v>
      </c>
      <c r="O840" s="36" t="s">
        <v>1026</v>
      </c>
    </row>
    <row r="841" spans="11:15">
      <c r="K841" s="36" t="s">
        <v>804</v>
      </c>
      <c r="L841" s="36" t="s">
        <v>54</v>
      </c>
      <c r="M841" s="36" t="s">
        <v>665</v>
      </c>
      <c r="N841" s="36" t="s">
        <v>62</v>
      </c>
      <c r="O841" s="36" t="s">
        <v>1027</v>
      </c>
    </row>
    <row r="842" spans="11:15">
      <c r="K842" s="36" t="s">
        <v>804</v>
      </c>
      <c r="L842" s="36" t="s">
        <v>54</v>
      </c>
      <c r="M842" s="36" t="s">
        <v>665</v>
      </c>
      <c r="N842" s="36" t="s">
        <v>62</v>
      </c>
      <c r="O842" s="36" t="s">
        <v>1028</v>
      </c>
    </row>
    <row r="843" spans="11:15">
      <c r="K843" s="36" t="s">
        <v>804</v>
      </c>
      <c r="L843" s="36" t="s">
        <v>54</v>
      </c>
      <c r="M843" s="36" t="s">
        <v>665</v>
      </c>
      <c r="N843" s="36" t="s">
        <v>62</v>
      </c>
      <c r="O843" s="36" t="s">
        <v>1029</v>
      </c>
    </row>
    <row r="844" spans="11:15">
      <c r="K844" s="36" t="s">
        <v>804</v>
      </c>
      <c r="L844" s="36" t="s">
        <v>54</v>
      </c>
      <c r="M844" s="36" t="s">
        <v>665</v>
      </c>
      <c r="N844" s="36" t="s">
        <v>62</v>
      </c>
      <c r="O844" s="36" t="s">
        <v>1030</v>
      </c>
    </row>
    <row r="845" spans="11:15">
      <c r="K845" s="36" t="s">
        <v>804</v>
      </c>
      <c r="L845" s="36" t="s">
        <v>54</v>
      </c>
      <c r="M845" s="36" t="s">
        <v>665</v>
      </c>
      <c r="N845" s="36" t="s">
        <v>62</v>
      </c>
      <c r="O845" s="36" t="s">
        <v>1031</v>
      </c>
    </row>
    <row r="846" spans="11:15">
      <c r="K846" s="36" t="s">
        <v>804</v>
      </c>
      <c r="L846" s="36" t="s">
        <v>54</v>
      </c>
      <c r="M846" s="36" t="s">
        <v>665</v>
      </c>
      <c r="N846" s="36" t="s">
        <v>62</v>
      </c>
      <c r="O846" s="36" t="s">
        <v>1032</v>
      </c>
    </row>
    <row r="847" spans="11:15">
      <c r="K847" s="36" t="s">
        <v>804</v>
      </c>
      <c r="L847" s="36" t="s">
        <v>54</v>
      </c>
      <c r="M847" s="36" t="s">
        <v>665</v>
      </c>
      <c r="N847" s="36" t="s">
        <v>62</v>
      </c>
      <c r="O847" s="36" t="s">
        <v>1033</v>
      </c>
    </row>
    <row r="848" spans="11:15">
      <c r="K848" s="36" t="s">
        <v>804</v>
      </c>
      <c r="L848" s="36" t="s">
        <v>54</v>
      </c>
      <c r="M848" s="36" t="s">
        <v>665</v>
      </c>
      <c r="N848" s="36" t="s">
        <v>62</v>
      </c>
      <c r="O848" s="36" t="s">
        <v>1034</v>
      </c>
    </row>
    <row r="849" spans="11:15">
      <c r="K849" s="36" t="s">
        <v>804</v>
      </c>
      <c r="L849" s="36" t="s">
        <v>54</v>
      </c>
      <c r="M849" s="36" t="s">
        <v>665</v>
      </c>
      <c r="N849" s="36" t="s">
        <v>62</v>
      </c>
      <c r="O849" s="36" t="s">
        <v>1035</v>
      </c>
    </row>
    <row r="850" spans="11:15">
      <c r="K850" s="36" t="s">
        <v>804</v>
      </c>
      <c r="L850" s="36" t="s">
        <v>54</v>
      </c>
      <c r="M850" s="36" t="s">
        <v>665</v>
      </c>
      <c r="N850" s="36" t="s">
        <v>208</v>
      </c>
      <c r="O850" s="36" t="s">
        <v>1036</v>
      </c>
    </row>
    <row r="851" spans="11:15">
      <c r="K851" s="36" t="s">
        <v>804</v>
      </c>
      <c r="L851" s="36" t="s">
        <v>54</v>
      </c>
      <c r="M851" s="36" t="s">
        <v>665</v>
      </c>
      <c r="N851" s="36" t="s">
        <v>208</v>
      </c>
      <c r="O851" s="36" t="s">
        <v>1037</v>
      </c>
    </row>
    <row r="852" spans="11:15">
      <c r="K852" s="36" t="s">
        <v>804</v>
      </c>
      <c r="L852" s="36" t="s">
        <v>54</v>
      </c>
      <c r="M852" s="36" t="s">
        <v>665</v>
      </c>
      <c r="N852" s="36" t="s">
        <v>208</v>
      </c>
      <c r="O852" s="36" t="s">
        <v>1038</v>
      </c>
    </row>
    <row r="853" spans="11:15">
      <c r="K853" s="36" t="s">
        <v>804</v>
      </c>
      <c r="L853" s="36" t="s">
        <v>54</v>
      </c>
      <c r="M853" s="36" t="s">
        <v>665</v>
      </c>
      <c r="N853" s="36" t="s">
        <v>208</v>
      </c>
      <c r="O853" s="36" t="s">
        <v>1039</v>
      </c>
    </row>
    <row r="854" spans="11:15">
      <c r="K854" s="36" t="s">
        <v>804</v>
      </c>
      <c r="L854" s="36" t="s">
        <v>54</v>
      </c>
      <c r="M854" s="36" t="s">
        <v>665</v>
      </c>
      <c r="N854" s="36" t="s">
        <v>208</v>
      </c>
      <c r="O854" s="36" t="s">
        <v>1040</v>
      </c>
    </row>
    <row r="855" spans="11:15">
      <c r="K855" s="36" t="s">
        <v>804</v>
      </c>
      <c r="L855" s="36" t="s">
        <v>54</v>
      </c>
      <c r="M855" s="36" t="s">
        <v>665</v>
      </c>
      <c r="N855" s="36" t="s">
        <v>208</v>
      </c>
      <c r="O855" s="36" t="s">
        <v>1041</v>
      </c>
    </row>
    <row r="856" spans="11:15">
      <c r="K856" s="36" t="s">
        <v>804</v>
      </c>
      <c r="L856" s="36" t="s">
        <v>54</v>
      </c>
      <c r="M856" s="36" t="s">
        <v>665</v>
      </c>
      <c r="N856" s="36" t="s">
        <v>208</v>
      </c>
      <c r="O856" s="36" t="s">
        <v>1042</v>
      </c>
    </row>
    <row r="857" spans="11:15">
      <c r="K857" s="36" t="s">
        <v>804</v>
      </c>
      <c r="L857" s="36" t="s">
        <v>54</v>
      </c>
      <c r="M857" s="36" t="s">
        <v>665</v>
      </c>
      <c r="N857" s="36" t="s">
        <v>208</v>
      </c>
      <c r="O857" s="36" t="s">
        <v>1043</v>
      </c>
    </row>
    <row r="858" spans="11:15">
      <c r="K858" s="36" t="s">
        <v>804</v>
      </c>
      <c r="L858" s="36" t="s">
        <v>54</v>
      </c>
      <c r="M858" s="36" t="s">
        <v>665</v>
      </c>
      <c r="N858" s="36" t="s">
        <v>208</v>
      </c>
      <c r="O858" s="36" t="s">
        <v>1044</v>
      </c>
    </row>
    <row r="859" spans="11:15">
      <c r="K859" s="36" t="s">
        <v>804</v>
      </c>
      <c r="L859" s="36" t="s">
        <v>54</v>
      </c>
      <c r="M859" s="36" t="s">
        <v>665</v>
      </c>
      <c r="N859" s="36" t="s">
        <v>208</v>
      </c>
      <c r="O859" s="36" t="s">
        <v>1045</v>
      </c>
    </row>
    <row r="860" spans="11:15">
      <c r="K860" s="36" t="s">
        <v>804</v>
      </c>
      <c r="L860" s="36" t="s">
        <v>54</v>
      </c>
      <c r="M860" s="36" t="s">
        <v>665</v>
      </c>
      <c r="N860" s="36" t="s">
        <v>208</v>
      </c>
      <c r="O860" s="36" t="s">
        <v>1046</v>
      </c>
    </row>
    <row r="861" spans="11:15">
      <c r="K861" s="36" t="s">
        <v>804</v>
      </c>
      <c r="L861" s="36" t="s">
        <v>54</v>
      </c>
      <c r="M861" s="36" t="s">
        <v>665</v>
      </c>
      <c r="N861" s="36" t="s">
        <v>208</v>
      </c>
      <c r="O861" s="36" t="s">
        <v>1047</v>
      </c>
    </row>
    <row r="862" spans="11:15">
      <c r="K862" s="36" t="s">
        <v>804</v>
      </c>
      <c r="L862" s="36" t="s">
        <v>54</v>
      </c>
      <c r="M862" s="36" t="s">
        <v>665</v>
      </c>
      <c r="N862" s="36" t="s">
        <v>208</v>
      </c>
      <c r="O862" s="36" t="s">
        <v>1048</v>
      </c>
    </row>
    <row r="863" spans="11:15">
      <c r="K863" s="36" t="s">
        <v>804</v>
      </c>
      <c r="L863" s="36" t="s">
        <v>54</v>
      </c>
      <c r="M863" s="36" t="s">
        <v>665</v>
      </c>
      <c r="N863" s="36" t="s">
        <v>208</v>
      </c>
      <c r="O863" s="36" t="s">
        <v>1049</v>
      </c>
    </row>
    <row r="864" spans="11:15">
      <c r="K864" s="36" t="s">
        <v>804</v>
      </c>
      <c r="L864" s="36" t="s">
        <v>54</v>
      </c>
      <c r="M864" s="36" t="s">
        <v>665</v>
      </c>
      <c r="N864" s="36" t="s">
        <v>208</v>
      </c>
      <c r="O864" s="36" t="s">
        <v>1050</v>
      </c>
    </row>
    <row r="865" spans="11:15">
      <c r="K865" s="36" t="s">
        <v>804</v>
      </c>
      <c r="L865" s="36" t="s">
        <v>54</v>
      </c>
      <c r="M865" s="36" t="s">
        <v>665</v>
      </c>
      <c r="N865" s="36" t="s">
        <v>208</v>
      </c>
      <c r="O865" s="36" t="s">
        <v>1051</v>
      </c>
    </row>
    <row r="866" spans="11:15">
      <c r="K866" s="36" t="s">
        <v>804</v>
      </c>
      <c r="L866" s="36" t="s">
        <v>54</v>
      </c>
      <c r="M866" s="36" t="s">
        <v>665</v>
      </c>
      <c r="N866" s="36" t="s">
        <v>208</v>
      </c>
      <c r="O866" s="36" t="s">
        <v>1052</v>
      </c>
    </row>
    <row r="867" spans="11:15">
      <c r="K867" s="36" t="s">
        <v>804</v>
      </c>
      <c r="L867" s="36" t="s">
        <v>54</v>
      </c>
      <c r="M867" s="36" t="s">
        <v>665</v>
      </c>
      <c r="N867" s="36" t="s">
        <v>208</v>
      </c>
      <c r="O867" s="36" t="s">
        <v>1053</v>
      </c>
    </row>
    <row r="868" spans="11:15">
      <c r="K868" s="36" t="s">
        <v>804</v>
      </c>
      <c r="L868" s="36" t="s">
        <v>54</v>
      </c>
      <c r="M868" s="36" t="s">
        <v>665</v>
      </c>
      <c r="N868" s="36" t="s">
        <v>208</v>
      </c>
      <c r="O868" s="36" t="s">
        <v>1054</v>
      </c>
    </row>
    <row r="869" spans="11:15">
      <c r="K869" s="36" t="s">
        <v>804</v>
      </c>
      <c r="L869" s="36" t="s">
        <v>54</v>
      </c>
      <c r="M869" s="36" t="s">
        <v>665</v>
      </c>
      <c r="N869" s="36" t="s">
        <v>208</v>
      </c>
      <c r="O869" s="36" t="s">
        <v>1055</v>
      </c>
    </row>
    <row r="870" spans="11:15">
      <c r="K870" s="36" t="s">
        <v>804</v>
      </c>
      <c r="L870" s="36" t="s">
        <v>54</v>
      </c>
      <c r="M870" s="36" t="s">
        <v>665</v>
      </c>
      <c r="N870" s="36" t="s">
        <v>208</v>
      </c>
      <c r="O870" s="36" t="s">
        <v>1056</v>
      </c>
    </row>
    <row r="871" spans="11:15">
      <c r="K871" s="36" t="s">
        <v>804</v>
      </c>
      <c r="L871" s="36" t="s">
        <v>54</v>
      </c>
      <c r="M871" s="36" t="s">
        <v>665</v>
      </c>
      <c r="N871" s="36" t="s">
        <v>208</v>
      </c>
      <c r="O871" s="36" t="s">
        <v>1057</v>
      </c>
    </row>
    <row r="872" spans="11:15">
      <c r="K872" s="36" t="s">
        <v>804</v>
      </c>
      <c r="L872" s="36" t="s">
        <v>54</v>
      </c>
      <c r="M872" s="36" t="s">
        <v>665</v>
      </c>
      <c r="N872" s="36" t="s">
        <v>208</v>
      </c>
      <c r="O872" s="36" t="s">
        <v>1058</v>
      </c>
    </row>
    <row r="873" spans="11:15">
      <c r="K873" s="36" t="s">
        <v>804</v>
      </c>
      <c r="L873" s="36" t="s">
        <v>54</v>
      </c>
      <c r="M873" s="36" t="s">
        <v>665</v>
      </c>
      <c r="N873" s="36" t="s">
        <v>208</v>
      </c>
      <c r="O873" s="36" t="s">
        <v>1059</v>
      </c>
    </row>
    <row r="874" spans="11:15">
      <c r="K874" s="36" t="s">
        <v>804</v>
      </c>
      <c r="L874" s="36" t="s">
        <v>54</v>
      </c>
      <c r="M874" s="36" t="s">
        <v>1060</v>
      </c>
      <c r="N874" s="36" t="s">
        <v>55</v>
      </c>
      <c r="O874" s="36" t="s">
        <v>1061</v>
      </c>
    </row>
    <row r="875" spans="11:15">
      <c r="K875" s="36" t="s">
        <v>804</v>
      </c>
      <c r="L875" s="36" t="s">
        <v>54</v>
      </c>
      <c r="M875" s="36" t="s">
        <v>1060</v>
      </c>
      <c r="N875" s="36" t="s">
        <v>55</v>
      </c>
      <c r="O875" s="36" t="s">
        <v>1062</v>
      </c>
    </row>
    <row r="876" spans="11:15">
      <c r="K876" s="36" t="s">
        <v>804</v>
      </c>
      <c r="L876" s="36" t="s">
        <v>54</v>
      </c>
      <c r="M876" s="36" t="s">
        <v>1060</v>
      </c>
      <c r="N876" s="36" t="s">
        <v>55</v>
      </c>
      <c r="O876" s="36" t="s">
        <v>1063</v>
      </c>
    </row>
    <row r="877" spans="11:15">
      <c r="K877" s="36" t="s">
        <v>804</v>
      </c>
      <c r="L877" s="36" t="s">
        <v>54</v>
      </c>
      <c r="M877" s="36" t="s">
        <v>1060</v>
      </c>
      <c r="N877" s="36" t="s">
        <v>55</v>
      </c>
      <c r="O877" s="36" t="s">
        <v>1064</v>
      </c>
    </row>
    <row r="878" spans="11:15">
      <c r="K878" s="36" t="s">
        <v>804</v>
      </c>
      <c r="L878" s="36" t="s">
        <v>54</v>
      </c>
      <c r="M878" s="36" t="s">
        <v>1060</v>
      </c>
      <c r="N878" s="36" t="s">
        <v>55</v>
      </c>
      <c r="O878" s="36" t="s">
        <v>1065</v>
      </c>
    </row>
    <row r="879" spans="11:15">
      <c r="K879" s="36" t="s">
        <v>804</v>
      </c>
      <c r="L879" s="36" t="s">
        <v>54</v>
      </c>
      <c r="M879" s="36" t="s">
        <v>1060</v>
      </c>
      <c r="N879" s="36" t="s">
        <v>55</v>
      </c>
      <c r="O879" s="36" t="s">
        <v>1066</v>
      </c>
    </row>
    <row r="880" spans="11:15">
      <c r="K880" s="36" t="s">
        <v>804</v>
      </c>
      <c r="L880" s="36" t="s">
        <v>54</v>
      </c>
      <c r="M880" s="36" t="s">
        <v>1060</v>
      </c>
      <c r="N880" s="36" t="s">
        <v>55</v>
      </c>
      <c r="O880" s="36" t="s">
        <v>1067</v>
      </c>
    </row>
    <row r="881" spans="11:15">
      <c r="K881" s="36" t="s">
        <v>804</v>
      </c>
      <c r="L881" s="36" t="s">
        <v>54</v>
      </c>
      <c r="M881" s="36" t="s">
        <v>1060</v>
      </c>
      <c r="N881" s="36" t="s">
        <v>55</v>
      </c>
      <c r="O881" s="36" t="s">
        <v>1068</v>
      </c>
    </row>
    <row r="882" spans="11:15">
      <c r="K882" s="36" t="s">
        <v>804</v>
      </c>
      <c r="L882" s="36" t="s">
        <v>54</v>
      </c>
      <c r="M882" s="36" t="s">
        <v>1060</v>
      </c>
      <c r="N882" s="36" t="s">
        <v>55</v>
      </c>
      <c r="O882" s="36" t="s">
        <v>1069</v>
      </c>
    </row>
    <row r="883" spans="11:15">
      <c r="K883" s="36" t="s">
        <v>804</v>
      </c>
      <c r="L883" s="36" t="s">
        <v>54</v>
      </c>
      <c r="M883" s="36" t="s">
        <v>1060</v>
      </c>
      <c r="N883" s="36" t="s">
        <v>55</v>
      </c>
      <c r="O883" s="36" t="s">
        <v>1070</v>
      </c>
    </row>
    <row r="884" spans="11:15">
      <c r="K884" s="36" t="s">
        <v>804</v>
      </c>
      <c r="L884" s="36" t="s">
        <v>54</v>
      </c>
      <c r="M884" s="36" t="s">
        <v>1060</v>
      </c>
      <c r="N884" s="36" t="s">
        <v>55</v>
      </c>
      <c r="O884" s="36" t="s">
        <v>1071</v>
      </c>
    </row>
    <row r="885" spans="11:15">
      <c r="K885" s="36" t="s">
        <v>804</v>
      </c>
      <c r="L885" s="36" t="s">
        <v>54</v>
      </c>
      <c r="M885" s="36" t="s">
        <v>1060</v>
      </c>
      <c r="N885" s="36" t="s">
        <v>55</v>
      </c>
      <c r="O885" s="36" t="s">
        <v>1072</v>
      </c>
    </row>
    <row r="886" spans="11:15">
      <c r="K886" s="36" t="s">
        <v>804</v>
      </c>
      <c r="L886" s="36" t="s">
        <v>54</v>
      </c>
      <c r="M886" s="36" t="s">
        <v>1060</v>
      </c>
      <c r="N886" s="36" t="s">
        <v>55</v>
      </c>
      <c r="O886" s="36" t="s">
        <v>1073</v>
      </c>
    </row>
    <row r="887" spans="11:15">
      <c r="K887" s="36" t="s">
        <v>804</v>
      </c>
      <c r="L887" s="36" t="s">
        <v>54</v>
      </c>
      <c r="M887" s="36" t="s">
        <v>1060</v>
      </c>
      <c r="N887" s="36" t="s">
        <v>55</v>
      </c>
      <c r="O887" s="36" t="s">
        <v>1074</v>
      </c>
    </row>
    <row r="888" spans="11:15">
      <c r="K888" s="36" t="s">
        <v>804</v>
      </c>
      <c r="L888" s="36" t="s">
        <v>54</v>
      </c>
      <c r="M888" s="36" t="s">
        <v>1060</v>
      </c>
      <c r="N888" s="36" t="s">
        <v>55</v>
      </c>
      <c r="O888" s="36" t="s">
        <v>1075</v>
      </c>
    </row>
    <row r="889" spans="11:15">
      <c r="K889" s="36" t="s">
        <v>804</v>
      </c>
      <c r="L889" s="36" t="s">
        <v>54</v>
      </c>
      <c r="M889" s="36" t="s">
        <v>1060</v>
      </c>
      <c r="N889" s="36" t="s">
        <v>55</v>
      </c>
      <c r="O889" s="36" t="s">
        <v>1076</v>
      </c>
    </row>
    <row r="890" spans="11:15">
      <c r="K890" s="36" t="s">
        <v>804</v>
      </c>
      <c r="L890" s="36" t="s">
        <v>54</v>
      </c>
      <c r="M890" s="36" t="s">
        <v>1060</v>
      </c>
      <c r="N890" s="36" t="s">
        <v>55</v>
      </c>
      <c r="O890" s="36" t="s">
        <v>1077</v>
      </c>
    </row>
    <row r="891" spans="11:15">
      <c r="K891" s="36" t="s">
        <v>804</v>
      </c>
      <c r="L891" s="36" t="s">
        <v>54</v>
      </c>
      <c r="M891" s="36" t="s">
        <v>1060</v>
      </c>
      <c r="N891" s="36" t="s">
        <v>55</v>
      </c>
      <c r="O891" s="36" t="s">
        <v>1078</v>
      </c>
    </row>
    <row r="892" spans="11:15">
      <c r="K892" s="36" t="s">
        <v>804</v>
      </c>
      <c r="L892" s="36" t="s">
        <v>54</v>
      </c>
      <c r="M892" s="36" t="s">
        <v>1060</v>
      </c>
      <c r="N892" s="36" t="s">
        <v>55</v>
      </c>
      <c r="O892" s="36" t="s">
        <v>1079</v>
      </c>
    </row>
    <row r="893" spans="11:15">
      <c r="K893" s="36" t="s">
        <v>804</v>
      </c>
      <c r="L893" s="36" t="s">
        <v>54</v>
      </c>
      <c r="M893" s="36" t="s">
        <v>1060</v>
      </c>
      <c r="N893" s="36" t="s">
        <v>55</v>
      </c>
      <c r="O893" s="36" t="s">
        <v>1080</v>
      </c>
    </row>
    <row r="894" spans="11:15">
      <c r="K894" s="36" t="s">
        <v>804</v>
      </c>
      <c r="L894" s="36" t="s">
        <v>54</v>
      </c>
      <c r="M894" s="36" t="s">
        <v>1060</v>
      </c>
      <c r="N894" s="36" t="s">
        <v>55</v>
      </c>
      <c r="O894" s="36" t="s">
        <v>1081</v>
      </c>
    </row>
    <row r="895" spans="11:15">
      <c r="K895" s="36" t="s">
        <v>804</v>
      </c>
      <c r="L895" s="36" t="s">
        <v>54</v>
      </c>
      <c r="M895" s="36" t="s">
        <v>1060</v>
      </c>
      <c r="N895" s="36" t="s">
        <v>55</v>
      </c>
      <c r="O895" s="36" t="s">
        <v>1082</v>
      </c>
    </row>
    <row r="896" spans="11:15">
      <c r="K896" s="36" t="s">
        <v>804</v>
      </c>
      <c r="L896" s="36" t="s">
        <v>54</v>
      </c>
      <c r="M896" s="36" t="s">
        <v>1060</v>
      </c>
      <c r="N896" s="36" t="s">
        <v>55</v>
      </c>
      <c r="O896" s="36" t="s">
        <v>1083</v>
      </c>
    </row>
    <row r="897" spans="11:15">
      <c r="K897" s="36" t="s">
        <v>804</v>
      </c>
      <c r="L897" s="36" t="s">
        <v>54</v>
      </c>
      <c r="M897" s="36" t="s">
        <v>1060</v>
      </c>
      <c r="N897" s="36" t="s">
        <v>55</v>
      </c>
      <c r="O897" s="36" t="s">
        <v>1084</v>
      </c>
    </row>
    <row r="898" spans="11:15">
      <c r="K898" s="36" t="s">
        <v>804</v>
      </c>
      <c r="L898" s="36" t="s">
        <v>54</v>
      </c>
      <c r="M898" s="36" t="s">
        <v>1060</v>
      </c>
      <c r="N898" s="36" t="s">
        <v>55</v>
      </c>
      <c r="O898" s="36" t="s">
        <v>1085</v>
      </c>
    </row>
    <row r="899" spans="11:15">
      <c r="K899" s="36" t="s">
        <v>804</v>
      </c>
      <c r="L899" s="36" t="s">
        <v>54</v>
      </c>
      <c r="M899" s="36" t="s">
        <v>1060</v>
      </c>
      <c r="N899" s="36" t="s">
        <v>55</v>
      </c>
      <c r="O899" s="36" t="s">
        <v>1086</v>
      </c>
    </row>
    <row r="900" spans="11:15">
      <c r="K900" s="36" t="s">
        <v>804</v>
      </c>
      <c r="L900" s="36" t="s">
        <v>54</v>
      </c>
      <c r="M900" s="36" t="s">
        <v>1060</v>
      </c>
      <c r="N900" s="36" t="s">
        <v>55</v>
      </c>
      <c r="O900" s="36" t="s">
        <v>1087</v>
      </c>
    </row>
    <row r="901" spans="11:15">
      <c r="K901" s="36" t="s">
        <v>804</v>
      </c>
      <c r="L901" s="36" t="s">
        <v>54</v>
      </c>
      <c r="M901" s="36" t="s">
        <v>1060</v>
      </c>
      <c r="N901" s="36" t="s">
        <v>55</v>
      </c>
      <c r="O901" s="36" t="s">
        <v>1088</v>
      </c>
    </row>
    <row r="902" spans="11:15">
      <c r="K902" s="36" t="s">
        <v>804</v>
      </c>
      <c r="L902" s="36" t="s">
        <v>54</v>
      </c>
      <c r="M902" s="36" t="s">
        <v>1060</v>
      </c>
      <c r="N902" s="36" t="s">
        <v>55</v>
      </c>
      <c r="O902" s="36" t="s">
        <v>1089</v>
      </c>
    </row>
    <row r="903" spans="11:15">
      <c r="K903" s="36" t="s">
        <v>804</v>
      </c>
      <c r="L903" s="36" t="s">
        <v>54</v>
      </c>
      <c r="M903" s="36" t="s">
        <v>1060</v>
      </c>
      <c r="N903" s="36" t="s">
        <v>55</v>
      </c>
      <c r="O903" s="36" t="s">
        <v>1090</v>
      </c>
    </row>
    <row r="904" spans="11:15">
      <c r="K904" s="36" t="s">
        <v>804</v>
      </c>
      <c r="L904" s="36" t="s">
        <v>54</v>
      </c>
      <c r="M904" s="36" t="s">
        <v>1060</v>
      </c>
      <c r="N904" s="36" t="s">
        <v>55</v>
      </c>
      <c r="O904" s="36" t="s">
        <v>1091</v>
      </c>
    </row>
    <row r="905" spans="11:15">
      <c r="K905" s="36" t="s">
        <v>804</v>
      </c>
      <c r="L905" s="36" t="s">
        <v>54</v>
      </c>
      <c r="M905" s="36" t="s">
        <v>1060</v>
      </c>
      <c r="N905" s="36" t="s">
        <v>55</v>
      </c>
      <c r="O905" s="36" t="s">
        <v>1092</v>
      </c>
    </row>
    <row r="906" spans="11:15">
      <c r="K906" s="36" t="s">
        <v>804</v>
      </c>
      <c r="L906" s="36" t="s">
        <v>54</v>
      </c>
      <c r="M906" s="36" t="s">
        <v>1060</v>
      </c>
      <c r="N906" s="36" t="s">
        <v>55</v>
      </c>
      <c r="O906" s="36" t="s">
        <v>1093</v>
      </c>
    </row>
    <row r="907" spans="11:15">
      <c r="K907" s="36" t="s">
        <v>804</v>
      </c>
      <c r="L907" s="36" t="s">
        <v>54</v>
      </c>
      <c r="M907" s="36" t="s">
        <v>1060</v>
      </c>
      <c r="N907" s="36" t="s">
        <v>62</v>
      </c>
      <c r="O907" s="36" t="s">
        <v>1094</v>
      </c>
    </row>
    <row r="908" spans="11:15">
      <c r="K908" s="36" t="s">
        <v>804</v>
      </c>
      <c r="L908" s="36" t="s">
        <v>54</v>
      </c>
      <c r="M908" s="36" t="s">
        <v>1060</v>
      </c>
      <c r="N908" s="36" t="s">
        <v>62</v>
      </c>
      <c r="O908" s="36" t="s">
        <v>1095</v>
      </c>
    </row>
    <row r="909" spans="11:15">
      <c r="K909" s="36" t="s">
        <v>804</v>
      </c>
      <c r="L909" s="36" t="s">
        <v>54</v>
      </c>
      <c r="M909" s="36" t="s">
        <v>1060</v>
      </c>
      <c r="N909" s="36" t="s">
        <v>62</v>
      </c>
      <c r="O909" s="36" t="s">
        <v>1096</v>
      </c>
    </row>
    <row r="910" spans="11:15">
      <c r="K910" s="36" t="s">
        <v>804</v>
      </c>
      <c r="L910" s="36" t="s">
        <v>54</v>
      </c>
      <c r="M910" s="36" t="s">
        <v>1060</v>
      </c>
      <c r="N910" s="36" t="s">
        <v>62</v>
      </c>
      <c r="O910" s="36" t="s">
        <v>1097</v>
      </c>
    </row>
    <row r="911" spans="11:15">
      <c r="K911" s="36" t="s">
        <v>804</v>
      </c>
      <c r="L911" s="36" t="s">
        <v>54</v>
      </c>
      <c r="M911" s="36" t="s">
        <v>1060</v>
      </c>
      <c r="N911" s="36" t="s">
        <v>62</v>
      </c>
      <c r="O911" s="36" t="s">
        <v>1098</v>
      </c>
    </row>
    <row r="912" spans="11:15">
      <c r="K912" s="36" t="s">
        <v>804</v>
      </c>
      <c r="L912" s="36" t="s">
        <v>54</v>
      </c>
      <c r="M912" s="36" t="s">
        <v>1060</v>
      </c>
      <c r="N912" s="36" t="s">
        <v>62</v>
      </c>
      <c r="O912" s="36" t="s">
        <v>1099</v>
      </c>
    </row>
    <row r="913" spans="11:15">
      <c r="K913" s="36" t="s">
        <v>804</v>
      </c>
      <c r="L913" s="36" t="s">
        <v>54</v>
      </c>
      <c r="M913" s="36" t="s">
        <v>1060</v>
      </c>
      <c r="N913" s="36" t="s">
        <v>62</v>
      </c>
      <c r="O913" s="36" t="s">
        <v>1100</v>
      </c>
    </row>
    <row r="914" spans="11:15">
      <c r="K914" s="36" t="s">
        <v>804</v>
      </c>
      <c r="L914" s="36" t="s">
        <v>54</v>
      </c>
      <c r="M914" s="36" t="s">
        <v>1060</v>
      </c>
      <c r="N914" s="36" t="s">
        <v>62</v>
      </c>
      <c r="O914" s="36" t="s">
        <v>1101</v>
      </c>
    </row>
    <row r="915" spans="11:15">
      <c r="K915" s="36" t="s">
        <v>804</v>
      </c>
      <c r="L915" s="36" t="s">
        <v>54</v>
      </c>
      <c r="M915" s="36" t="s">
        <v>1102</v>
      </c>
      <c r="N915" s="36" t="s">
        <v>62</v>
      </c>
      <c r="O915" s="36" t="s">
        <v>1103</v>
      </c>
    </row>
    <row r="916" spans="11:15">
      <c r="K916" s="36" t="s">
        <v>804</v>
      </c>
      <c r="L916" s="36" t="s">
        <v>54</v>
      </c>
      <c r="M916" s="36" t="s">
        <v>1102</v>
      </c>
      <c r="N916" s="36" t="s">
        <v>62</v>
      </c>
      <c r="O916" s="36" t="s">
        <v>1104</v>
      </c>
    </row>
    <row r="917" spans="11:15">
      <c r="K917" s="36" t="s">
        <v>804</v>
      </c>
      <c r="L917" s="36" t="s">
        <v>54</v>
      </c>
      <c r="M917" s="36" t="s">
        <v>1102</v>
      </c>
      <c r="N917" s="36" t="s">
        <v>62</v>
      </c>
      <c r="O917" s="36" t="s">
        <v>1105</v>
      </c>
    </row>
    <row r="918" spans="11:15">
      <c r="K918" s="36" t="s">
        <v>804</v>
      </c>
      <c r="L918" s="36" t="s">
        <v>54</v>
      </c>
      <c r="M918" s="36" t="s">
        <v>1106</v>
      </c>
      <c r="N918" s="36" t="s">
        <v>208</v>
      </c>
      <c r="O918" s="36" t="s">
        <v>1107</v>
      </c>
    </row>
    <row r="919" spans="11:15">
      <c r="K919" s="36" t="s">
        <v>804</v>
      </c>
      <c r="L919" s="36" t="s">
        <v>54</v>
      </c>
      <c r="M919" s="36" t="s">
        <v>1106</v>
      </c>
      <c r="N919" s="36" t="s">
        <v>208</v>
      </c>
      <c r="O919" s="36" t="s">
        <v>1108</v>
      </c>
    </row>
    <row r="920" spans="11:15">
      <c r="K920" s="36" t="s">
        <v>804</v>
      </c>
      <c r="L920" s="36" t="s">
        <v>54</v>
      </c>
      <c r="M920" s="36" t="s">
        <v>1106</v>
      </c>
      <c r="N920" s="36" t="s">
        <v>208</v>
      </c>
      <c r="O920" s="36" t="s">
        <v>1109</v>
      </c>
    </row>
    <row r="921" spans="11:15">
      <c r="K921" s="36" t="s">
        <v>804</v>
      </c>
      <c r="L921" s="36" t="s">
        <v>54</v>
      </c>
      <c r="M921" s="36" t="s">
        <v>1106</v>
      </c>
      <c r="N921" s="36" t="s">
        <v>208</v>
      </c>
      <c r="O921" s="36" t="s">
        <v>1110</v>
      </c>
    </row>
    <row r="922" spans="11:15">
      <c r="K922" s="36" t="s">
        <v>804</v>
      </c>
      <c r="L922" s="36" t="s">
        <v>54</v>
      </c>
      <c r="M922" s="36" t="s">
        <v>1106</v>
      </c>
      <c r="N922" s="36" t="s">
        <v>208</v>
      </c>
      <c r="O922" s="36" t="s">
        <v>1111</v>
      </c>
    </row>
    <row r="923" spans="11:15">
      <c r="K923" s="36" t="s">
        <v>804</v>
      </c>
      <c r="L923" s="36" t="s">
        <v>54</v>
      </c>
      <c r="M923" s="36" t="s">
        <v>1106</v>
      </c>
      <c r="N923" s="36" t="s">
        <v>208</v>
      </c>
      <c r="O923" s="36" t="s">
        <v>1112</v>
      </c>
    </row>
    <row r="924" spans="11:15">
      <c r="K924" s="36" t="s">
        <v>804</v>
      </c>
      <c r="L924" s="36" t="s">
        <v>54</v>
      </c>
      <c r="M924" s="36" t="s">
        <v>1106</v>
      </c>
      <c r="N924" s="36" t="s">
        <v>208</v>
      </c>
      <c r="O924" s="36" t="s">
        <v>1113</v>
      </c>
    </row>
    <row r="925" spans="11:15">
      <c r="K925" s="36" t="s">
        <v>804</v>
      </c>
      <c r="L925" s="36" t="s">
        <v>54</v>
      </c>
      <c r="M925" s="36" t="s">
        <v>1114</v>
      </c>
      <c r="N925" s="36" t="s">
        <v>55</v>
      </c>
      <c r="O925" s="36" t="s">
        <v>1115</v>
      </c>
    </row>
    <row r="926" spans="11:15">
      <c r="K926" s="36" t="s">
        <v>804</v>
      </c>
      <c r="L926" s="36" t="s">
        <v>54</v>
      </c>
      <c r="M926" s="36" t="s">
        <v>1114</v>
      </c>
      <c r="N926" s="36" t="s">
        <v>55</v>
      </c>
      <c r="O926" s="36" t="s">
        <v>1116</v>
      </c>
    </row>
    <row r="927" spans="11:15">
      <c r="K927" s="36" t="s">
        <v>804</v>
      </c>
      <c r="L927" s="36" t="s">
        <v>54</v>
      </c>
      <c r="M927" s="36" t="s">
        <v>1114</v>
      </c>
      <c r="N927" s="36" t="s">
        <v>62</v>
      </c>
      <c r="O927" s="36" t="s">
        <v>1117</v>
      </c>
    </row>
    <row r="928" spans="11:15">
      <c r="K928" s="36" t="s">
        <v>804</v>
      </c>
      <c r="L928" s="36" t="s">
        <v>54</v>
      </c>
      <c r="M928" s="36" t="s">
        <v>1114</v>
      </c>
      <c r="N928" s="36" t="s">
        <v>62</v>
      </c>
      <c r="O928" s="36" t="s">
        <v>1118</v>
      </c>
    </row>
    <row r="929" spans="11:15">
      <c r="K929" s="36" t="s">
        <v>804</v>
      </c>
      <c r="L929" s="36" t="s">
        <v>54</v>
      </c>
      <c r="M929" s="36" t="s">
        <v>1114</v>
      </c>
      <c r="N929" s="36" t="s">
        <v>62</v>
      </c>
      <c r="O929" s="36" t="s">
        <v>1119</v>
      </c>
    </row>
    <row r="930" spans="11:15">
      <c r="K930" s="36" t="s">
        <v>804</v>
      </c>
      <c r="L930" s="36" t="s">
        <v>54</v>
      </c>
      <c r="M930" s="36" t="s">
        <v>1114</v>
      </c>
      <c r="N930" s="36" t="s">
        <v>62</v>
      </c>
      <c r="O930" s="36" t="s">
        <v>1120</v>
      </c>
    </row>
    <row r="931" spans="11:15">
      <c r="K931" s="36" t="s">
        <v>804</v>
      </c>
      <c r="L931" s="36" t="s">
        <v>54</v>
      </c>
      <c r="M931" s="36" t="s">
        <v>1114</v>
      </c>
      <c r="N931" s="36" t="s">
        <v>62</v>
      </c>
      <c r="O931" s="36" t="s">
        <v>1121</v>
      </c>
    </row>
    <row r="932" spans="11:15">
      <c r="K932" s="36" t="s">
        <v>804</v>
      </c>
      <c r="L932" s="36" t="s">
        <v>54</v>
      </c>
      <c r="M932" s="36" t="s">
        <v>1122</v>
      </c>
      <c r="N932" s="36" t="s">
        <v>55</v>
      </c>
      <c r="O932" s="36" t="s">
        <v>1123</v>
      </c>
    </row>
    <row r="933" spans="11:15">
      <c r="K933" s="36" t="s">
        <v>804</v>
      </c>
      <c r="L933" s="36" t="s">
        <v>54</v>
      </c>
      <c r="M933" s="36" t="s">
        <v>1122</v>
      </c>
      <c r="N933" s="36" t="s">
        <v>55</v>
      </c>
      <c r="O933" s="36" t="s">
        <v>1124</v>
      </c>
    </row>
    <row r="934" spans="11:15">
      <c r="K934" s="36" t="s">
        <v>804</v>
      </c>
      <c r="L934" s="36" t="s">
        <v>54</v>
      </c>
      <c r="M934" s="36" t="s">
        <v>1122</v>
      </c>
      <c r="N934" s="36" t="s">
        <v>55</v>
      </c>
      <c r="O934" s="36" t="s">
        <v>1125</v>
      </c>
    </row>
    <row r="935" spans="11:15">
      <c r="K935" s="36" t="s">
        <v>804</v>
      </c>
      <c r="L935" s="36" t="s">
        <v>54</v>
      </c>
      <c r="M935" s="36" t="s">
        <v>1122</v>
      </c>
      <c r="N935" s="36" t="s">
        <v>55</v>
      </c>
      <c r="O935" s="36" t="s">
        <v>1126</v>
      </c>
    </row>
    <row r="936" spans="11:15">
      <c r="K936" s="36" t="s">
        <v>804</v>
      </c>
      <c r="L936" s="36" t="s">
        <v>54</v>
      </c>
      <c r="M936" s="36" t="s">
        <v>1122</v>
      </c>
      <c r="N936" s="36" t="s">
        <v>55</v>
      </c>
      <c r="O936" s="36" t="s">
        <v>1127</v>
      </c>
    </row>
    <row r="937" spans="11:15">
      <c r="K937" s="36" t="s">
        <v>804</v>
      </c>
      <c r="L937" s="36" t="s">
        <v>54</v>
      </c>
      <c r="M937" s="36" t="s">
        <v>1122</v>
      </c>
      <c r="N937" s="36" t="s">
        <v>55</v>
      </c>
      <c r="O937" s="36" t="s">
        <v>1128</v>
      </c>
    </row>
    <row r="938" spans="11:15">
      <c r="K938" s="36" t="s">
        <v>804</v>
      </c>
      <c r="L938" s="36" t="s">
        <v>54</v>
      </c>
      <c r="M938" s="36" t="s">
        <v>1122</v>
      </c>
      <c r="N938" s="36" t="s">
        <v>55</v>
      </c>
      <c r="O938" s="36" t="s">
        <v>1129</v>
      </c>
    </row>
    <row r="939" spans="11:15">
      <c r="K939" s="36" t="s">
        <v>804</v>
      </c>
      <c r="L939" s="36" t="s">
        <v>54</v>
      </c>
      <c r="M939" s="36" t="s">
        <v>1122</v>
      </c>
      <c r="N939" s="36" t="s">
        <v>55</v>
      </c>
      <c r="O939" s="36" t="s">
        <v>1130</v>
      </c>
    </row>
    <row r="940" spans="11:15">
      <c r="K940" s="36" t="s">
        <v>804</v>
      </c>
      <c r="L940" s="36" t="s">
        <v>54</v>
      </c>
      <c r="M940" s="36" t="s">
        <v>1122</v>
      </c>
      <c r="N940" s="36" t="s">
        <v>55</v>
      </c>
      <c r="O940" s="36" t="s">
        <v>1131</v>
      </c>
    </row>
    <row r="941" spans="11:15">
      <c r="K941" s="36" t="s">
        <v>804</v>
      </c>
      <c r="L941" s="36" t="s">
        <v>54</v>
      </c>
      <c r="M941" s="36" t="s">
        <v>1122</v>
      </c>
      <c r="N941" s="36" t="s">
        <v>55</v>
      </c>
      <c r="O941" s="36" t="s">
        <v>1132</v>
      </c>
    </row>
    <row r="942" spans="11:15">
      <c r="K942" s="36" t="s">
        <v>804</v>
      </c>
      <c r="L942" s="36" t="s">
        <v>54</v>
      </c>
      <c r="M942" s="36" t="s">
        <v>1122</v>
      </c>
      <c r="N942" s="36" t="s">
        <v>62</v>
      </c>
      <c r="O942" s="36" t="s">
        <v>1133</v>
      </c>
    </row>
    <row r="943" spans="11:15">
      <c r="K943" s="36" t="s">
        <v>804</v>
      </c>
      <c r="L943" s="36" t="s">
        <v>54</v>
      </c>
      <c r="M943" s="36" t="s">
        <v>1122</v>
      </c>
      <c r="N943" s="36" t="s">
        <v>62</v>
      </c>
      <c r="O943" s="36" t="s">
        <v>1134</v>
      </c>
    </row>
    <row r="944" spans="11:15">
      <c r="K944" s="36" t="s">
        <v>804</v>
      </c>
      <c r="L944" s="36" t="s">
        <v>54</v>
      </c>
      <c r="M944" s="36" t="s">
        <v>1122</v>
      </c>
      <c r="N944" s="36" t="s">
        <v>62</v>
      </c>
      <c r="O944" s="36" t="s">
        <v>1135</v>
      </c>
    </row>
    <row r="945" spans="11:15">
      <c r="K945" s="36" t="s">
        <v>804</v>
      </c>
      <c r="L945" s="36" t="s">
        <v>54</v>
      </c>
      <c r="M945" s="36" t="s">
        <v>1122</v>
      </c>
      <c r="N945" s="36" t="s">
        <v>62</v>
      </c>
      <c r="O945" s="36" t="s">
        <v>1136</v>
      </c>
    </row>
    <row r="946" spans="11:15">
      <c r="K946" s="36" t="s">
        <v>804</v>
      </c>
      <c r="L946" s="36" t="s">
        <v>54</v>
      </c>
      <c r="M946" s="36" t="s">
        <v>1122</v>
      </c>
      <c r="N946" s="36" t="s">
        <v>62</v>
      </c>
      <c r="O946" s="36" t="s">
        <v>1137</v>
      </c>
    </row>
    <row r="947" spans="11:15">
      <c r="K947" s="36" t="s">
        <v>804</v>
      </c>
      <c r="L947" s="36" t="s">
        <v>54</v>
      </c>
      <c r="M947" s="36" t="s">
        <v>1122</v>
      </c>
      <c r="N947" s="36" t="s">
        <v>62</v>
      </c>
      <c r="O947" s="36" t="s">
        <v>1138</v>
      </c>
    </row>
    <row r="948" spans="11:15">
      <c r="K948" s="36" t="s">
        <v>804</v>
      </c>
      <c r="L948" s="36" t="s">
        <v>54</v>
      </c>
      <c r="M948" s="36" t="s">
        <v>1122</v>
      </c>
      <c r="N948" s="36" t="s">
        <v>62</v>
      </c>
      <c r="O948" s="36" t="s">
        <v>1139</v>
      </c>
    </row>
    <row r="949" spans="11:15">
      <c r="K949" s="36" t="s">
        <v>804</v>
      </c>
      <c r="L949" s="36" t="s">
        <v>54</v>
      </c>
      <c r="M949" s="36" t="s">
        <v>1122</v>
      </c>
      <c r="N949" s="36" t="s">
        <v>62</v>
      </c>
      <c r="O949" s="36" t="s">
        <v>1140</v>
      </c>
    </row>
    <row r="950" spans="11:15">
      <c r="K950" s="36" t="s">
        <v>804</v>
      </c>
      <c r="L950" s="36" t="s">
        <v>54</v>
      </c>
      <c r="M950" s="36" t="s">
        <v>1122</v>
      </c>
      <c r="N950" s="36" t="s">
        <v>62</v>
      </c>
      <c r="O950" s="36" t="s">
        <v>1141</v>
      </c>
    </row>
    <row r="951" spans="11:15">
      <c r="K951" s="36" t="s">
        <v>804</v>
      </c>
      <c r="L951" s="36" t="s">
        <v>54</v>
      </c>
      <c r="M951" s="36" t="s">
        <v>1122</v>
      </c>
      <c r="N951" s="36" t="s">
        <v>62</v>
      </c>
      <c r="O951" s="36" t="s">
        <v>1142</v>
      </c>
    </row>
    <row r="952" spans="11:15">
      <c r="K952" s="36" t="s">
        <v>804</v>
      </c>
      <c r="L952" s="36" t="s">
        <v>296</v>
      </c>
      <c r="M952" s="36" t="s">
        <v>1143</v>
      </c>
      <c r="N952" s="36" t="s">
        <v>55</v>
      </c>
      <c r="O952" s="36" t="s">
        <v>1144</v>
      </c>
    </row>
    <row r="953" spans="11:15">
      <c r="K953" s="36" t="s">
        <v>804</v>
      </c>
      <c r="L953" s="36" t="s">
        <v>296</v>
      </c>
      <c r="M953" s="36" t="s">
        <v>1143</v>
      </c>
      <c r="N953" s="36" t="s">
        <v>55</v>
      </c>
      <c r="O953" s="36" t="s">
        <v>1145</v>
      </c>
    </row>
    <row r="954" spans="11:15">
      <c r="K954" s="36" t="s">
        <v>804</v>
      </c>
      <c r="L954" s="36" t="s">
        <v>296</v>
      </c>
      <c r="M954" s="36" t="s">
        <v>1143</v>
      </c>
      <c r="N954" s="36" t="s">
        <v>55</v>
      </c>
      <c r="O954" s="36" t="s">
        <v>1146</v>
      </c>
    </row>
    <row r="955" spans="11:15">
      <c r="K955" s="36" t="s">
        <v>804</v>
      </c>
      <c r="L955" s="36" t="s">
        <v>296</v>
      </c>
      <c r="M955" s="36" t="s">
        <v>1143</v>
      </c>
      <c r="N955" s="36" t="s">
        <v>55</v>
      </c>
      <c r="O955" s="36" t="s">
        <v>1147</v>
      </c>
    </row>
    <row r="956" spans="11:15">
      <c r="K956" s="36" t="s">
        <v>804</v>
      </c>
      <c r="L956" s="36" t="s">
        <v>296</v>
      </c>
      <c r="M956" s="36" t="s">
        <v>1143</v>
      </c>
      <c r="N956" s="36" t="s">
        <v>55</v>
      </c>
      <c r="O956" s="36" t="s">
        <v>1148</v>
      </c>
    </row>
    <row r="957" spans="11:15">
      <c r="K957" s="36" t="s">
        <v>804</v>
      </c>
      <c r="L957" s="36" t="s">
        <v>296</v>
      </c>
      <c r="M957" s="36" t="s">
        <v>1143</v>
      </c>
      <c r="N957" s="36" t="s">
        <v>55</v>
      </c>
      <c r="O957" s="36" t="s">
        <v>1149</v>
      </c>
    </row>
    <row r="958" spans="11:15">
      <c r="K958" s="36" t="s">
        <v>804</v>
      </c>
      <c r="L958" s="36" t="s">
        <v>296</v>
      </c>
      <c r="M958" s="36" t="s">
        <v>1150</v>
      </c>
      <c r="N958" s="36" t="s">
        <v>55</v>
      </c>
      <c r="O958" s="36" t="s">
        <v>1151</v>
      </c>
    </row>
    <row r="959" spans="11:15">
      <c r="K959" s="36" t="s">
        <v>804</v>
      </c>
      <c r="L959" s="36" t="s">
        <v>296</v>
      </c>
      <c r="M959" s="36" t="s">
        <v>1150</v>
      </c>
      <c r="N959" s="36" t="s">
        <v>55</v>
      </c>
      <c r="O959" s="36" t="s">
        <v>1152</v>
      </c>
    </row>
    <row r="960" spans="11:15">
      <c r="K960" s="36" t="s">
        <v>804</v>
      </c>
      <c r="L960" s="36" t="s">
        <v>296</v>
      </c>
      <c r="M960" s="36" t="s">
        <v>1150</v>
      </c>
      <c r="N960" s="36" t="s">
        <v>55</v>
      </c>
      <c r="O960" s="36" t="s">
        <v>1153</v>
      </c>
    </row>
    <row r="961" spans="11:15">
      <c r="K961" s="36" t="s">
        <v>804</v>
      </c>
      <c r="L961" s="36" t="s">
        <v>296</v>
      </c>
      <c r="M961" s="36" t="s">
        <v>1150</v>
      </c>
      <c r="N961" s="36" t="s">
        <v>55</v>
      </c>
      <c r="O961" s="36" t="s">
        <v>1154</v>
      </c>
    </row>
    <row r="962" spans="11:15">
      <c r="K962" s="36" t="s">
        <v>804</v>
      </c>
      <c r="L962" s="36" t="s">
        <v>296</v>
      </c>
      <c r="M962" s="36" t="s">
        <v>1150</v>
      </c>
      <c r="N962" s="36" t="s">
        <v>55</v>
      </c>
      <c r="O962" s="36" t="s">
        <v>1155</v>
      </c>
    </row>
    <row r="963" spans="11:15">
      <c r="K963" s="36" t="s">
        <v>804</v>
      </c>
      <c r="L963" s="36" t="s">
        <v>296</v>
      </c>
      <c r="M963" s="36" t="s">
        <v>1150</v>
      </c>
      <c r="N963" s="36" t="s">
        <v>55</v>
      </c>
      <c r="O963" s="36" t="s">
        <v>1156</v>
      </c>
    </row>
    <row r="964" spans="11:15">
      <c r="K964" s="36" t="s">
        <v>804</v>
      </c>
      <c r="L964" s="36" t="s">
        <v>296</v>
      </c>
      <c r="M964" s="36" t="s">
        <v>1150</v>
      </c>
      <c r="N964" s="36" t="s">
        <v>55</v>
      </c>
      <c r="O964" s="36" t="s">
        <v>1157</v>
      </c>
    </row>
    <row r="965" spans="11:15">
      <c r="K965" s="36" t="s">
        <v>804</v>
      </c>
      <c r="L965" s="36" t="s">
        <v>296</v>
      </c>
      <c r="M965" s="36" t="s">
        <v>1150</v>
      </c>
      <c r="N965" s="36" t="s">
        <v>55</v>
      </c>
      <c r="O965" s="36" t="s">
        <v>1158</v>
      </c>
    </row>
    <row r="966" spans="11:15">
      <c r="K966" s="36" t="s">
        <v>804</v>
      </c>
      <c r="L966" s="36" t="s">
        <v>296</v>
      </c>
      <c r="M966" s="36" t="s">
        <v>1150</v>
      </c>
      <c r="N966" s="36" t="s">
        <v>55</v>
      </c>
      <c r="O966" s="36" t="s">
        <v>1159</v>
      </c>
    </row>
    <row r="967" spans="11:15">
      <c r="K967" s="36" t="s">
        <v>804</v>
      </c>
      <c r="L967" s="36" t="s">
        <v>296</v>
      </c>
      <c r="M967" s="36" t="s">
        <v>1150</v>
      </c>
      <c r="N967" s="36" t="s">
        <v>62</v>
      </c>
      <c r="O967" s="36" t="s">
        <v>1160</v>
      </c>
    </row>
    <row r="968" spans="11:15">
      <c r="K968" s="36" t="s">
        <v>804</v>
      </c>
      <c r="L968" s="36" t="s">
        <v>296</v>
      </c>
      <c r="M968" s="36" t="s">
        <v>1150</v>
      </c>
      <c r="N968" s="36" t="s">
        <v>62</v>
      </c>
      <c r="O968" s="36" t="s">
        <v>1161</v>
      </c>
    </row>
    <row r="969" spans="11:15">
      <c r="K969" s="36" t="s">
        <v>804</v>
      </c>
      <c r="L969" s="36" t="s">
        <v>296</v>
      </c>
      <c r="M969" s="36" t="s">
        <v>1150</v>
      </c>
      <c r="N969" s="36" t="s">
        <v>62</v>
      </c>
      <c r="O969" s="36" t="s">
        <v>1162</v>
      </c>
    </row>
    <row r="970" spans="11:15">
      <c r="K970" s="36" t="s">
        <v>804</v>
      </c>
      <c r="L970" s="36" t="s">
        <v>296</v>
      </c>
      <c r="M970" s="36" t="s">
        <v>1150</v>
      </c>
      <c r="N970" s="36" t="s">
        <v>62</v>
      </c>
      <c r="O970" s="36" t="s">
        <v>1163</v>
      </c>
    </row>
    <row r="971" spans="11:15">
      <c r="K971" s="36" t="s">
        <v>804</v>
      </c>
      <c r="L971" s="36" t="s">
        <v>296</v>
      </c>
      <c r="M971" s="36" t="s">
        <v>1150</v>
      </c>
      <c r="N971" s="36" t="s">
        <v>62</v>
      </c>
      <c r="O971" s="36" t="s">
        <v>1164</v>
      </c>
    </row>
    <row r="972" spans="11:15">
      <c r="K972" s="36" t="s">
        <v>804</v>
      </c>
      <c r="L972" s="36" t="s">
        <v>296</v>
      </c>
      <c r="M972" s="36" t="s">
        <v>1150</v>
      </c>
      <c r="N972" s="36" t="s">
        <v>62</v>
      </c>
      <c r="O972" s="36" t="s">
        <v>1165</v>
      </c>
    </row>
    <row r="973" spans="11:15">
      <c r="K973" s="36" t="s">
        <v>804</v>
      </c>
      <c r="L973" s="36" t="s">
        <v>296</v>
      </c>
      <c r="M973" s="36" t="s">
        <v>1150</v>
      </c>
      <c r="N973" s="36" t="s">
        <v>62</v>
      </c>
      <c r="O973" s="36" t="s">
        <v>1166</v>
      </c>
    </row>
    <row r="974" spans="11:15">
      <c r="K974" s="36" t="s">
        <v>804</v>
      </c>
      <c r="L974" s="36" t="s">
        <v>296</v>
      </c>
      <c r="M974" s="36" t="s">
        <v>1150</v>
      </c>
      <c r="N974" s="36" t="s">
        <v>62</v>
      </c>
      <c r="O974" s="36" t="s">
        <v>1167</v>
      </c>
    </row>
    <row r="975" spans="11:15">
      <c r="K975" s="36" t="s">
        <v>804</v>
      </c>
      <c r="L975" s="36" t="s">
        <v>296</v>
      </c>
      <c r="M975" s="36" t="s">
        <v>1150</v>
      </c>
      <c r="N975" s="36" t="s">
        <v>62</v>
      </c>
      <c r="O975" s="36" t="s">
        <v>1168</v>
      </c>
    </row>
    <row r="976" spans="11:15">
      <c r="K976" s="36" t="s">
        <v>804</v>
      </c>
      <c r="L976" s="36" t="s">
        <v>296</v>
      </c>
      <c r="M976" s="36" t="s">
        <v>1150</v>
      </c>
      <c r="N976" s="36" t="s">
        <v>62</v>
      </c>
      <c r="O976" s="36" t="s">
        <v>1169</v>
      </c>
    </row>
    <row r="977" spans="11:15">
      <c r="K977" s="36" t="s">
        <v>804</v>
      </c>
      <c r="L977" s="36" t="s">
        <v>296</v>
      </c>
      <c r="M977" s="36" t="s">
        <v>1150</v>
      </c>
      <c r="N977" s="36" t="s">
        <v>62</v>
      </c>
      <c r="O977" s="36" t="s">
        <v>1170</v>
      </c>
    </row>
    <row r="978" spans="11:15">
      <c r="K978" s="36" t="s">
        <v>804</v>
      </c>
      <c r="L978" s="36" t="s">
        <v>296</v>
      </c>
      <c r="M978" s="36" t="s">
        <v>1150</v>
      </c>
      <c r="N978" s="36" t="s">
        <v>165</v>
      </c>
      <c r="O978" s="36" t="s">
        <v>1171</v>
      </c>
    </row>
    <row r="979" spans="11:15">
      <c r="K979" s="36" t="s">
        <v>804</v>
      </c>
      <c r="L979" s="36" t="s">
        <v>296</v>
      </c>
      <c r="M979" s="36" t="s">
        <v>1150</v>
      </c>
      <c r="N979" s="36" t="s">
        <v>165</v>
      </c>
      <c r="O979" s="36" t="s">
        <v>1172</v>
      </c>
    </row>
    <row r="980" spans="11:15">
      <c r="K980" s="36" t="s">
        <v>804</v>
      </c>
      <c r="L980" s="36" t="s">
        <v>296</v>
      </c>
      <c r="M980" s="36" t="s">
        <v>1150</v>
      </c>
      <c r="N980" s="36" t="s">
        <v>165</v>
      </c>
      <c r="O980" s="36" t="s">
        <v>1173</v>
      </c>
    </row>
    <row r="981" spans="11:15">
      <c r="K981" s="36" t="s">
        <v>804</v>
      </c>
      <c r="L981" s="36" t="s">
        <v>296</v>
      </c>
      <c r="M981" s="36" t="s">
        <v>1150</v>
      </c>
      <c r="N981" s="36" t="s">
        <v>165</v>
      </c>
      <c r="O981" s="36" t="s">
        <v>1174</v>
      </c>
    </row>
    <row r="982" spans="11:15">
      <c r="K982" s="36" t="s">
        <v>804</v>
      </c>
      <c r="L982" s="36" t="s">
        <v>296</v>
      </c>
      <c r="M982" s="36" t="s">
        <v>1150</v>
      </c>
      <c r="N982" s="36" t="s">
        <v>165</v>
      </c>
      <c r="O982" s="36" t="s">
        <v>1175</v>
      </c>
    </row>
    <row r="983" spans="11:15">
      <c r="K983" s="36" t="s">
        <v>804</v>
      </c>
      <c r="L983" s="36" t="s">
        <v>296</v>
      </c>
      <c r="M983" s="36" t="s">
        <v>1150</v>
      </c>
      <c r="N983" s="36" t="s">
        <v>165</v>
      </c>
      <c r="O983" s="36" t="s">
        <v>1176</v>
      </c>
    </row>
    <row r="984" spans="11:15">
      <c r="K984" s="36" t="s">
        <v>804</v>
      </c>
      <c r="L984" s="36" t="s">
        <v>296</v>
      </c>
      <c r="M984" s="36" t="s">
        <v>1150</v>
      </c>
      <c r="N984" s="36" t="s">
        <v>165</v>
      </c>
      <c r="O984" s="36" t="s">
        <v>1177</v>
      </c>
    </row>
    <row r="985" spans="11:15">
      <c r="K985" s="36" t="s">
        <v>804</v>
      </c>
      <c r="L985" s="36" t="s">
        <v>296</v>
      </c>
      <c r="M985" s="36" t="s">
        <v>1150</v>
      </c>
      <c r="N985" s="36" t="s">
        <v>165</v>
      </c>
      <c r="O985" s="36" t="s">
        <v>1178</v>
      </c>
    </row>
    <row r="986" spans="11:15">
      <c r="K986" s="36" t="s">
        <v>804</v>
      </c>
      <c r="L986" s="36" t="s">
        <v>296</v>
      </c>
      <c r="M986" s="36" t="s">
        <v>1150</v>
      </c>
      <c r="N986" s="36" t="s">
        <v>165</v>
      </c>
      <c r="O986" s="36" t="s">
        <v>1179</v>
      </c>
    </row>
    <row r="987" spans="11:15">
      <c r="K987" s="36" t="s">
        <v>804</v>
      </c>
      <c r="L987" s="36" t="s">
        <v>296</v>
      </c>
      <c r="M987" s="36" t="s">
        <v>1180</v>
      </c>
      <c r="N987" s="36" t="s">
        <v>62</v>
      </c>
      <c r="O987" s="36" t="s">
        <v>1181</v>
      </c>
    </row>
    <row r="988" spans="11:15">
      <c r="K988" s="36" t="s">
        <v>804</v>
      </c>
      <c r="L988" s="36" t="s">
        <v>296</v>
      </c>
      <c r="M988" s="36" t="s">
        <v>1180</v>
      </c>
      <c r="N988" s="36" t="s">
        <v>62</v>
      </c>
      <c r="O988" s="36" t="s">
        <v>1182</v>
      </c>
    </row>
    <row r="989" spans="11:15">
      <c r="K989" s="36" t="s">
        <v>804</v>
      </c>
      <c r="L989" s="36" t="s">
        <v>296</v>
      </c>
      <c r="M989" s="36" t="s">
        <v>1180</v>
      </c>
      <c r="N989" s="36" t="s">
        <v>62</v>
      </c>
      <c r="O989" s="36" t="s">
        <v>1183</v>
      </c>
    </row>
    <row r="990" spans="11:15">
      <c r="K990" s="36" t="s">
        <v>804</v>
      </c>
      <c r="L990" s="36" t="s">
        <v>296</v>
      </c>
      <c r="M990" s="36" t="s">
        <v>1180</v>
      </c>
      <c r="N990" s="36" t="s">
        <v>62</v>
      </c>
      <c r="O990" s="36" t="s">
        <v>1184</v>
      </c>
    </row>
    <row r="991" spans="11:15">
      <c r="K991" s="36" t="s">
        <v>804</v>
      </c>
      <c r="L991" s="36" t="s">
        <v>296</v>
      </c>
      <c r="M991" s="36" t="s">
        <v>1180</v>
      </c>
      <c r="N991" s="36" t="s">
        <v>62</v>
      </c>
      <c r="O991" s="36" t="s">
        <v>1185</v>
      </c>
    </row>
    <row r="992" spans="11:15">
      <c r="K992" s="36" t="s">
        <v>804</v>
      </c>
      <c r="L992" s="36" t="s">
        <v>296</v>
      </c>
      <c r="M992" s="36" t="s">
        <v>1180</v>
      </c>
      <c r="N992" s="36" t="s">
        <v>62</v>
      </c>
      <c r="O992" s="36" t="s">
        <v>1186</v>
      </c>
    </row>
    <row r="993" spans="11:15">
      <c r="K993" s="36" t="s">
        <v>804</v>
      </c>
      <c r="L993" s="36" t="s">
        <v>296</v>
      </c>
      <c r="M993" s="36" t="s">
        <v>1180</v>
      </c>
      <c r="N993" s="36" t="s">
        <v>62</v>
      </c>
      <c r="O993" s="36" t="s">
        <v>1187</v>
      </c>
    </row>
    <row r="994" spans="11:15">
      <c r="K994" s="36" t="s">
        <v>804</v>
      </c>
      <c r="L994" s="36" t="s">
        <v>296</v>
      </c>
      <c r="M994" s="36" t="s">
        <v>1188</v>
      </c>
      <c r="N994" s="36" t="s">
        <v>55</v>
      </c>
      <c r="O994" s="36" t="s">
        <v>1189</v>
      </c>
    </row>
    <row r="995" spans="11:15">
      <c r="K995" s="36" t="s">
        <v>804</v>
      </c>
      <c r="L995" s="36" t="s">
        <v>296</v>
      </c>
      <c r="M995" s="36" t="s">
        <v>1188</v>
      </c>
      <c r="N995" s="36" t="s">
        <v>55</v>
      </c>
      <c r="O995" s="36" t="s">
        <v>1190</v>
      </c>
    </row>
    <row r="996" spans="11:15">
      <c r="K996" s="36" t="s">
        <v>804</v>
      </c>
      <c r="L996" s="36" t="s">
        <v>296</v>
      </c>
      <c r="M996" s="36" t="s">
        <v>1188</v>
      </c>
      <c r="N996" s="36" t="s">
        <v>62</v>
      </c>
      <c r="O996" s="36" t="s">
        <v>1191</v>
      </c>
    </row>
    <row r="997" spans="11:15">
      <c r="K997" s="36" t="s">
        <v>804</v>
      </c>
      <c r="L997" s="36" t="s">
        <v>296</v>
      </c>
      <c r="M997" s="36" t="s">
        <v>1188</v>
      </c>
      <c r="N997" s="36" t="s">
        <v>62</v>
      </c>
      <c r="O997" s="36" t="s">
        <v>1192</v>
      </c>
    </row>
    <row r="998" spans="11:15">
      <c r="K998" s="36" t="s">
        <v>804</v>
      </c>
      <c r="L998" s="36" t="s">
        <v>556</v>
      </c>
      <c r="M998" s="36" t="s">
        <v>1193</v>
      </c>
      <c r="N998" s="36" t="s">
        <v>55</v>
      </c>
      <c r="O998" s="36" t="s">
        <v>1194</v>
      </c>
    </row>
    <row r="999" spans="11:15">
      <c r="K999" s="36" t="s">
        <v>804</v>
      </c>
      <c r="L999" s="36" t="s">
        <v>556</v>
      </c>
      <c r="M999" s="36" t="s">
        <v>1193</v>
      </c>
      <c r="N999" s="36" t="s">
        <v>55</v>
      </c>
      <c r="O999" s="36" t="s">
        <v>1195</v>
      </c>
    </row>
    <row r="1000" spans="11:15">
      <c r="K1000" s="36" t="s">
        <v>804</v>
      </c>
      <c r="L1000" s="36" t="s">
        <v>556</v>
      </c>
      <c r="M1000" s="36" t="s">
        <v>1193</v>
      </c>
      <c r="N1000" s="36" t="s">
        <v>55</v>
      </c>
      <c r="O1000" s="36" t="s">
        <v>1196</v>
      </c>
    </row>
    <row r="1001" spans="11:15">
      <c r="K1001" s="36" t="s">
        <v>804</v>
      </c>
      <c r="L1001" s="36" t="s">
        <v>556</v>
      </c>
      <c r="M1001" s="36" t="s">
        <v>1193</v>
      </c>
      <c r="N1001" s="36" t="s">
        <v>55</v>
      </c>
      <c r="O1001" s="36" t="s">
        <v>1197</v>
      </c>
    </row>
    <row r="1002" spans="11:15">
      <c r="K1002" s="36" t="s">
        <v>804</v>
      </c>
      <c r="L1002" s="36" t="s">
        <v>556</v>
      </c>
      <c r="M1002" s="36" t="s">
        <v>1193</v>
      </c>
      <c r="N1002" s="36" t="s">
        <v>55</v>
      </c>
      <c r="O1002" s="36" t="s">
        <v>1198</v>
      </c>
    </row>
    <row r="1003" spans="11:15">
      <c r="K1003" s="36" t="s">
        <v>804</v>
      </c>
      <c r="L1003" s="36" t="s">
        <v>556</v>
      </c>
      <c r="M1003" s="36" t="s">
        <v>1193</v>
      </c>
      <c r="N1003" s="36" t="s">
        <v>55</v>
      </c>
      <c r="O1003" s="36" t="s">
        <v>1199</v>
      </c>
    </row>
    <row r="1004" spans="11:15">
      <c r="K1004" s="36" t="s">
        <v>804</v>
      </c>
      <c r="L1004" s="36" t="s">
        <v>556</v>
      </c>
      <c r="M1004" s="36" t="s">
        <v>1193</v>
      </c>
      <c r="N1004" s="36" t="s">
        <v>55</v>
      </c>
      <c r="O1004" s="36" t="s">
        <v>1200</v>
      </c>
    </row>
    <row r="1005" spans="11:15">
      <c r="K1005" s="36" t="s">
        <v>804</v>
      </c>
      <c r="L1005" s="36" t="s">
        <v>556</v>
      </c>
      <c r="M1005" s="36" t="s">
        <v>1193</v>
      </c>
      <c r="N1005" s="36" t="s">
        <v>55</v>
      </c>
      <c r="O1005" s="36" t="s">
        <v>1201</v>
      </c>
    </row>
    <row r="1006" spans="11:15">
      <c r="K1006" s="36" t="s">
        <v>804</v>
      </c>
      <c r="L1006" s="36" t="s">
        <v>556</v>
      </c>
      <c r="M1006" s="36" t="s">
        <v>1193</v>
      </c>
      <c r="N1006" s="36" t="s">
        <v>55</v>
      </c>
      <c r="O1006" s="36" t="s">
        <v>1202</v>
      </c>
    </row>
    <row r="1007" spans="11:15">
      <c r="K1007" s="36" t="s">
        <v>804</v>
      </c>
      <c r="L1007" s="36" t="s">
        <v>556</v>
      </c>
      <c r="M1007" s="36" t="s">
        <v>1193</v>
      </c>
      <c r="N1007" s="36" t="s">
        <v>55</v>
      </c>
      <c r="O1007" s="36" t="s">
        <v>1203</v>
      </c>
    </row>
    <row r="1008" spans="11:15">
      <c r="K1008" s="36" t="s">
        <v>804</v>
      </c>
      <c r="L1008" s="36" t="s">
        <v>556</v>
      </c>
      <c r="M1008" s="36" t="s">
        <v>1193</v>
      </c>
      <c r="N1008" s="36" t="s">
        <v>55</v>
      </c>
      <c r="O1008" s="36" t="s">
        <v>1204</v>
      </c>
    </row>
    <row r="1009" spans="11:15">
      <c r="K1009" s="36" t="s">
        <v>804</v>
      </c>
      <c r="L1009" s="36" t="s">
        <v>556</v>
      </c>
      <c r="M1009" s="36" t="s">
        <v>1193</v>
      </c>
      <c r="N1009" s="36" t="s">
        <v>55</v>
      </c>
      <c r="O1009" s="36" t="s">
        <v>1205</v>
      </c>
    </row>
    <row r="1010" spans="11:15">
      <c r="K1010" s="36" t="s">
        <v>804</v>
      </c>
      <c r="L1010" s="36" t="s">
        <v>556</v>
      </c>
      <c r="M1010" s="36" t="s">
        <v>1193</v>
      </c>
      <c r="N1010" s="36" t="s">
        <v>55</v>
      </c>
      <c r="O1010" s="36" t="s">
        <v>1206</v>
      </c>
    </row>
    <row r="1011" spans="11:15">
      <c r="K1011" s="36" t="s">
        <v>804</v>
      </c>
      <c r="L1011" s="36" t="s">
        <v>556</v>
      </c>
      <c r="M1011" s="36" t="s">
        <v>1193</v>
      </c>
      <c r="N1011" s="36" t="s">
        <v>55</v>
      </c>
      <c r="O1011" s="36" t="s">
        <v>1207</v>
      </c>
    </row>
    <row r="1012" spans="11:15">
      <c r="K1012" s="36" t="s">
        <v>804</v>
      </c>
      <c r="L1012" s="36" t="s">
        <v>556</v>
      </c>
      <c r="M1012" s="36" t="s">
        <v>1193</v>
      </c>
      <c r="N1012" s="36" t="s">
        <v>55</v>
      </c>
      <c r="O1012" s="36" t="s">
        <v>1208</v>
      </c>
    </row>
    <row r="1013" spans="11:15">
      <c r="K1013" s="36" t="s">
        <v>804</v>
      </c>
      <c r="L1013" s="36" t="s">
        <v>556</v>
      </c>
      <c r="M1013" s="36" t="s">
        <v>1193</v>
      </c>
      <c r="N1013" s="36" t="s">
        <v>55</v>
      </c>
      <c r="O1013" s="36" t="s">
        <v>1209</v>
      </c>
    </row>
    <row r="1014" spans="11:15">
      <c r="K1014" s="36" t="s">
        <v>804</v>
      </c>
      <c r="L1014" s="36" t="s">
        <v>556</v>
      </c>
      <c r="M1014" s="36" t="s">
        <v>1193</v>
      </c>
      <c r="N1014" s="36" t="s">
        <v>55</v>
      </c>
      <c r="O1014" s="36" t="s">
        <v>1210</v>
      </c>
    </row>
    <row r="1015" spans="11:15">
      <c r="K1015" s="36" t="s">
        <v>804</v>
      </c>
      <c r="L1015" s="36" t="s">
        <v>556</v>
      </c>
      <c r="M1015" s="36" t="s">
        <v>1193</v>
      </c>
      <c r="N1015" s="36" t="s">
        <v>55</v>
      </c>
      <c r="O1015" s="36" t="s">
        <v>1211</v>
      </c>
    </row>
    <row r="1016" spans="11:15">
      <c r="K1016" s="36" t="s">
        <v>804</v>
      </c>
      <c r="L1016" s="36" t="s">
        <v>556</v>
      </c>
      <c r="M1016" s="36" t="s">
        <v>1193</v>
      </c>
      <c r="N1016" s="36" t="s">
        <v>55</v>
      </c>
      <c r="O1016" s="36" t="s">
        <v>1212</v>
      </c>
    </row>
    <row r="1017" spans="11:15">
      <c r="K1017" s="36" t="s">
        <v>804</v>
      </c>
      <c r="L1017" s="36" t="s">
        <v>556</v>
      </c>
      <c r="M1017" s="36" t="s">
        <v>1193</v>
      </c>
      <c r="N1017" s="36" t="s">
        <v>55</v>
      </c>
      <c r="O1017" s="36" t="s">
        <v>1213</v>
      </c>
    </row>
    <row r="1018" spans="11:15">
      <c r="K1018" s="36" t="s">
        <v>804</v>
      </c>
      <c r="L1018" s="36" t="s">
        <v>556</v>
      </c>
      <c r="M1018" s="36" t="s">
        <v>1193</v>
      </c>
      <c r="N1018" s="36" t="s">
        <v>55</v>
      </c>
      <c r="O1018" s="36" t="s">
        <v>1214</v>
      </c>
    </row>
    <row r="1019" spans="11:15">
      <c r="K1019" s="36" t="s">
        <v>804</v>
      </c>
      <c r="L1019" s="36" t="s">
        <v>556</v>
      </c>
      <c r="M1019" s="36" t="s">
        <v>1193</v>
      </c>
      <c r="N1019" s="36" t="s">
        <v>55</v>
      </c>
      <c r="O1019" s="36" t="s">
        <v>1215</v>
      </c>
    </row>
    <row r="1020" spans="11:15">
      <c r="K1020" s="36" t="s">
        <v>804</v>
      </c>
      <c r="L1020" s="36" t="s">
        <v>556</v>
      </c>
      <c r="M1020" s="36" t="s">
        <v>1193</v>
      </c>
      <c r="N1020" s="36" t="s">
        <v>55</v>
      </c>
      <c r="O1020" s="36" t="s">
        <v>1216</v>
      </c>
    </row>
    <row r="1021" spans="11:15">
      <c r="K1021" s="36" t="s">
        <v>804</v>
      </c>
      <c r="L1021" s="36" t="s">
        <v>556</v>
      </c>
      <c r="M1021" s="36" t="s">
        <v>1193</v>
      </c>
      <c r="N1021" s="36" t="s">
        <v>55</v>
      </c>
      <c r="O1021" s="36" t="s">
        <v>1217</v>
      </c>
    </row>
    <row r="1022" spans="11:15">
      <c r="K1022" s="36" t="s">
        <v>804</v>
      </c>
      <c r="L1022" s="36" t="s">
        <v>556</v>
      </c>
      <c r="M1022" s="36" t="s">
        <v>1193</v>
      </c>
      <c r="N1022" s="36" t="s">
        <v>55</v>
      </c>
      <c r="O1022" s="36" t="s">
        <v>1218</v>
      </c>
    </row>
    <row r="1023" spans="11:15">
      <c r="K1023" s="36" t="s">
        <v>804</v>
      </c>
      <c r="L1023" s="36" t="s">
        <v>556</v>
      </c>
      <c r="M1023" s="36" t="s">
        <v>1193</v>
      </c>
      <c r="N1023" s="36" t="s">
        <v>55</v>
      </c>
      <c r="O1023" s="36" t="s">
        <v>1219</v>
      </c>
    </row>
    <row r="1024" spans="11:15">
      <c r="K1024" s="36" t="s">
        <v>804</v>
      </c>
      <c r="L1024" s="36" t="s">
        <v>556</v>
      </c>
      <c r="M1024" s="36" t="s">
        <v>1193</v>
      </c>
      <c r="N1024" s="36" t="s">
        <v>55</v>
      </c>
      <c r="O1024" s="36" t="s">
        <v>1220</v>
      </c>
    </row>
    <row r="1025" spans="11:15">
      <c r="K1025" s="36" t="s">
        <v>804</v>
      </c>
      <c r="L1025" s="36" t="s">
        <v>556</v>
      </c>
      <c r="M1025" s="36" t="s">
        <v>1193</v>
      </c>
      <c r="N1025" s="36" t="s">
        <v>55</v>
      </c>
      <c r="O1025" s="36" t="s">
        <v>1221</v>
      </c>
    </row>
    <row r="1026" spans="11:15">
      <c r="K1026" s="36" t="s">
        <v>804</v>
      </c>
      <c r="L1026" s="36" t="s">
        <v>556</v>
      </c>
      <c r="M1026" s="36" t="s">
        <v>1193</v>
      </c>
      <c r="N1026" s="36" t="s">
        <v>55</v>
      </c>
      <c r="O1026" s="36" t="s">
        <v>1222</v>
      </c>
    </row>
    <row r="1027" spans="11:15">
      <c r="K1027" s="36" t="s">
        <v>804</v>
      </c>
      <c r="L1027" s="36" t="s">
        <v>556</v>
      </c>
      <c r="M1027" s="36" t="s">
        <v>1193</v>
      </c>
      <c r="N1027" s="36" t="s">
        <v>55</v>
      </c>
      <c r="O1027" s="36" t="s">
        <v>1223</v>
      </c>
    </row>
    <row r="1028" spans="11:15">
      <c r="K1028" s="36" t="s">
        <v>804</v>
      </c>
      <c r="L1028" s="36" t="s">
        <v>556</v>
      </c>
      <c r="M1028" s="36" t="s">
        <v>1193</v>
      </c>
      <c r="N1028" s="36" t="s">
        <v>62</v>
      </c>
      <c r="O1028" s="36" t="s">
        <v>1224</v>
      </c>
    </row>
    <row r="1029" spans="11:15">
      <c r="K1029" s="36" t="s">
        <v>804</v>
      </c>
      <c r="L1029" s="36" t="s">
        <v>556</v>
      </c>
      <c r="M1029" s="36" t="s">
        <v>1193</v>
      </c>
      <c r="N1029" s="36" t="s">
        <v>62</v>
      </c>
      <c r="O1029" s="36" t="s">
        <v>1225</v>
      </c>
    </row>
    <row r="1030" spans="11:15">
      <c r="K1030" s="36" t="s">
        <v>804</v>
      </c>
      <c r="L1030" s="36" t="s">
        <v>556</v>
      </c>
      <c r="M1030" s="36" t="s">
        <v>1193</v>
      </c>
      <c r="N1030" s="36" t="s">
        <v>62</v>
      </c>
      <c r="O1030" s="36" t="s">
        <v>1226</v>
      </c>
    </row>
    <row r="1031" spans="11:15">
      <c r="K1031" s="36" t="s">
        <v>804</v>
      </c>
      <c r="L1031" s="36" t="s">
        <v>556</v>
      </c>
      <c r="M1031" s="36" t="s">
        <v>1193</v>
      </c>
      <c r="N1031" s="36" t="s">
        <v>62</v>
      </c>
      <c r="O1031" s="36" t="s">
        <v>1227</v>
      </c>
    </row>
    <row r="1032" spans="11:15">
      <c r="K1032" s="36" t="s">
        <v>804</v>
      </c>
      <c r="L1032" s="36" t="s">
        <v>556</v>
      </c>
      <c r="M1032" s="36" t="s">
        <v>1193</v>
      </c>
      <c r="N1032" s="36" t="s">
        <v>62</v>
      </c>
      <c r="O1032" s="36" t="s">
        <v>1228</v>
      </c>
    </row>
    <row r="1033" spans="11:15">
      <c r="K1033" s="36" t="s">
        <v>804</v>
      </c>
      <c r="L1033" s="36" t="s">
        <v>556</v>
      </c>
      <c r="M1033" s="36" t="s">
        <v>1193</v>
      </c>
      <c r="N1033" s="36" t="s">
        <v>62</v>
      </c>
      <c r="O1033" s="36" t="s">
        <v>1229</v>
      </c>
    </row>
    <row r="1034" spans="11:15">
      <c r="K1034" s="36" t="s">
        <v>804</v>
      </c>
      <c r="L1034" s="36" t="s">
        <v>556</v>
      </c>
      <c r="M1034" s="36" t="s">
        <v>1193</v>
      </c>
      <c r="N1034" s="36" t="s">
        <v>62</v>
      </c>
      <c r="O1034" s="36" t="s">
        <v>1230</v>
      </c>
    </row>
    <row r="1035" spans="11:15">
      <c r="K1035" s="36" t="s">
        <v>804</v>
      </c>
      <c r="L1035" s="36" t="s">
        <v>556</v>
      </c>
      <c r="M1035" s="36" t="s">
        <v>1193</v>
      </c>
      <c r="N1035" s="36" t="s">
        <v>62</v>
      </c>
      <c r="O1035" s="36" t="s">
        <v>1231</v>
      </c>
    </row>
    <row r="1036" spans="11:15">
      <c r="K1036" s="36" t="s">
        <v>804</v>
      </c>
      <c r="L1036" s="36" t="s">
        <v>556</v>
      </c>
      <c r="M1036" s="36" t="s">
        <v>1193</v>
      </c>
      <c r="N1036" s="36" t="s">
        <v>62</v>
      </c>
      <c r="O1036" s="36" t="s">
        <v>1232</v>
      </c>
    </row>
    <row r="1037" spans="11:15">
      <c r="K1037" s="36" t="s">
        <v>804</v>
      </c>
      <c r="L1037" s="36" t="s">
        <v>556</v>
      </c>
      <c r="M1037" s="36" t="s">
        <v>1193</v>
      </c>
      <c r="N1037" s="36" t="s">
        <v>62</v>
      </c>
      <c r="O1037" s="36" t="s">
        <v>1233</v>
      </c>
    </row>
    <row r="1038" spans="11:15">
      <c r="K1038" s="36" t="s">
        <v>804</v>
      </c>
      <c r="L1038" s="36" t="s">
        <v>556</v>
      </c>
      <c r="M1038" s="36" t="s">
        <v>1193</v>
      </c>
      <c r="N1038" s="36" t="s">
        <v>62</v>
      </c>
      <c r="O1038" s="36" t="s">
        <v>1234</v>
      </c>
    </row>
    <row r="1039" spans="11:15">
      <c r="K1039" s="36" t="s">
        <v>804</v>
      </c>
      <c r="L1039" s="36" t="s">
        <v>556</v>
      </c>
      <c r="M1039" s="36" t="s">
        <v>1193</v>
      </c>
      <c r="N1039" s="36" t="s">
        <v>62</v>
      </c>
      <c r="O1039" s="36" t="s">
        <v>1235</v>
      </c>
    </row>
    <row r="1040" spans="11:15">
      <c r="K1040" s="36" t="s">
        <v>804</v>
      </c>
      <c r="L1040" s="36" t="s">
        <v>556</v>
      </c>
      <c r="M1040" s="36" t="s">
        <v>1193</v>
      </c>
      <c r="N1040" s="36" t="s">
        <v>62</v>
      </c>
      <c r="O1040" s="36" t="s">
        <v>1236</v>
      </c>
    </row>
    <row r="1041" spans="11:15">
      <c r="K1041" s="36" t="s">
        <v>804</v>
      </c>
      <c r="L1041" s="36" t="s">
        <v>556</v>
      </c>
      <c r="M1041" s="36" t="s">
        <v>1193</v>
      </c>
      <c r="N1041" s="36" t="s">
        <v>62</v>
      </c>
      <c r="O1041" s="36" t="s">
        <v>1237</v>
      </c>
    </row>
    <row r="1042" spans="11:15">
      <c r="K1042" s="36" t="s">
        <v>804</v>
      </c>
      <c r="L1042" s="36" t="s">
        <v>556</v>
      </c>
      <c r="M1042" s="36" t="s">
        <v>1193</v>
      </c>
      <c r="N1042" s="36" t="s">
        <v>62</v>
      </c>
      <c r="O1042" s="36" t="s">
        <v>1238</v>
      </c>
    </row>
    <row r="1043" spans="11:15">
      <c r="K1043" s="36" t="s">
        <v>804</v>
      </c>
      <c r="L1043" s="36" t="s">
        <v>556</v>
      </c>
      <c r="M1043" s="36" t="s">
        <v>1193</v>
      </c>
      <c r="N1043" s="36" t="s">
        <v>62</v>
      </c>
      <c r="O1043" s="36" t="s">
        <v>1239</v>
      </c>
    </row>
    <row r="1044" spans="11:15">
      <c r="K1044" s="36" t="s">
        <v>804</v>
      </c>
      <c r="L1044" s="36" t="s">
        <v>556</v>
      </c>
      <c r="M1044" s="36" t="s">
        <v>1193</v>
      </c>
      <c r="N1044" s="36" t="s">
        <v>62</v>
      </c>
      <c r="O1044" s="36" t="s">
        <v>1240</v>
      </c>
    </row>
    <row r="1045" spans="11:15">
      <c r="K1045" s="36" t="s">
        <v>804</v>
      </c>
      <c r="L1045" s="36" t="s">
        <v>556</v>
      </c>
      <c r="M1045" s="36" t="s">
        <v>1193</v>
      </c>
      <c r="N1045" s="36" t="s">
        <v>62</v>
      </c>
      <c r="O1045" s="36" t="s">
        <v>1241</v>
      </c>
    </row>
    <row r="1046" spans="11:15">
      <c r="K1046" s="36" t="s">
        <v>804</v>
      </c>
      <c r="L1046" s="36" t="s">
        <v>556</v>
      </c>
      <c r="M1046" s="36" t="s">
        <v>1193</v>
      </c>
      <c r="N1046" s="36" t="s">
        <v>62</v>
      </c>
      <c r="O1046" s="36" t="s">
        <v>1242</v>
      </c>
    </row>
    <row r="1047" spans="11:15">
      <c r="K1047" s="36" t="s">
        <v>804</v>
      </c>
      <c r="L1047" s="36" t="s">
        <v>556</v>
      </c>
      <c r="M1047" s="36" t="s">
        <v>1193</v>
      </c>
      <c r="N1047" s="36" t="s">
        <v>62</v>
      </c>
      <c r="O1047" s="36" t="s">
        <v>1243</v>
      </c>
    </row>
    <row r="1048" spans="11:15">
      <c r="K1048" s="36" t="s">
        <v>804</v>
      </c>
      <c r="L1048" s="36" t="s">
        <v>556</v>
      </c>
      <c r="M1048" s="36" t="s">
        <v>1193</v>
      </c>
      <c r="N1048" s="36" t="s">
        <v>62</v>
      </c>
      <c r="O1048" s="36" t="s">
        <v>1244</v>
      </c>
    </row>
    <row r="1049" spans="11:15">
      <c r="K1049" s="36" t="s">
        <v>804</v>
      </c>
      <c r="L1049" s="36" t="s">
        <v>556</v>
      </c>
      <c r="M1049" s="36" t="s">
        <v>1193</v>
      </c>
      <c r="N1049" s="36" t="s">
        <v>62</v>
      </c>
      <c r="O1049" s="36" t="s">
        <v>1245</v>
      </c>
    </row>
    <row r="1050" spans="11:15">
      <c r="K1050" s="36" t="s">
        <v>804</v>
      </c>
      <c r="L1050" s="36" t="s">
        <v>556</v>
      </c>
      <c r="M1050" s="36" t="s">
        <v>1193</v>
      </c>
      <c r="N1050" s="36" t="s">
        <v>62</v>
      </c>
      <c r="O1050" s="36" t="s">
        <v>1246</v>
      </c>
    </row>
    <row r="1051" spans="11:15">
      <c r="K1051" s="36" t="s">
        <v>804</v>
      </c>
      <c r="L1051" s="36" t="s">
        <v>556</v>
      </c>
      <c r="M1051" s="36" t="s">
        <v>1193</v>
      </c>
      <c r="N1051" s="36" t="s">
        <v>62</v>
      </c>
      <c r="O1051" s="36" t="s">
        <v>1247</v>
      </c>
    </row>
    <row r="1052" spans="11:15">
      <c r="K1052" s="36" t="s">
        <v>804</v>
      </c>
      <c r="L1052" s="36" t="s">
        <v>556</v>
      </c>
      <c r="M1052" s="36" t="s">
        <v>1193</v>
      </c>
      <c r="N1052" s="36" t="s">
        <v>62</v>
      </c>
      <c r="O1052" s="36" t="s">
        <v>1248</v>
      </c>
    </row>
    <row r="1053" spans="11:15">
      <c r="K1053" s="36" t="s">
        <v>804</v>
      </c>
      <c r="L1053" s="36" t="s">
        <v>556</v>
      </c>
      <c r="M1053" s="36" t="s">
        <v>1193</v>
      </c>
      <c r="N1053" s="36" t="s">
        <v>62</v>
      </c>
      <c r="O1053" s="36" t="s">
        <v>1249</v>
      </c>
    </row>
    <row r="1054" spans="11:15">
      <c r="K1054" s="36" t="s">
        <v>804</v>
      </c>
      <c r="L1054" s="36" t="s">
        <v>556</v>
      </c>
      <c r="M1054" s="36" t="s">
        <v>1193</v>
      </c>
      <c r="N1054" s="36" t="s">
        <v>62</v>
      </c>
      <c r="O1054" s="36" t="s">
        <v>1250</v>
      </c>
    </row>
    <row r="1055" spans="11:15">
      <c r="K1055" s="36" t="s">
        <v>804</v>
      </c>
      <c r="L1055" s="36" t="s">
        <v>556</v>
      </c>
      <c r="M1055" s="36" t="s">
        <v>1193</v>
      </c>
      <c r="N1055" s="36" t="s">
        <v>62</v>
      </c>
      <c r="O1055" s="36" t="s">
        <v>1251</v>
      </c>
    </row>
    <row r="1056" spans="11:15">
      <c r="K1056" s="36" t="s">
        <v>804</v>
      </c>
      <c r="L1056" s="36" t="s">
        <v>556</v>
      </c>
      <c r="M1056" s="36" t="s">
        <v>1193</v>
      </c>
      <c r="N1056" s="36" t="s">
        <v>62</v>
      </c>
      <c r="O1056" s="36" t="s">
        <v>1252</v>
      </c>
    </row>
    <row r="1057" spans="11:15">
      <c r="K1057" s="36" t="s">
        <v>804</v>
      </c>
      <c r="L1057" s="36" t="s">
        <v>556</v>
      </c>
      <c r="M1057" s="36" t="s">
        <v>798</v>
      </c>
      <c r="N1057" s="36" t="s">
        <v>55</v>
      </c>
      <c r="O1057" s="36" t="s">
        <v>1253</v>
      </c>
    </row>
    <row r="1058" spans="11:15">
      <c r="K1058" s="36" t="s">
        <v>804</v>
      </c>
      <c r="L1058" s="36" t="s">
        <v>556</v>
      </c>
      <c r="M1058" s="36" t="s">
        <v>798</v>
      </c>
      <c r="N1058" s="36" t="s">
        <v>55</v>
      </c>
      <c r="O1058" s="36" t="s">
        <v>1254</v>
      </c>
    </row>
    <row r="1059" spans="11:15">
      <c r="K1059" s="36" t="s">
        <v>804</v>
      </c>
      <c r="L1059" s="36" t="s">
        <v>556</v>
      </c>
      <c r="M1059" s="36" t="s">
        <v>798</v>
      </c>
      <c r="N1059" s="36" t="s">
        <v>55</v>
      </c>
      <c r="O1059" s="36" t="s">
        <v>1255</v>
      </c>
    </row>
    <row r="1060" spans="11:15">
      <c r="K1060" s="36" t="s">
        <v>804</v>
      </c>
      <c r="L1060" s="36" t="s">
        <v>556</v>
      </c>
      <c r="M1060" s="36" t="s">
        <v>798</v>
      </c>
      <c r="N1060" s="36" t="s">
        <v>55</v>
      </c>
      <c r="O1060" s="36" t="s">
        <v>1256</v>
      </c>
    </row>
    <row r="1061" spans="11:15">
      <c r="K1061" s="36" t="s">
        <v>804</v>
      </c>
      <c r="L1061" s="36" t="s">
        <v>556</v>
      </c>
      <c r="M1061" s="36" t="s">
        <v>798</v>
      </c>
      <c r="N1061" s="36" t="s">
        <v>55</v>
      </c>
      <c r="O1061" s="36" t="s">
        <v>1257</v>
      </c>
    </row>
    <row r="1062" spans="11:15">
      <c r="K1062" s="36" t="s">
        <v>804</v>
      </c>
      <c r="L1062" s="36" t="s">
        <v>556</v>
      </c>
      <c r="M1062" s="36" t="s">
        <v>798</v>
      </c>
      <c r="N1062" s="36" t="s">
        <v>55</v>
      </c>
      <c r="O1062" s="36" t="s">
        <v>1258</v>
      </c>
    </row>
    <row r="1063" spans="11:15">
      <c r="K1063" s="36" t="s">
        <v>804</v>
      </c>
      <c r="L1063" s="36" t="s">
        <v>556</v>
      </c>
      <c r="M1063" s="36" t="s">
        <v>798</v>
      </c>
      <c r="N1063" s="36" t="s">
        <v>55</v>
      </c>
      <c r="O1063" s="36" t="s">
        <v>1259</v>
      </c>
    </row>
    <row r="1064" spans="11:15">
      <c r="K1064" s="36" t="s">
        <v>804</v>
      </c>
      <c r="L1064" s="36" t="s">
        <v>556</v>
      </c>
      <c r="M1064" s="36" t="s">
        <v>798</v>
      </c>
      <c r="N1064" s="36" t="s">
        <v>55</v>
      </c>
      <c r="O1064" s="36" t="s">
        <v>1260</v>
      </c>
    </row>
    <row r="1065" spans="11:15">
      <c r="K1065" s="36" t="s">
        <v>804</v>
      </c>
      <c r="L1065" s="36" t="s">
        <v>556</v>
      </c>
      <c r="M1065" s="36" t="s">
        <v>798</v>
      </c>
      <c r="N1065" s="36" t="s">
        <v>55</v>
      </c>
      <c r="O1065" s="36" t="s">
        <v>1261</v>
      </c>
    </row>
    <row r="1066" spans="11:15">
      <c r="K1066" s="36" t="s">
        <v>804</v>
      </c>
      <c r="L1066" s="36" t="s">
        <v>556</v>
      </c>
      <c r="M1066" s="36" t="s">
        <v>798</v>
      </c>
      <c r="N1066" s="36" t="s">
        <v>55</v>
      </c>
      <c r="O1066" s="36" t="s">
        <v>1262</v>
      </c>
    </row>
    <row r="1067" spans="11:15">
      <c r="K1067" s="36" t="s">
        <v>804</v>
      </c>
      <c r="L1067" s="36" t="s">
        <v>556</v>
      </c>
      <c r="M1067" s="36" t="s">
        <v>798</v>
      </c>
      <c r="N1067" s="36" t="s">
        <v>55</v>
      </c>
      <c r="O1067" s="36" t="s">
        <v>1263</v>
      </c>
    </row>
    <row r="1068" spans="11:15">
      <c r="K1068" s="36" t="s">
        <v>804</v>
      </c>
      <c r="L1068" s="36" t="s">
        <v>556</v>
      </c>
      <c r="M1068" s="36" t="s">
        <v>798</v>
      </c>
      <c r="N1068" s="36" t="s">
        <v>55</v>
      </c>
      <c r="O1068" s="36" t="s">
        <v>1264</v>
      </c>
    </row>
    <row r="1069" spans="11:15">
      <c r="K1069" s="36" t="s">
        <v>804</v>
      </c>
      <c r="L1069" s="36" t="s">
        <v>556</v>
      </c>
      <c r="M1069" s="36" t="s">
        <v>798</v>
      </c>
      <c r="N1069" s="36" t="s">
        <v>55</v>
      </c>
      <c r="O1069" s="36" t="s">
        <v>1265</v>
      </c>
    </row>
    <row r="1070" spans="11:15">
      <c r="K1070" s="36" t="s">
        <v>804</v>
      </c>
      <c r="L1070" s="36" t="s">
        <v>556</v>
      </c>
      <c r="M1070" s="36" t="s">
        <v>798</v>
      </c>
      <c r="N1070" s="36" t="s">
        <v>55</v>
      </c>
      <c r="O1070" s="36" t="s">
        <v>1266</v>
      </c>
    </row>
    <row r="1071" spans="11:15">
      <c r="K1071" s="36" t="s">
        <v>804</v>
      </c>
      <c r="L1071" s="36" t="s">
        <v>556</v>
      </c>
      <c r="M1071" s="36" t="s">
        <v>798</v>
      </c>
      <c r="N1071" s="36" t="s">
        <v>55</v>
      </c>
      <c r="O1071" s="36" t="s">
        <v>1267</v>
      </c>
    </row>
    <row r="1072" spans="11:15">
      <c r="K1072" s="36" t="s">
        <v>804</v>
      </c>
      <c r="L1072" s="36" t="s">
        <v>556</v>
      </c>
      <c r="M1072" s="36" t="s">
        <v>798</v>
      </c>
      <c r="N1072" s="36" t="s">
        <v>55</v>
      </c>
      <c r="O1072" s="36" t="s">
        <v>1268</v>
      </c>
    </row>
    <row r="1073" spans="11:15">
      <c r="K1073" s="36" t="s">
        <v>804</v>
      </c>
      <c r="L1073" s="36" t="s">
        <v>556</v>
      </c>
      <c r="M1073" s="36" t="s">
        <v>798</v>
      </c>
      <c r="N1073" s="36" t="s">
        <v>55</v>
      </c>
      <c r="O1073" s="36" t="s">
        <v>1269</v>
      </c>
    </row>
    <row r="1074" spans="11:15">
      <c r="K1074" s="36" t="s">
        <v>804</v>
      </c>
      <c r="L1074" s="36" t="s">
        <v>556</v>
      </c>
      <c r="M1074" s="36" t="s">
        <v>798</v>
      </c>
      <c r="N1074" s="36" t="s">
        <v>55</v>
      </c>
      <c r="O1074" s="36" t="s">
        <v>1270</v>
      </c>
    </row>
    <row r="1075" spans="11:15">
      <c r="K1075" s="36" t="s">
        <v>804</v>
      </c>
      <c r="L1075" s="36" t="s">
        <v>556</v>
      </c>
      <c r="M1075" s="36" t="s">
        <v>798</v>
      </c>
      <c r="N1075" s="36" t="s">
        <v>55</v>
      </c>
      <c r="O1075" s="36" t="s">
        <v>1271</v>
      </c>
    </row>
    <row r="1076" spans="11:15">
      <c r="K1076" s="36" t="s">
        <v>804</v>
      </c>
      <c r="L1076" s="36" t="s">
        <v>556</v>
      </c>
      <c r="M1076" s="36" t="s">
        <v>798</v>
      </c>
      <c r="N1076" s="36" t="s">
        <v>62</v>
      </c>
      <c r="O1076" s="36" t="s">
        <v>1272</v>
      </c>
    </row>
    <row r="1077" spans="11:15">
      <c r="K1077" s="36" t="s">
        <v>804</v>
      </c>
      <c r="L1077" s="36" t="s">
        <v>556</v>
      </c>
      <c r="M1077" s="36" t="s">
        <v>798</v>
      </c>
      <c r="N1077" s="36" t="s">
        <v>62</v>
      </c>
      <c r="O1077" s="36" t="s">
        <v>1273</v>
      </c>
    </row>
    <row r="1078" spans="11:15">
      <c r="K1078" s="36" t="s">
        <v>804</v>
      </c>
      <c r="L1078" s="36" t="s">
        <v>556</v>
      </c>
      <c r="M1078" s="36" t="s">
        <v>798</v>
      </c>
      <c r="N1078" s="36" t="s">
        <v>62</v>
      </c>
      <c r="O1078" s="36" t="s">
        <v>1274</v>
      </c>
    </row>
    <row r="1079" spans="11:15">
      <c r="K1079" s="36" t="s">
        <v>804</v>
      </c>
      <c r="L1079" s="36" t="s">
        <v>556</v>
      </c>
      <c r="M1079" s="36" t="s">
        <v>798</v>
      </c>
      <c r="N1079" s="36" t="s">
        <v>62</v>
      </c>
      <c r="O1079" s="36" t="s">
        <v>1275</v>
      </c>
    </row>
    <row r="1080" spans="11:15">
      <c r="K1080" s="36" t="s">
        <v>804</v>
      </c>
      <c r="L1080" s="36" t="s">
        <v>556</v>
      </c>
      <c r="M1080" s="36" t="s">
        <v>798</v>
      </c>
      <c r="N1080" s="36" t="s">
        <v>62</v>
      </c>
      <c r="O1080" s="36" t="s">
        <v>1276</v>
      </c>
    </row>
    <row r="1081" spans="11:15">
      <c r="K1081" s="36" t="s">
        <v>804</v>
      </c>
      <c r="L1081" s="36" t="s">
        <v>556</v>
      </c>
      <c r="M1081" s="36" t="s">
        <v>798</v>
      </c>
      <c r="N1081" s="36" t="s">
        <v>62</v>
      </c>
      <c r="O1081" s="36" t="s">
        <v>1277</v>
      </c>
    </row>
    <row r="1082" spans="11:15">
      <c r="K1082" s="36" t="s">
        <v>804</v>
      </c>
      <c r="L1082" s="36" t="s">
        <v>556</v>
      </c>
      <c r="M1082" s="36" t="s">
        <v>798</v>
      </c>
      <c r="N1082" s="36" t="s">
        <v>62</v>
      </c>
      <c r="O1082" s="36" t="s">
        <v>1278</v>
      </c>
    </row>
    <row r="1083" spans="11:15">
      <c r="K1083" s="36" t="s">
        <v>804</v>
      </c>
      <c r="L1083" s="36" t="s">
        <v>556</v>
      </c>
      <c r="M1083" s="36" t="s">
        <v>798</v>
      </c>
      <c r="N1083" s="36" t="s">
        <v>62</v>
      </c>
      <c r="O1083" s="36" t="s">
        <v>1279</v>
      </c>
    </row>
    <row r="1084" spans="11:15">
      <c r="K1084" s="36" t="s">
        <v>804</v>
      </c>
      <c r="L1084" s="36" t="s">
        <v>556</v>
      </c>
      <c r="M1084" s="36" t="s">
        <v>798</v>
      </c>
      <c r="N1084" s="36" t="s">
        <v>62</v>
      </c>
      <c r="O1084" s="36" t="s">
        <v>1280</v>
      </c>
    </row>
    <row r="1085" spans="11:15">
      <c r="K1085" s="36" t="s">
        <v>804</v>
      </c>
      <c r="L1085" s="36" t="s">
        <v>556</v>
      </c>
      <c r="M1085" s="36" t="s">
        <v>798</v>
      </c>
      <c r="N1085" s="36" t="s">
        <v>62</v>
      </c>
      <c r="O1085" s="36" t="s">
        <v>1281</v>
      </c>
    </row>
    <row r="1086" spans="11:15">
      <c r="K1086" s="36" t="s">
        <v>804</v>
      </c>
      <c r="L1086" s="36" t="s">
        <v>556</v>
      </c>
      <c r="M1086" s="36" t="s">
        <v>798</v>
      </c>
      <c r="N1086" s="36" t="s">
        <v>62</v>
      </c>
      <c r="O1086" s="36" t="s">
        <v>1282</v>
      </c>
    </row>
    <row r="1087" spans="11:15">
      <c r="K1087" s="36" t="s">
        <v>804</v>
      </c>
      <c r="L1087" s="36" t="s">
        <v>556</v>
      </c>
      <c r="M1087" s="36" t="s">
        <v>798</v>
      </c>
      <c r="N1087" s="36" t="s">
        <v>62</v>
      </c>
      <c r="O1087" s="36" t="s">
        <v>1283</v>
      </c>
    </row>
    <row r="1088" spans="11:15">
      <c r="K1088" s="36" t="s">
        <v>804</v>
      </c>
      <c r="L1088" s="36" t="s">
        <v>556</v>
      </c>
      <c r="M1088" s="36" t="s">
        <v>798</v>
      </c>
      <c r="N1088" s="36" t="s">
        <v>62</v>
      </c>
      <c r="O1088" s="36" t="s">
        <v>1284</v>
      </c>
    </row>
    <row r="1089" spans="11:15">
      <c r="K1089" s="36" t="s">
        <v>59</v>
      </c>
      <c r="L1089" s="36" t="s">
        <v>133</v>
      </c>
      <c r="M1089" s="36" t="s">
        <v>1285</v>
      </c>
      <c r="N1089" s="36" t="s">
        <v>165</v>
      </c>
      <c r="O1089" s="36" t="s">
        <v>1286</v>
      </c>
    </row>
    <row r="1090" spans="11:15">
      <c r="K1090" s="36" t="s">
        <v>59</v>
      </c>
      <c r="L1090" s="36" t="s">
        <v>133</v>
      </c>
      <c r="M1090" s="36" t="s">
        <v>1285</v>
      </c>
      <c r="N1090" s="36" t="s">
        <v>165</v>
      </c>
      <c r="O1090" s="36" t="s">
        <v>1287</v>
      </c>
    </row>
    <row r="1091" spans="11:15">
      <c r="K1091" s="36" t="s">
        <v>59</v>
      </c>
      <c r="L1091" s="36" t="s">
        <v>40</v>
      </c>
      <c r="M1091" s="36" t="s">
        <v>1288</v>
      </c>
      <c r="N1091" s="36" t="s">
        <v>55</v>
      </c>
      <c r="O1091" s="36" t="s">
        <v>1289</v>
      </c>
    </row>
    <row r="1092" spans="11:15">
      <c r="K1092" s="36" t="s">
        <v>59</v>
      </c>
      <c r="L1092" s="36" t="s">
        <v>40</v>
      </c>
      <c r="M1092" s="36" t="s">
        <v>1288</v>
      </c>
      <c r="N1092" s="36" t="s">
        <v>55</v>
      </c>
      <c r="O1092" s="36" t="s">
        <v>1290</v>
      </c>
    </row>
    <row r="1093" spans="11:15">
      <c r="K1093" s="36" t="s">
        <v>59</v>
      </c>
      <c r="L1093" s="36" t="s">
        <v>40</v>
      </c>
      <c r="M1093" s="36" t="s">
        <v>1288</v>
      </c>
      <c r="N1093" s="36" t="s">
        <v>55</v>
      </c>
      <c r="O1093" s="36" t="s">
        <v>1291</v>
      </c>
    </row>
    <row r="1094" spans="11:15">
      <c r="K1094" s="36" t="s">
        <v>59</v>
      </c>
      <c r="L1094" s="36" t="s">
        <v>40</v>
      </c>
      <c r="M1094" s="36" t="s">
        <v>1288</v>
      </c>
      <c r="N1094" s="36" t="s">
        <v>55</v>
      </c>
      <c r="O1094" s="36" t="s">
        <v>1292</v>
      </c>
    </row>
    <row r="1095" spans="11:15">
      <c r="K1095" s="36" t="s">
        <v>59</v>
      </c>
      <c r="L1095" s="36" t="s">
        <v>40</v>
      </c>
      <c r="M1095" s="36" t="s">
        <v>1288</v>
      </c>
      <c r="N1095" s="36" t="s">
        <v>55</v>
      </c>
      <c r="O1095" s="36" t="s">
        <v>1293</v>
      </c>
    </row>
    <row r="1096" spans="11:15">
      <c r="K1096" s="36" t="s">
        <v>59</v>
      </c>
      <c r="L1096" s="36" t="s">
        <v>40</v>
      </c>
      <c r="M1096" s="36" t="s">
        <v>1288</v>
      </c>
      <c r="N1096" s="36" t="s">
        <v>55</v>
      </c>
      <c r="O1096" s="36" t="s">
        <v>1294</v>
      </c>
    </row>
    <row r="1097" spans="11:15">
      <c r="K1097" s="36" t="s">
        <v>59</v>
      </c>
      <c r="L1097" s="36" t="s">
        <v>40</v>
      </c>
      <c r="M1097" s="36" t="s">
        <v>1288</v>
      </c>
      <c r="N1097" s="36" t="s">
        <v>55</v>
      </c>
      <c r="O1097" s="36" t="s">
        <v>1295</v>
      </c>
    </row>
    <row r="1098" spans="11:15">
      <c r="K1098" s="36" t="s">
        <v>59</v>
      </c>
      <c r="L1098" s="36" t="s">
        <v>40</v>
      </c>
      <c r="M1098" s="36" t="s">
        <v>1288</v>
      </c>
      <c r="N1098" s="36" t="s">
        <v>55</v>
      </c>
      <c r="O1098" s="36" t="s">
        <v>1296</v>
      </c>
    </row>
    <row r="1099" spans="11:15">
      <c r="K1099" s="36" t="s">
        <v>59</v>
      </c>
      <c r="L1099" s="36" t="s">
        <v>40</v>
      </c>
      <c r="M1099" s="36" t="s">
        <v>1288</v>
      </c>
      <c r="N1099" s="36" t="s">
        <v>55</v>
      </c>
      <c r="O1099" s="36" t="s">
        <v>1297</v>
      </c>
    </row>
    <row r="1100" spans="11:15">
      <c r="K1100" s="36" t="s">
        <v>59</v>
      </c>
      <c r="L1100" s="36" t="s">
        <v>40</v>
      </c>
      <c r="M1100" s="36" t="s">
        <v>1288</v>
      </c>
      <c r="N1100" s="36" t="s">
        <v>55</v>
      </c>
      <c r="O1100" s="36" t="s">
        <v>1298</v>
      </c>
    </row>
    <row r="1101" spans="11:15">
      <c r="K1101" s="36" t="s">
        <v>59</v>
      </c>
      <c r="L1101" s="36" t="s">
        <v>40</v>
      </c>
      <c r="M1101" s="36" t="s">
        <v>1288</v>
      </c>
      <c r="N1101" s="36" t="s">
        <v>55</v>
      </c>
      <c r="O1101" s="36" t="s">
        <v>1299</v>
      </c>
    </row>
    <row r="1102" spans="11:15">
      <c r="K1102" s="36" t="s">
        <v>59</v>
      </c>
      <c r="L1102" s="36" t="s">
        <v>40</v>
      </c>
      <c r="M1102" s="36" t="s">
        <v>1288</v>
      </c>
      <c r="N1102" s="36" t="s">
        <v>55</v>
      </c>
      <c r="O1102" s="36" t="s">
        <v>1300</v>
      </c>
    </row>
    <row r="1103" spans="11:15">
      <c r="K1103" s="36" t="s">
        <v>59</v>
      </c>
      <c r="L1103" s="36" t="s">
        <v>40</v>
      </c>
      <c r="M1103" s="36" t="s">
        <v>1288</v>
      </c>
      <c r="N1103" s="36" t="s">
        <v>55</v>
      </c>
      <c r="O1103" s="36" t="s">
        <v>1301</v>
      </c>
    </row>
    <row r="1104" spans="11:15">
      <c r="K1104" s="36" t="s">
        <v>59</v>
      </c>
      <c r="L1104" s="36" t="s">
        <v>40</v>
      </c>
      <c r="M1104" s="36" t="s">
        <v>1288</v>
      </c>
      <c r="N1104" s="36" t="s">
        <v>55</v>
      </c>
      <c r="O1104" s="36" t="s">
        <v>1302</v>
      </c>
    </row>
    <row r="1105" spans="11:15">
      <c r="K1105" s="36" t="s">
        <v>59</v>
      </c>
      <c r="L1105" s="36" t="s">
        <v>40</v>
      </c>
      <c r="M1105" s="36" t="s">
        <v>1288</v>
      </c>
      <c r="N1105" s="36" t="s">
        <v>55</v>
      </c>
      <c r="O1105" s="36" t="s">
        <v>1303</v>
      </c>
    </row>
    <row r="1106" spans="11:15">
      <c r="K1106" s="36" t="s">
        <v>59</v>
      </c>
      <c r="L1106" s="36" t="s">
        <v>40</v>
      </c>
      <c r="M1106" s="36" t="s">
        <v>1288</v>
      </c>
      <c r="N1106" s="36" t="s">
        <v>55</v>
      </c>
      <c r="O1106" s="36" t="s">
        <v>1304</v>
      </c>
    </row>
    <row r="1107" spans="11:15">
      <c r="K1107" s="36" t="s">
        <v>59</v>
      </c>
      <c r="L1107" s="36" t="s">
        <v>40</v>
      </c>
      <c r="M1107" s="36" t="s">
        <v>1288</v>
      </c>
      <c r="N1107" s="36" t="s">
        <v>165</v>
      </c>
      <c r="O1107" s="36" t="s">
        <v>1305</v>
      </c>
    </row>
    <row r="1108" spans="11:15">
      <c r="K1108" s="36" t="s">
        <v>59</v>
      </c>
      <c r="L1108" s="36" t="s">
        <v>40</v>
      </c>
      <c r="M1108" s="36" t="s">
        <v>1288</v>
      </c>
      <c r="N1108" s="36" t="s">
        <v>165</v>
      </c>
      <c r="O1108" s="36" t="s">
        <v>1306</v>
      </c>
    </row>
    <row r="1109" spans="11:15">
      <c r="K1109" s="36" t="s">
        <v>59</v>
      </c>
      <c r="L1109" s="36" t="s">
        <v>40</v>
      </c>
      <c r="M1109" s="36" t="s">
        <v>1288</v>
      </c>
      <c r="N1109" s="36" t="s">
        <v>165</v>
      </c>
      <c r="O1109" s="36" t="s">
        <v>1307</v>
      </c>
    </row>
    <row r="1110" spans="11:15">
      <c r="K1110" s="36" t="s">
        <v>59</v>
      </c>
      <c r="L1110" s="36" t="s">
        <v>40</v>
      </c>
      <c r="M1110" s="36" t="s">
        <v>1308</v>
      </c>
      <c r="N1110" s="36" t="s">
        <v>55</v>
      </c>
      <c r="O1110" s="36" t="s">
        <v>1309</v>
      </c>
    </row>
    <row r="1111" spans="11:15">
      <c r="K1111" s="36" t="s">
        <v>59</v>
      </c>
      <c r="L1111" s="36" t="s">
        <v>40</v>
      </c>
      <c r="M1111" s="36" t="s">
        <v>1308</v>
      </c>
      <c r="N1111" s="36" t="s">
        <v>55</v>
      </c>
      <c r="O1111" s="36" t="s">
        <v>1310</v>
      </c>
    </row>
    <row r="1112" spans="11:15">
      <c r="K1112" s="36" t="s">
        <v>59</v>
      </c>
      <c r="L1112" s="36" t="s">
        <v>40</v>
      </c>
      <c r="M1112" s="36" t="s">
        <v>1308</v>
      </c>
      <c r="N1112" s="36" t="s">
        <v>55</v>
      </c>
      <c r="O1112" s="36" t="s">
        <v>1311</v>
      </c>
    </row>
    <row r="1113" spans="11:15">
      <c r="K1113" s="36" t="s">
        <v>59</v>
      </c>
      <c r="L1113" s="36" t="s">
        <v>40</v>
      </c>
      <c r="M1113" s="36" t="s">
        <v>1308</v>
      </c>
      <c r="N1113" s="36" t="s">
        <v>55</v>
      </c>
      <c r="O1113" s="36" t="s">
        <v>1312</v>
      </c>
    </row>
    <row r="1114" spans="11:15">
      <c r="K1114" s="36" t="s">
        <v>59</v>
      </c>
      <c r="L1114" s="36" t="s">
        <v>40</v>
      </c>
      <c r="M1114" s="36" t="s">
        <v>1308</v>
      </c>
      <c r="N1114" s="36" t="s">
        <v>55</v>
      </c>
      <c r="O1114" s="36" t="s">
        <v>1313</v>
      </c>
    </row>
    <row r="1115" spans="11:15">
      <c r="K1115" s="36" t="s">
        <v>59</v>
      </c>
      <c r="L1115" s="36" t="s">
        <v>54</v>
      </c>
      <c r="M1115" s="36" t="s">
        <v>60</v>
      </c>
      <c r="N1115" s="36" t="s">
        <v>55</v>
      </c>
      <c r="O1115" s="36" t="s">
        <v>1314</v>
      </c>
    </row>
    <row r="1116" spans="11:15">
      <c r="K1116" s="36" t="s">
        <v>59</v>
      </c>
      <c r="L1116" s="36" t="s">
        <v>54</v>
      </c>
      <c r="M1116" s="36" t="s">
        <v>60</v>
      </c>
      <c r="N1116" s="36" t="s">
        <v>55</v>
      </c>
      <c r="O1116" s="36" t="s">
        <v>1315</v>
      </c>
    </row>
    <row r="1117" spans="11:15">
      <c r="K1117" s="36" t="s">
        <v>59</v>
      </c>
      <c r="L1117" s="36" t="s">
        <v>54</v>
      </c>
      <c r="M1117" s="36" t="s">
        <v>60</v>
      </c>
      <c r="N1117" s="36" t="s">
        <v>55</v>
      </c>
      <c r="O1117" s="36" t="s">
        <v>1316</v>
      </c>
    </row>
    <row r="1118" spans="11:15">
      <c r="K1118" s="36" t="s">
        <v>59</v>
      </c>
      <c r="L1118" s="36" t="s">
        <v>54</v>
      </c>
      <c r="M1118" s="36" t="s">
        <v>60</v>
      </c>
      <c r="N1118" s="36" t="s">
        <v>55</v>
      </c>
      <c r="O1118" s="36" t="s">
        <v>1317</v>
      </c>
    </row>
    <row r="1119" spans="11:15">
      <c r="K1119" s="36" t="s">
        <v>59</v>
      </c>
      <c r="L1119" s="36" t="s">
        <v>54</v>
      </c>
      <c r="M1119" s="36" t="s">
        <v>60</v>
      </c>
      <c r="N1119" s="36" t="s">
        <v>55</v>
      </c>
      <c r="O1119" s="36" t="s">
        <v>1318</v>
      </c>
    </row>
    <row r="1120" spans="11:15">
      <c r="K1120" s="36" t="s">
        <v>59</v>
      </c>
      <c r="L1120" s="36" t="s">
        <v>54</v>
      </c>
      <c r="M1120" s="36" t="s">
        <v>60</v>
      </c>
      <c r="N1120" s="36" t="s">
        <v>55</v>
      </c>
      <c r="O1120" s="36" t="s">
        <v>1319</v>
      </c>
    </row>
    <row r="1121" spans="11:15">
      <c r="K1121" s="36" t="s">
        <v>59</v>
      </c>
      <c r="L1121" s="36" t="s">
        <v>54</v>
      </c>
      <c r="M1121" s="36" t="s">
        <v>60</v>
      </c>
      <c r="N1121" s="36" t="s">
        <v>55</v>
      </c>
      <c r="O1121" s="36" t="s">
        <v>1320</v>
      </c>
    </row>
    <row r="1122" spans="11:15">
      <c r="K1122" s="36" t="s">
        <v>59</v>
      </c>
      <c r="L1122" s="36" t="s">
        <v>54</v>
      </c>
      <c r="M1122" s="36" t="s">
        <v>60</v>
      </c>
      <c r="N1122" s="36" t="s">
        <v>55</v>
      </c>
      <c r="O1122" s="36" t="s">
        <v>1321</v>
      </c>
    </row>
    <row r="1123" spans="11:15">
      <c r="K1123" s="36" t="s">
        <v>59</v>
      </c>
      <c r="L1123" s="36" t="s">
        <v>54</v>
      </c>
      <c r="M1123" s="36" t="s">
        <v>60</v>
      </c>
      <c r="N1123" s="36" t="s">
        <v>55</v>
      </c>
      <c r="O1123" s="36" t="s">
        <v>1322</v>
      </c>
    </row>
    <row r="1124" spans="11:15">
      <c r="K1124" s="36" t="s">
        <v>59</v>
      </c>
      <c r="L1124" s="36" t="s">
        <v>54</v>
      </c>
      <c r="M1124" s="36" t="s">
        <v>60</v>
      </c>
      <c r="N1124" s="36" t="s">
        <v>55</v>
      </c>
      <c r="O1124" s="36" t="s">
        <v>1323</v>
      </c>
    </row>
    <row r="1125" spans="11:15">
      <c r="K1125" s="36" t="s">
        <v>59</v>
      </c>
      <c r="L1125" s="36" t="s">
        <v>54</v>
      </c>
      <c r="M1125" s="36" t="s">
        <v>60</v>
      </c>
      <c r="N1125" s="36" t="s">
        <v>55</v>
      </c>
      <c r="O1125" s="36" t="s">
        <v>1324</v>
      </c>
    </row>
    <row r="1126" spans="11:15">
      <c r="K1126" s="36" t="s">
        <v>59</v>
      </c>
      <c r="L1126" s="36" t="s">
        <v>54</v>
      </c>
      <c r="M1126" s="36" t="s">
        <v>60</v>
      </c>
      <c r="N1126" s="36" t="s">
        <v>55</v>
      </c>
      <c r="O1126" s="36" t="s">
        <v>1325</v>
      </c>
    </row>
    <row r="1127" spans="11:15">
      <c r="K1127" s="36" t="s">
        <v>59</v>
      </c>
      <c r="L1127" s="36" t="s">
        <v>54</v>
      </c>
      <c r="M1127" s="36" t="s">
        <v>60</v>
      </c>
      <c r="N1127" s="36" t="s">
        <v>55</v>
      </c>
      <c r="O1127" s="36" t="s">
        <v>1326</v>
      </c>
    </row>
    <row r="1128" spans="11:15">
      <c r="K1128" s="36" t="s">
        <v>59</v>
      </c>
      <c r="L1128" s="36" t="s">
        <v>54</v>
      </c>
      <c r="M1128" s="36" t="s">
        <v>60</v>
      </c>
      <c r="N1128" s="36" t="s">
        <v>55</v>
      </c>
      <c r="O1128" s="36" t="s">
        <v>1327</v>
      </c>
    </row>
    <row r="1129" spans="11:15">
      <c r="K1129" s="36" t="s">
        <v>59</v>
      </c>
      <c r="L1129" s="36" t="s">
        <v>54</v>
      </c>
      <c r="M1129" s="36" t="s">
        <v>60</v>
      </c>
      <c r="N1129" s="36" t="s">
        <v>55</v>
      </c>
      <c r="O1129" s="36" t="s">
        <v>1328</v>
      </c>
    </row>
    <row r="1130" spans="11:15">
      <c r="K1130" s="36" t="s">
        <v>59</v>
      </c>
      <c r="L1130" s="36" t="s">
        <v>54</v>
      </c>
      <c r="M1130" s="36" t="s">
        <v>60</v>
      </c>
      <c r="N1130" s="36" t="s">
        <v>55</v>
      </c>
      <c r="O1130" s="36" t="s">
        <v>1329</v>
      </c>
    </row>
    <row r="1131" spans="11:15">
      <c r="K1131" s="36" t="s">
        <v>59</v>
      </c>
      <c r="L1131" s="36" t="s">
        <v>54</v>
      </c>
      <c r="M1131" s="36" t="s">
        <v>60</v>
      </c>
      <c r="N1131" s="36" t="s">
        <v>55</v>
      </c>
      <c r="O1131" s="36" t="s">
        <v>1330</v>
      </c>
    </row>
    <row r="1132" spans="11:15">
      <c r="K1132" s="36" t="s">
        <v>59</v>
      </c>
      <c r="L1132" s="36" t="s">
        <v>54</v>
      </c>
      <c r="M1132" s="36" t="s">
        <v>60</v>
      </c>
      <c r="N1132" s="36" t="s">
        <v>55</v>
      </c>
      <c r="O1132" s="36" t="s">
        <v>1331</v>
      </c>
    </row>
    <row r="1133" spans="11:15">
      <c r="K1133" s="36" t="s">
        <v>59</v>
      </c>
      <c r="L1133" s="36" t="s">
        <v>54</v>
      </c>
      <c r="M1133" s="36" t="s">
        <v>60</v>
      </c>
      <c r="N1133" s="36" t="s">
        <v>55</v>
      </c>
      <c r="O1133" s="36" t="s">
        <v>1332</v>
      </c>
    </row>
    <row r="1134" spans="11:15">
      <c r="K1134" s="36" t="s">
        <v>59</v>
      </c>
      <c r="L1134" s="36" t="s">
        <v>54</v>
      </c>
      <c r="M1134" s="36" t="s">
        <v>60</v>
      </c>
      <c r="N1134" s="36" t="s">
        <v>55</v>
      </c>
      <c r="O1134" s="36" t="s">
        <v>1333</v>
      </c>
    </row>
    <row r="1135" spans="11:15">
      <c r="K1135" s="36" t="s">
        <v>59</v>
      </c>
      <c r="L1135" s="36" t="s">
        <v>54</v>
      </c>
      <c r="M1135" s="36" t="s">
        <v>60</v>
      </c>
      <c r="N1135" s="36" t="s">
        <v>62</v>
      </c>
      <c r="O1135" s="36" t="s">
        <v>1334</v>
      </c>
    </row>
    <row r="1136" spans="11:15">
      <c r="K1136" s="36" t="s">
        <v>59</v>
      </c>
      <c r="L1136" s="36" t="s">
        <v>54</v>
      </c>
      <c r="M1136" s="36" t="s">
        <v>60</v>
      </c>
      <c r="N1136" s="36" t="s">
        <v>62</v>
      </c>
      <c r="O1136" s="36" t="s">
        <v>1335</v>
      </c>
    </row>
    <row r="1137" spans="11:15">
      <c r="K1137" s="36" t="s">
        <v>59</v>
      </c>
      <c r="L1137" s="36" t="s">
        <v>54</v>
      </c>
      <c r="M1137" s="36" t="s">
        <v>60</v>
      </c>
      <c r="N1137" s="36" t="s">
        <v>62</v>
      </c>
      <c r="O1137" s="36" t="s">
        <v>1336</v>
      </c>
    </row>
    <row r="1138" spans="11:15">
      <c r="K1138" s="36" t="s">
        <v>59</v>
      </c>
      <c r="L1138" s="36" t="s">
        <v>54</v>
      </c>
      <c r="M1138" s="36" t="s">
        <v>60</v>
      </c>
      <c r="N1138" s="36" t="s">
        <v>62</v>
      </c>
      <c r="O1138" s="36" t="s">
        <v>1337</v>
      </c>
    </row>
    <row r="1139" spans="11:15">
      <c r="K1139" s="36" t="s">
        <v>59</v>
      </c>
      <c r="L1139" s="36" t="s">
        <v>54</v>
      </c>
      <c r="M1139" s="36" t="s">
        <v>60</v>
      </c>
      <c r="N1139" s="36" t="s">
        <v>62</v>
      </c>
      <c r="O1139" s="36" t="s">
        <v>1338</v>
      </c>
    </row>
    <row r="1140" spans="11:15">
      <c r="K1140" s="36" t="s">
        <v>59</v>
      </c>
      <c r="L1140" s="36" t="s">
        <v>54</v>
      </c>
      <c r="M1140" s="36" t="s">
        <v>60</v>
      </c>
      <c r="N1140" s="36" t="s">
        <v>62</v>
      </c>
      <c r="O1140" s="36" t="s">
        <v>1339</v>
      </c>
    </row>
    <row r="1141" spans="11:15">
      <c r="K1141" s="36" t="s">
        <v>59</v>
      </c>
      <c r="L1141" s="36" t="s">
        <v>54</v>
      </c>
      <c r="M1141" s="36" t="s">
        <v>60</v>
      </c>
      <c r="N1141" s="36" t="s">
        <v>62</v>
      </c>
      <c r="O1141" s="36" t="s">
        <v>1340</v>
      </c>
    </row>
    <row r="1142" spans="11:15">
      <c r="K1142" s="36" t="s">
        <v>59</v>
      </c>
      <c r="L1142" s="36" t="s">
        <v>54</v>
      </c>
      <c r="M1142" s="36" t="s">
        <v>60</v>
      </c>
      <c r="N1142" s="36" t="s">
        <v>62</v>
      </c>
      <c r="O1142" s="36" t="s">
        <v>1341</v>
      </c>
    </row>
    <row r="1143" spans="11:15">
      <c r="K1143" s="36" t="s">
        <v>59</v>
      </c>
      <c r="L1143" s="36" t="s">
        <v>54</v>
      </c>
      <c r="M1143" s="36" t="s">
        <v>60</v>
      </c>
      <c r="N1143" s="36" t="s">
        <v>62</v>
      </c>
      <c r="O1143" s="36" t="s">
        <v>1342</v>
      </c>
    </row>
    <row r="1144" spans="11:15">
      <c r="K1144" s="36" t="s">
        <v>59</v>
      </c>
      <c r="L1144" s="36" t="s">
        <v>54</v>
      </c>
      <c r="M1144" s="36" t="s">
        <v>60</v>
      </c>
      <c r="N1144" s="36" t="s">
        <v>62</v>
      </c>
      <c r="O1144" s="36" t="s">
        <v>1343</v>
      </c>
    </row>
    <row r="1145" spans="11:15">
      <c r="K1145" s="36" t="s">
        <v>59</v>
      </c>
      <c r="L1145" s="36" t="s">
        <v>54</v>
      </c>
      <c r="M1145" s="36" t="s">
        <v>60</v>
      </c>
      <c r="N1145" s="36" t="s">
        <v>62</v>
      </c>
      <c r="O1145" s="36" t="s">
        <v>1344</v>
      </c>
    </row>
    <row r="1146" spans="11:15">
      <c r="K1146" s="36" t="s">
        <v>59</v>
      </c>
      <c r="L1146" s="36" t="s">
        <v>54</v>
      </c>
      <c r="M1146" s="36" t="s">
        <v>60</v>
      </c>
      <c r="N1146" s="36" t="s">
        <v>62</v>
      </c>
      <c r="O1146" s="36" t="s">
        <v>1345</v>
      </c>
    </row>
    <row r="1147" spans="11:15">
      <c r="K1147" s="36" t="s">
        <v>59</v>
      </c>
      <c r="L1147" s="36" t="s">
        <v>54</v>
      </c>
      <c r="M1147" s="36" t="s">
        <v>60</v>
      </c>
      <c r="N1147" s="36" t="s">
        <v>62</v>
      </c>
      <c r="O1147" s="36" t="s">
        <v>1346</v>
      </c>
    </row>
    <row r="1148" spans="11:15">
      <c r="K1148" s="36" t="s">
        <v>59</v>
      </c>
      <c r="L1148" s="36" t="s">
        <v>296</v>
      </c>
      <c r="M1148" s="36" t="s">
        <v>1347</v>
      </c>
      <c r="N1148" s="36" t="s">
        <v>55</v>
      </c>
      <c r="O1148" s="36" t="s">
        <v>1348</v>
      </c>
    </row>
    <row r="1149" spans="11:15">
      <c r="K1149" s="36" t="s">
        <v>59</v>
      </c>
      <c r="L1149" s="36" t="s">
        <v>296</v>
      </c>
      <c r="M1149" s="36" t="s">
        <v>1347</v>
      </c>
      <c r="N1149" s="36" t="s">
        <v>55</v>
      </c>
      <c r="O1149" s="36" t="s">
        <v>1349</v>
      </c>
    </row>
    <row r="1150" spans="11:15">
      <c r="K1150" s="36" t="s">
        <v>59</v>
      </c>
      <c r="L1150" s="36" t="s">
        <v>556</v>
      </c>
      <c r="M1150" s="36" t="s">
        <v>798</v>
      </c>
      <c r="N1150" s="36" t="s">
        <v>55</v>
      </c>
      <c r="O1150" s="36" t="s">
        <v>1350</v>
      </c>
    </row>
    <row r="1151" spans="11:15">
      <c r="K1151" s="36" t="s">
        <v>59</v>
      </c>
      <c r="L1151" s="36" t="s">
        <v>556</v>
      </c>
      <c r="M1151" s="36" t="s">
        <v>798</v>
      </c>
      <c r="N1151" s="36" t="s">
        <v>55</v>
      </c>
      <c r="O1151" s="36" t="s">
        <v>1351</v>
      </c>
    </row>
    <row r="1152" spans="11:15">
      <c r="K1152" s="36" t="s">
        <v>59</v>
      </c>
      <c r="L1152" s="36" t="s">
        <v>556</v>
      </c>
      <c r="M1152" s="36" t="s">
        <v>798</v>
      </c>
      <c r="N1152" s="36" t="s">
        <v>55</v>
      </c>
      <c r="O1152" s="36" t="s">
        <v>1352</v>
      </c>
    </row>
    <row r="1153" spans="11:15">
      <c r="K1153" s="36" t="s">
        <v>59</v>
      </c>
      <c r="L1153" s="36" t="s">
        <v>556</v>
      </c>
      <c r="M1153" s="36" t="s">
        <v>798</v>
      </c>
      <c r="N1153" s="36" t="s">
        <v>55</v>
      </c>
      <c r="O1153" s="36" t="s">
        <v>1353</v>
      </c>
    </row>
  </sheetData>
  <autoFilter ref="K1:O1153" xr:uid="{00000000-0009-0000-0000-00000F000000}"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7" filterMode="1"/>
  <dimension ref="A1:K61"/>
  <sheetViews>
    <sheetView zoomScale="80" zoomScaleNormal="80" workbookViewId="0">
      <selection activeCell="K49" sqref="K49"/>
    </sheetView>
  </sheetViews>
  <sheetFormatPr defaultRowHeight="16.5"/>
  <cols>
    <col min="1" max="2" width="14.625" customWidth="1"/>
    <col min="3" max="3" width="14.625" style="38" customWidth="1"/>
    <col min="4" max="4" width="14.625" style="35" customWidth="1"/>
    <col min="5" max="5" width="33.25" style="35" bestFit="1" customWidth="1"/>
    <col min="6" max="7" width="14.625" style="35" customWidth="1"/>
    <col min="8" max="9" width="10.875" style="35" customWidth="1"/>
    <col min="10" max="11" width="10.875" style="35" bestFit="1" customWidth="1"/>
  </cols>
  <sheetData>
    <row r="1" spans="1:9">
      <c r="A1" t="s">
        <v>122</v>
      </c>
      <c r="B1" t="s">
        <v>123</v>
      </c>
      <c r="C1" s="39" t="s">
        <v>124</v>
      </c>
      <c r="D1" s="40" t="s">
        <v>125</v>
      </c>
      <c r="E1" s="40" t="s">
        <v>1381</v>
      </c>
      <c r="F1" s="35" t="s">
        <v>126</v>
      </c>
      <c r="G1" s="37">
        <v>1000</v>
      </c>
      <c r="H1" s="35" t="s">
        <v>2081</v>
      </c>
      <c r="I1" s="35">
        <v>-5000</v>
      </c>
    </row>
    <row r="2" spans="1:9" hidden="1">
      <c r="A2" t="s">
        <v>119</v>
      </c>
      <c r="B2" t="s">
        <v>1393</v>
      </c>
      <c r="C2" s="41" t="s">
        <v>100</v>
      </c>
      <c r="D2" t="s">
        <v>120</v>
      </c>
      <c r="E2" t="str">
        <f>A2&amp;B2&amp;C2&amp;D2</f>
        <v>승합만26세이상1억개인</v>
      </c>
      <c r="F2" s="35">
        <v>774000</v>
      </c>
      <c r="G2" s="35">
        <f>F2+$G$1</f>
        <v>775000</v>
      </c>
      <c r="H2" s="35" t="s">
        <v>2082</v>
      </c>
    </row>
    <row r="3" spans="1:9" hidden="1">
      <c r="A3" t="s">
        <v>119</v>
      </c>
      <c r="B3" t="s">
        <v>1393</v>
      </c>
      <c r="C3" s="41" t="s">
        <v>100</v>
      </c>
      <c r="D3" t="s">
        <v>121</v>
      </c>
      <c r="E3" t="str">
        <f t="shared" ref="E3:E49" si="0">A3&amp;B3&amp;C3&amp;D3</f>
        <v>승합만26세이상1억개인사업자</v>
      </c>
      <c r="F3" s="35">
        <v>774000</v>
      </c>
      <c r="G3" s="35">
        <f t="shared" ref="G3:G48" si="1">F3+$G$1</f>
        <v>775000</v>
      </c>
      <c r="H3" s="35" t="s">
        <v>2082</v>
      </c>
    </row>
    <row r="4" spans="1:9" hidden="1">
      <c r="A4" t="s">
        <v>119</v>
      </c>
      <c r="B4" t="s">
        <v>1393</v>
      </c>
      <c r="C4" s="41" t="s">
        <v>100</v>
      </c>
      <c r="D4" s="40" t="s">
        <v>1394</v>
      </c>
      <c r="E4" t="str">
        <f t="shared" si="0"/>
        <v>승합만26세이상1억법인사업자</v>
      </c>
      <c r="F4" s="35">
        <v>721000</v>
      </c>
      <c r="G4" s="35">
        <f t="shared" si="1"/>
        <v>722000</v>
      </c>
      <c r="H4" s="35" t="s">
        <v>2082</v>
      </c>
    </row>
    <row r="5" spans="1:9">
      <c r="A5" t="s">
        <v>119</v>
      </c>
      <c r="B5" t="s">
        <v>1393</v>
      </c>
      <c r="C5" s="41" t="s">
        <v>100</v>
      </c>
      <c r="D5" s="40" t="s">
        <v>1397</v>
      </c>
      <c r="E5" t="str">
        <f t="shared" si="0"/>
        <v>승합만26세이상1억법인사업자특약</v>
      </c>
      <c r="F5" s="35">
        <v>714000</v>
      </c>
      <c r="G5" s="35">
        <f>F5+$I$1</f>
        <v>709000</v>
      </c>
      <c r="H5" s="35" t="s">
        <v>2082</v>
      </c>
    </row>
    <row r="6" spans="1:9" hidden="1">
      <c r="A6" t="s">
        <v>119</v>
      </c>
      <c r="B6" t="s">
        <v>1393</v>
      </c>
      <c r="C6" s="39" t="s">
        <v>1389</v>
      </c>
      <c r="D6" t="s">
        <v>120</v>
      </c>
      <c r="E6" t="str">
        <f t="shared" si="0"/>
        <v>승합만26세이상2억개인</v>
      </c>
      <c r="F6" s="35">
        <v>787000</v>
      </c>
      <c r="G6" s="35">
        <f t="shared" si="1"/>
        <v>788000</v>
      </c>
      <c r="H6" s="35" t="s">
        <v>2082</v>
      </c>
    </row>
    <row r="7" spans="1:9" hidden="1">
      <c r="A7" t="s">
        <v>119</v>
      </c>
      <c r="B7" t="s">
        <v>1393</v>
      </c>
      <c r="C7" s="39" t="s">
        <v>1389</v>
      </c>
      <c r="D7" t="s">
        <v>121</v>
      </c>
      <c r="E7" t="str">
        <f t="shared" si="0"/>
        <v>승합만26세이상2억개인사업자</v>
      </c>
      <c r="F7" s="35">
        <v>787000</v>
      </c>
      <c r="G7" s="35">
        <f t="shared" si="1"/>
        <v>788000</v>
      </c>
      <c r="H7" s="35" t="s">
        <v>2082</v>
      </c>
    </row>
    <row r="8" spans="1:9" hidden="1">
      <c r="A8" t="s">
        <v>119</v>
      </c>
      <c r="B8" t="s">
        <v>1393</v>
      </c>
      <c r="C8" s="39" t="s">
        <v>1389</v>
      </c>
      <c r="D8" s="40" t="s">
        <v>1394</v>
      </c>
      <c r="E8" t="str">
        <f t="shared" si="0"/>
        <v>승합만26세이상2억법인사업자</v>
      </c>
      <c r="F8" s="35">
        <v>732000</v>
      </c>
      <c r="G8" s="35">
        <f t="shared" si="1"/>
        <v>733000</v>
      </c>
      <c r="H8" s="35" t="s">
        <v>2082</v>
      </c>
    </row>
    <row r="9" spans="1:9">
      <c r="A9" t="s">
        <v>119</v>
      </c>
      <c r="B9" t="s">
        <v>1393</v>
      </c>
      <c r="C9" s="39" t="s">
        <v>1389</v>
      </c>
      <c r="D9" s="40" t="s">
        <v>1397</v>
      </c>
      <c r="E9" t="str">
        <f t="shared" si="0"/>
        <v>승합만26세이상2억법인사업자특약</v>
      </c>
      <c r="F9" s="35">
        <v>726000</v>
      </c>
      <c r="G9" s="35">
        <f>F9+$I$1</f>
        <v>721000</v>
      </c>
      <c r="H9" s="35" t="s">
        <v>2082</v>
      </c>
    </row>
    <row r="10" spans="1:9" hidden="1">
      <c r="A10" t="s">
        <v>119</v>
      </c>
      <c r="B10" t="s">
        <v>1392</v>
      </c>
      <c r="C10" s="41" t="s">
        <v>100</v>
      </c>
      <c r="D10" t="s">
        <v>120</v>
      </c>
      <c r="E10" t="str">
        <f t="shared" si="0"/>
        <v>승합만21세이상1억개인</v>
      </c>
      <c r="F10" s="35">
        <v>1606000</v>
      </c>
      <c r="G10" s="35">
        <f t="shared" si="1"/>
        <v>1607000</v>
      </c>
      <c r="H10" s="35" t="s">
        <v>2082</v>
      </c>
    </row>
    <row r="11" spans="1:9" hidden="1">
      <c r="A11" t="s">
        <v>119</v>
      </c>
      <c r="B11" t="s">
        <v>1392</v>
      </c>
      <c r="C11" s="41" t="s">
        <v>100</v>
      </c>
      <c r="D11" t="s">
        <v>121</v>
      </c>
      <c r="E11" t="str">
        <f t="shared" si="0"/>
        <v>승합만21세이상1억개인사업자</v>
      </c>
      <c r="F11" s="35">
        <v>1606000</v>
      </c>
      <c r="G11" s="35">
        <f t="shared" si="1"/>
        <v>1607000</v>
      </c>
      <c r="H11" s="35" t="s">
        <v>2082</v>
      </c>
    </row>
    <row r="12" spans="1:9" hidden="1">
      <c r="A12" t="s">
        <v>119</v>
      </c>
      <c r="B12" t="s">
        <v>1392</v>
      </c>
      <c r="C12" s="41" t="s">
        <v>100</v>
      </c>
      <c r="D12" s="40" t="s">
        <v>1394</v>
      </c>
      <c r="E12" t="str">
        <f t="shared" si="0"/>
        <v>승합만21세이상1억법인사업자</v>
      </c>
      <c r="F12" s="35">
        <v>1208000</v>
      </c>
      <c r="G12" s="35">
        <f t="shared" si="1"/>
        <v>1209000</v>
      </c>
      <c r="H12" s="35" t="s">
        <v>2082</v>
      </c>
    </row>
    <row r="13" spans="1:9">
      <c r="A13" t="s">
        <v>119</v>
      </c>
      <c r="B13" t="s">
        <v>1392</v>
      </c>
      <c r="C13" s="41" t="s">
        <v>100</v>
      </c>
      <c r="D13" s="40" t="s">
        <v>1397</v>
      </c>
      <c r="E13" t="str">
        <f t="shared" si="0"/>
        <v>승합만21세이상1억법인사업자특약</v>
      </c>
      <c r="F13" s="35">
        <v>1199000</v>
      </c>
      <c r="G13" s="35">
        <f>F13+$I$1</f>
        <v>1194000</v>
      </c>
      <c r="H13" s="35" t="s">
        <v>2082</v>
      </c>
    </row>
    <row r="14" spans="1:9" hidden="1">
      <c r="A14" t="s">
        <v>119</v>
      </c>
      <c r="B14" t="s">
        <v>1392</v>
      </c>
      <c r="C14" s="39" t="s">
        <v>1389</v>
      </c>
      <c r="D14" t="s">
        <v>120</v>
      </c>
      <c r="E14" t="str">
        <f t="shared" si="0"/>
        <v>승합만21세이상2억개인</v>
      </c>
      <c r="F14" s="35">
        <v>1638000</v>
      </c>
      <c r="G14" s="35">
        <f t="shared" si="1"/>
        <v>1639000</v>
      </c>
      <c r="H14" s="35" t="s">
        <v>2082</v>
      </c>
    </row>
    <row r="15" spans="1:9" hidden="1">
      <c r="A15" t="s">
        <v>119</v>
      </c>
      <c r="B15" t="s">
        <v>1392</v>
      </c>
      <c r="C15" s="39" t="s">
        <v>1389</v>
      </c>
      <c r="D15" t="s">
        <v>121</v>
      </c>
      <c r="E15" t="str">
        <f t="shared" si="0"/>
        <v>승합만21세이상2억개인사업자</v>
      </c>
      <c r="F15" s="35">
        <v>1638000</v>
      </c>
      <c r="G15" s="35">
        <f t="shared" si="1"/>
        <v>1639000</v>
      </c>
      <c r="H15" s="35" t="s">
        <v>2082</v>
      </c>
    </row>
    <row r="16" spans="1:9" hidden="1">
      <c r="A16" t="s">
        <v>119</v>
      </c>
      <c r="B16" t="s">
        <v>1392</v>
      </c>
      <c r="C16" s="39" t="s">
        <v>1389</v>
      </c>
      <c r="D16" s="40" t="s">
        <v>1394</v>
      </c>
      <c r="E16" t="str">
        <f t="shared" si="0"/>
        <v>승합만21세이상2억법인사업자</v>
      </c>
      <c r="F16" s="35">
        <v>1232000</v>
      </c>
      <c r="G16" s="35">
        <f t="shared" si="1"/>
        <v>1233000</v>
      </c>
      <c r="H16" s="35" t="s">
        <v>2082</v>
      </c>
    </row>
    <row r="17" spans="1:8">
      <c r="A17" t="s">
        <v>119</v>
      </c>
      <c r="B17" t="s">
        <v>1392</v>
      </c>
      <c r="C17" s="39" t="s">
        <v>1389</v>
      </c>
      <c r="D17" s="40" t="s">
        <v>1397</v>
      </c>
      <c r="E17" t="str">
        <f t="shared" si="0"/>
        <v>승합만21세이상2억법인사업자특약</v>
      </c>
      <c r="F17" s="35">
        <v>1222000</v>
      </c>
      <c r="G17" s="35">
        <f>F17+$I$1</f>
        <v>1217000</v>
      </c>
      <c r="H17" s="35" t="s">
        <v>2082</v>
      </c>
    </row>
    <row r="18" spans="1:8" hidden="1">
      <c r="A18" t="s">
        <v>117</v>
      </c>
      <c r="B18" t="s">
        <v>1393</v>
      </c>
      <c r="C18" s="41" t="s">
        <v>100</v>
      </c>
      <c r="D18" t="s">
        <v>120</v>
      </c>
      <c r="E18" t="str">
        <f t="shared" si="0"/>
        <v>승용만26세이상1억개인</v>
      </c>
      <c r="F18" s="35">
        <v>737000</v>
      </c>
      <c r="G18" s="35">
        <f t="shared" si="1"/>
        <v>738000</v>
      </c>
      <c r="H18" s="35" t="s">
        <v>2082</v>
      </c>
    </row>
    <row r="19" spans="1:8" hidden="1">
      <c r="A19" t="s">
        <v>117</v>
      </c>
      <c r="B19" t="s">
        <v>1393</v>
      </c>
      <c r="C19" s="41" t="s">
        <v>100</v>
      </c>
      <c r="D19" t="s">
        <v>121</v>
      </c>
      <c r="E19" t="str">
        <f t="shared" si="0"/>
        <v>승용만26세이상1억개인사업자</v>
      </c>
      <c r="F19" s="35">
        <v>737000</v>
      </c>
      <c r="G19" s="35">
        <f t="shared" si="1"/>
        <v>738000</v>
      </c>
      <c r="H19" s="35" t="s">
        <v>2082</v>
      </c>
    </row>
    <row r="20" spans="1:8" hidden="1">
      <c r="A20" t="s">
        <v>117</v>
      </c>
      <c r="B20" t="s">
        <v>1393</v>
      </c>
      <c r="C20" s="41" t="s">
        <v>100</v>
      </c>
      <c r="D20" s="40" t="s">
        <v>1394</v>
      </c>
      <c r="E20" t="str">
        <f t="shared" si="0"/>
        <v>승용만26세이상1억법인사업자</v>
      </c>
      <c r="F20" s="35">
        <v>686000</v>
      </c>
      <c r="G20" s="35">
        <f t="shared" si="1"/>
        <v>687000</v>
      </c>
      <c r="H20" s="35" t="s">
        <v>2082</v>
      </c>
    </row>
    <row r="21" spans="1:8">
      <c r="A21" t="s">
        <v>117</v>
      </c>
      <c r="B21" t="s">
        <v>1393</v>
      </c>
      <c r="C21" s="41" t="s">
        <v>100</v>
      </c>
      <c r="D21" s="40" t="s">
        <v>1397</v>
      </c>
      <c r="E21" t="str">
        <f t="shared" si="0"/>
        <v>승용만26세이상1억법인사업자특약</v>
      </c>
      <c r="F21" s="35">
        <v>680000</v>
      </c>
      <c r="G21" s="35">
        <f>F21+$I$1</f>
        <v>675000</v>
      </c>
      <c r="H21" s="35" t="s">
        <v>2082</v>
      </c>
    </row>
    <row r="22" spans="1:8" hidden="1">
      <c r="A22" t="s">
        <v>117</v>
      </c>
      <c r="B22" t="s">
        <v>1393</v>
      </c>
      <c r="C22" s="39" t="s">
        <v>1389</v>
      </c>
      <c r="D22" t="s">
        <v>120</v>
      </c>
      <c r="E22" t="str">
        <f t="shared" si="0"/>
        <v>승용만26세이상2억개인</v>
      </c>
      <c r="F22" s="35">
        <v>750000</v>
      </c>
      <c r="G22" s="35">
        <f t="shared" si="1"/>
        <v>751000</v>
      </c>
      <c r="H22" s="35" t="s">
        <v>2082</v>
      </c>
    </row>
    <row r="23" spans="1:8" hidden="1">
      <c r="A23" t="s">
        <v>117</v>
      </c>
      <c r="B23" t="s">
        <v>1393</v>
      </c>
      <c r="C23" s="39" t="s">
        <v>1389</v>
      </c>
      <c r="D23" t="s">
        <v>121</v>
      </c>
      <c r="E23" t="str">
        <f t="shared" si="0"/>
        <v>승용만26세이상2억개인사업자</v>
      </c>
      <c r="F23" s="35">
        <v>750000</v>
      </c>
      <c r="G23" s="35">
        <f t="shared" si="1"/>
        <v>751000</v>
      </c>
      <c r="H23" s="35" t="s">
        <v>2082</v>
      </c>
    </row>
    <row r="24" spans="1:8" hidden="1">
      <c r="A24" t="s">
        <v>117</v>
      </c>
      <c r="B24" t="s">
        <v>1393</v>
      </c>
      <c r="C24" s="39" t="s">
        <v>1389</v>
      </c>
      <c r="D24" s="40" t="s">
        <v>1394</v>
      </c>
      <c r="E24" t="str">
        <f t="shared" si="0"/>
        <v>승용만26세이상2억법인사업자</v>
      </c>
      <c r="F24" s="35">
        <v>698000</v>
      </c>
      <c r="G24" s="35">
        <f t="shared" si="1"/>
        <v>699000</v>
      </c>
      <c r="H24" s="35" t="s">
        <v>2082</v>
      </c>
    </row>
    <row r="25" spans="1:8">
      <c r="A25" t="s">
        <v>117</v>
      </c>
      <c r="B25" t="s">
        <v>1393</v>
      </c>
      <c r="C25" s="39" t="s">
        <v>1389</v>
      </c>
      <c r="D25" s="40" t="s">
        <v>1397</v>
      </c>
      <c r="E25" t="str">
        <f t="shared" si="0"/>
        <v>승용만26세이상2억법인사업자특약</v>
      </c>
      <c r="F25" s="35">
        <v>691000</v>
      </c>
      <c r="G25" s="35">
        <f>F25+$I$1</f>
        <v>686000</v>
      </c>
      <c r="H25" s="35" t="s">
        <v>2082</v>
      </c>
    </row>
    <row r="26" spans="1:8" hidden="1">
      <c r="A26" t="s">
        <v>117</v>
      </c>
      <c r="B26" t="s">
        <v>1392</v>
      </c>
      <c r="C26" s="41" t="s">
        <v>100</v>
      </c>
      <c r="D26" t="s">
        <v>120</v>
      </c>
      <c r="E26" t="str">
        <f t="shared" si="0"/>
        <v>승용만21세이상1억개인</v>
      </c>
      <c r="F26" s="35">
        <v>1558000</v>
      </c>
      <c r="G26" s="35">
        <f t="shared" si="1"/>
        <v>1559000</v>
      </c>
      <c r="H26" s="35" t="s">
        <v>2082</v>
      </c>
    </row>
    <row r="27" spans="1:8" hidden="1">
      <c r="A27" t="s">
        <v>117</v>
      </c>
      <c r="B27" t="s">
        <v>1392</v>
      </c>
      <c r="C27" s="41" t="s">
        <v>100</v>
      </c>
      <c r="D27" t="s">
        <v>121</v>
      </c>
      <c r="E27" t="str">
        <f t="shared" si="0"/>
        <v>승용만21세이상1억개인사업자</v>
      </c>
      <c r="F27" s="35">
        <v>1558000</v>
      </c>
      <c r="G27" s="35">
        <f t="shared" si="1"/>
        <v>1559000</v>
      </c>
      <c r="H27" s="35" t="s">
        <v>2082</v>
      </c>
    </row>
    <row r="28" spans="1:8" hidden="1">
      <c r="A28" t="s">
        <v>117</v>
      </c>
      <c r="B28" t="s">
        <v>1392</v>
      </c>
      <c r="C28" s="41" t="s">
        <v>100</v>
      </c>
      <c r="D28" s="40" t="s">
        <v>1394</v>
      </c>
      <c r="E28" t="str">
        <f t="shared" si="0"/>
        <v>승용만21세이상1억법인사업자</v>
      </c>
      <c r="F28" s="35">
        <v>1172000</v>
      </c>
      <c r="G28" s="35">
        <f t="shared" si="1"/>
        <v>1173000</v>
      </c>
      <c r="H28" s="35" t="s">
        <v>2082</v>
      </c>
    </row>
    <row r="29" spans="1:8">
      <c r="A29" t="s">
        <v>117</v>
      </c>
      <c r="B29" t="s">
        <v>1392</v>
      </c>
      <c r="C29" s="41" t="s">
        <v>100</v>
      </c>
      <c r="D29" s="40" t="s">
        <v>1397</v>
      </c>
      <c r="E29" t="str">
        <f t="shared" si="0"/>
        <v>승용만21세이상1억법인사업자특약</v>
      </c>
      <c r="F29" s="35">
        <v>1162000</v>
      </c>
      <c r="G29" s="35">
        <f>F29+$I$1</f>
        <v>1157000</v>
      </c>
      <c r="H29" s="35" t="s">
        <v>2082</v>
      </c>
    </row>
    <row r="30" spans="1:8" hidden="1">
      <c r="A30" t="s">
        <v>117</v>
      </c>
      <c r="B30" t="s">
        <v>1392</v>
      </c>
      <c r="C30" s="39" t="s">
        <v>1389</v>
      </c>
      <c r="D30" t="s">
        <v>120</v>
      </c>
      <c r="E30" t="str">
        <f t="shared" si="0"/>
        <v>승용만21세이상2억개인</v>
      </c>
      <c r="F30" s="35">
        <v>1591000</v>
      </c>
      <c r="G30" s="35">
        <f t="shared" si="1"/>
        <v>1592000</v>
      </c>
      <c r="H30" s="35" t="s">
        <v>2082</v>
      </c>
    </row>
    <row r="31" spans="1:8" hidden="1">
      <c r="A31" t="s">
        <v>117</v>
      </c>
      <c r="B31" t="s">
        <v>1392</v>
      </c>
      <c r="C31" s="39" t="s">
        <v>1389</v>
      </c>
      <c r="D31" t="s">
        <v>121</v>
      </c>
      <c r="E31" t="str">
        <f t="shared" si="0"/>
        <v>승용만21세이상2억개인사업자</v>
      </c>
      <c r="F31" s="35">
        <v>1591000</v>
      </c>
      <c r="G31" s="35">
        <f t="shared" si="1"/>
        <v>1592000</v>
      </c>
      <c r="H31" s="35" t="s">
        <v>2082</v>
      </c>
    </row>
    <row r="32" spans="1:8" hidden="1">
      <c r="A32" t="s">
        <v>117</v>
      </c>
      <c r="B32" t="s">
        <v>1392</v>
      </c>
      <c r="C32" s="39" t="s">
        <v>1389</v>
      </c>
      <c r="D32" s="40" t="s">
        <v>1394</v>
      </c>
      <c r="E32" t="str">
        <f t="shared" si="0"/>
        <v>승용만21세이상2억법인사업자</v>
      </c>
      <c r="F32" s="35">
        <v>1197000</v>
      </c>
      <c r="G32" s="35">
        <f t="shared" si="1"/>
        <v>1198000</v>
      </c>
      <c r="H32" s="35" t="s">
        <v>2082</v>
      </c>
    </row>
    <row r="33" spans="1:8">
      <c r="A33" t="s">
        <v>117</v>
      </c>
      <c r="B33" t="s">
        <v>1392</v>
      </c>
      <c r="C33" s="39" t="s">
        <v>1389</v>
      </c>
      <c r="D33" s="40" t="s">
        <v>1397</v>
      </c>
      <c r="E33" t="str">
        <f t="shared" si="0"/>
        <v>승용만21세이상2억법인사업자특약</v>
      </c>
      <c r="F33" s="35">
        <v>1187000</v>
      </c>
      <c r="G33" s="35">
        <f>F33+$I$1</f>
        <v>1182000</v>
      </c>
      <c r="H33" s="35" t="s">
        <v>2082</v>
      </c>
    </row>
    <row r="34" spans="1:8" hidden="1">
      <c r="A34" t="s">
        <v>118</v>
      </c>
      <c r="B34" t="s">
        <v>1393</v>
      </c>
      <c r="C34" s="41" t="s">
        <v>100</v>
      </c>
      <c r="D34" t="s">
        <v>120</v>
      </c>
      <c r="E34" t="str">
        <f t="shared" si="0"/>
        <v>다인승만26세이상1억개인</v>
      </c>
      <c r="F34" s="35">
        <v>711000</v>
      </c>
      <c r="G34" s="35">
        <f t="shared" si="1"/>
        <v>712000</v>
      </c>
      <c r="H34" s="35" t="s">
        <v>2082</v>
      </c>
    </row>
    <row r="35" spans="1:8" hidden="1">
      <c r="A35" t="s">
        <v>118</v>
      </c>
      <c r="B35" t="s">
        <v>1393</v>
      </c>
      <c r="C35" s="41" t="s">
        <v>100</v>
      </c>
      <c r="D35" t="s">
        <v>121</v>
      </c>
      <c r="E35" t="str">
        <f t="shared" si="0"/>
        <v>다인승만26세이상1억개인사업자</v>
      </c>
      <c r="F35" s="35">
        <v>711000</v>
      </c>
      <c r="G35" s="35">
        <f t="shared" si="1"/>
        <v>712000</v>
      </c>
      <c r="H35" s="35" t="s">
        <v>2082</v>
      </c>
    </row>
    <row r="36" spans="1:8" hidden="1">
      <c r="A36" t="s">
        <v>118</v>
      </c>
      <c r="B36" t="s">
        <v>1393</v>
      </c>
      <c r="C36" s="41" t="s">
        <v>100</v>
      </c>
      <c r="D36" s="40" t="s">
        <v>1394</v>
      </c>
      <c r="E36" t="str">
        <f t="shared" si="0"/>
        <v>다인승만26세이상1억법인사업자</v>
      </c>
      <c r="F36" s="35">
        <v>663000</v>
      </c>
      <c r="G36" s="35">
        <f t="shared" si="1"/>
        <v>664000</v>
      </c>
      <c r="H36" s="35" t="s">
        <v>2082</v>
      </c>
    </row>
    <row r="37" spans="1:8">
      <c r="A37" t="s">
        <v>118</v>
      </c>
      <c r="B37" t="s">
        <v>1393</v>
      </c>
      <c r="C37" s="41" t="s">
        <v>100</v>
      </c>
      <c r="D37" s="40" t="s">
        <v>1397</v>
      </c>
      <c r="E37" t="str">
        <f t="shared" si="0"/>
        <v>다인승만26세이상1억법인사업자특약</v>
      </c>
      <c r="F37" s="35">
        <v>657000</v>
      </c>
      <c r="G37" s="35">
        <f>F37+$I$1</f>
        <v>652000</v>
      </c>
      <c r="H37" s="35" t="s">
        <v>2082</v>
      </c>
    </row>
    <row r="38" spans="1:8" hidden="1">
      <c r="A38" t="s">
        <v>118</v>
      </c>
      <c r="B38" t="s">
        <v>1393</v>
      </c>
      <c r="C38" s="39" t="s">
        <v>1389</v>
      </c>
      <c r="D38" t="s">
        <v>120</v>
      </c>
      <c r="E38" t="str">
        <f t="shared" si="0"/>
        <v>다인승만26세이상2억개인</v>
      </c>
      <c r="F38" s="35">
        <v>725000</v>
      </c>
      <c r="G38" s="35">
        <f t="shared" si="1"/>
        <v>726000</v>
      </c>
      <c r="H38" s="35" t="s">
        <v>2082</v>
      </c>
    </row>
    <row r="39" spans="1:8" hidden="1">
      <c r="A39" t="s">
        <v>118</v>
      </c>
      <c r="B39" t="s">
        <v>1393</v>
      </c>
      <c r="C39" s="39" t="s">
        <v>1389</v>
      </c>
      <c r="D39" t="s">
        <v>121</v>
      </c>
      <c r="E39" t="str">
        <f t="shared" si="0"/>
        <v>다인승만26세이상2억개인사업자</v>
      </c>
      <c r="F39" s="35">
        <v>725000</v>
      </c>
      <c r="G39" s="35">
        <f t="shared" si="1"/>
        <v>726000</v>
      </c>
      <c r="H39" s="35" t="s">
        <v>2082</v>
      </c>
    </row>
    <row r="40" spans="1:8" hidden="1">
      <c r="A40" t="s">
        <v>118</v>
      </c>
      <c r="B40" t="s">
        <v>1393</v>
      </c>
      <c r="C40" s="39" t="s">
        <v>1389</v>
      </c>
      <c r="D40" s="40" t="s">
        <v>1394</v>
      </c>
      <c r="E40" t="str">
        <f t="shared" si="0"/>
        <v>다인승만26세이상2억법인사업자</v>
      </c>
      <c r="F40" s="35">
        <v>675000</v>
      </c>
      <c r="G40" s="35">
        <f t="shared" si="1"/>
        <v>676000</v>
      </c>
      <c r="H40" s="35" t="s">
        <v>2082</v>
      </c>
    </row>
    <row r="41" spans="1:8">
      <c r="A41" t="s">
        <v>118</v>
      </c>
      <c r="B41" t="s">
        <v>1393</v>
      </c>
      <c r="C41" s="39" t="s">
        <v>1389</v>
      </c>
      <c r="D41" s="40" t="s">
        <v>1397</v>
      </c>
      <c r="E41" t="str">
        <f t="shared" si="0"/>
        <v>다인승만26세이상2억법인사업자특약</v>
      </c>
      <c r="F41" s="35">
        <v>669000</v>
      </c>
      <c r="G41" s="35">
        <f>F41+$I$1</f>
        <v>664000</v>
      </c>
      <c r="H41" s="35" t="s">
        <v>2082</v>
      </c>
    </row>
    <row r="42" spans="1:8" hidden="1">
      <c r="A42" t="s">
        <v>118</v>
      </c>
      <c r="B42" t="s">
        <v>1392</v>
      </c>
      <c r="C42" s="41" t="s">
        <v>100</v>
      </c>
      <c r="D42" t="s">
        <v>120</v>
      </c>
      <c r="E42" t="str">
        <f t="shared" si="0"/>
        <v>다인승만21세이상1억개인</v>
      </c>
      <c r="F42" s="35">
        <v>1396000</v>
      </c>
      <c r="G42" s="35">
        <f t="shared" si="1"/>
        <v>1397000</v>
      </c>
      <c r="H42" s="35" t="s">
        <v>2082</v>
      </c>
    </row>
    <row r="43" spans="1:8" hidden="1">
      <c r="A43" t="s">
        <v>118</v>
      </c>
      <c r="B43" t="s">
        <v>1392</v>
      </c>
      <c r="C43" s="41" t="s">
        <v>100</v>
      </c>
      <c r="D43" t="s">
        <v>121</v>
      </c>
      <c r="E43" t="str">
        <f t="shared" si="0"/>
        <v>다인승만21세이상1억개인사업자</v>
      </c>
      <c r="F43" s="35">
        <v>1396000</v>
      </c>
      <c r="G43" s="35">
        <f t="shared" si="1"/>
        <v>1397000</v>
      </c>
      <c r="H43" s="35" t="s">
        <v>2082</v>
      </c>
    </row>
    <row r="44" spans="1:8" hidden="1">
      <c r="A44" t="s">
        <v>118</v>
      </c>
      <c r="B44" t="s">
        <v>1392</v>
      </c>
      <c r="C44" s="41" t="s">
        <v>100</v>
      </c>
      <c r="D44" s="40" t="s">
        <v>1394</v>
      </c>
      <c r="E44" t="str">
        <f t="shared" si="0"/>
        <v>다인승만21세이상1억법인사업자</v>
      </c>
      <c r="F44" s="35">
        <v>1050000</v>
      </c>
      <c r="G44" s="35">
        <f t="shared" si="1"/>
        <v>1051000</v>
      </c>
      <c r="H44" s="35" t="s">
        <v>2082</v>
      </c>
    </row>
    <row r="45" spans="1:8">
      <c r="A45" t="s">
        <v>118</v>
      </c>
      <c r="B45" t="s">
        <v>1392</v>
      </c>
      <c r="C45" s="41" t="s">
        <v>100</v>
      </c>
      <c r="D45" s="40" t="s">
        <v>1397</v>
      </c>
      <c r="E45" t="str">
        <f t="shared" si="0"/>
        <v>다인승만21세이상1억법인사업자특약</v>
      </c>
      <c r="F45" s="35">
        <v>1042000</v>
      </c>
      <c r="G45" s="35">
        <f>F45+$I$1</f>
        <v>1037000</v>
      </c>
      <c r="H45" s="35" t="s">
        <v>2082</v>
      </c>
    </row>
    <row r="46" spans="1:8" hidden="1">
      <c r="A46" t="s">
        <v>118</v>
      </c>
      <c r="B46" t="s">
        <v>1392</v>
      </c>
      <c r="C46" s="39" t="s">
        <v>1389</v>
      </c>
      <c r="D46" t="s">
        <v>120</v>
      </c>
      <c r="E46" t="str">
        <f t="shared" si="0"/>
        <v>다인승만21세이상2억개인</v>
      </c>
      <c r="F46" s="35">
        <v>1429000</v>
      </c>
      <c r="G46" s="35">
        <f t="shared" si="1"/>
        <v>1430000</v>
      </c>
      <c r="H46" s="35" t="s">
        <v>2082</v>
      </c>
    </row>
    <row r="47" spans="1:8" hidden="1">
      <c r="A47" t="s">
        <v>118</v>
      </c>
      <c r="B47" t="s">
        <v>1392</v>
      </c>
      <c r="C47" s="39" t="s">
        <v>1389</v>
      </c>
      <c r="D47" t="s">
        <v>121</v>
      </c>
      <c r="E47" t="str">
        <f t="shared" si="0"/>
        <v>다인승만21세이상2억개인사업자</v>
      </c>
      <c r="F47" s="35">
        <v>1429000</v>
      </c>
      <c r="G47" s="35">
        <f t="shared" si="1"/>
        <v>1430000</v>
      </c>
      <c r="H47" s="35" t="s">
        <v>2082</v>
      </c>
    </row>
    <row r="48" spans="1:8" hidden="1">
      <c r="A48" t="s">
        <v>118</v>
      </c>
      <c r="B48" t="s">
        <v>1392</v>
      </c>
      <c r="C48" s="39" t="s">
        <v>1389</v>
      </c>
      <c r="D48" s="40" t="s">
        <v>1394</v>
      </c>
      <c r="E48" t="str">
        <f t="shared" si="0"/>
        <v>다인승만21세이상2억법인사업자</v>
      </c>
      <c r="F48" s="35">
        <v>1075000</v>
      </c>
      <c r="G48" s="35">
        <f t="shared" si="1"/>
        <v>1076000</v>
      </c>
      <c r="H48" s="35" t="s">
        <v>2082</v>
      </c>
    </row>
    <row r="49" spans="1:8">
      <c r="A49" t="s">
        <v>118</v>
      </c>
      <c r="B49" t="s">
        <v>1392</v>
      </c>
      <c r="C49" s="39" t="s">
        <v>1389</v>
      </c>
      <c r="D49" s="40" t="s">
        <v>1397</v>
      </c>
      <c r="E49" t="str">
        <f t="shared" si="0"/>
        <v>다인승만21세이상2억법인사업자특약</v>
      </c>
      <c r="F49" s="35">
        <v>1066000</v>
      </c>
      <c r="G49" s="35">
        <f t="shared" ref="G49:G61" si="2">F49+$I$1</f>
        <v>1061000</v>
      </c>
      <c r="H49" s="35" t="s">
        <v>2082</v>
      </c>
    </row>
    <row r="50" spans="1:8">
      <c r="A50" t="s">
        <v>59</v>
      </c>
      <c r="B50" t="s">
        <v>1391</v>
      </c>
      <c r="C50" s="41" t="s">
        <v>100</v>
      </c>
      <c r="D50" t="s">
        <v>2140</v>
      </c>
      <c r="E50" t="s">
        <v>2144</v>
      </c>
      <c r="F50" s="35">
        <v>774000</v>
      </c>
      <c r="G50" s="35">
        <f t="shared" si="2"/>
        <v>769000</v>
      </c>
      <c r="H50" s="35" t="s">
        <v>2082</v>
      </c>
    </row>
    <row r="51" spans="1:8">
      <c r="A51" t="s">
        <v>59</v>
      </c>
      <c r="B51" t="s">
        <v>1391</v>
      </c>
      <c r="C51" s="39" t="s">
        <v>1389</v>
      </c>
      <c r="D51" t="s">
        <v>2140</v>
      </c>
      <c r="E51" t="s">
        <v>2145</v>
      </c>
      <c r="F51" s="35">
        <v>787000</v>
      </c>
      <c r="G51" s="35">
        <f t="shared" si="2"/>
        <v>782000</v>
      </c>
      <c r="H51" s="35" t="s">
        <v>2082</v>
      </c>
    </row>
    <row r="52" spans="1:8">
      <c r="A52" t="s">
        <v>59</v>
      </c>
      <c r="B52" t="s">
        <v>1390</v>
      </c>
      <c r="C52" s="41" t="s">
        <v>100</v>
      </c>
      <c r="D52" t="s">
        <v>2140</v>
      </c>
      <c r="E52" t="s">
        <v>2146</v>
      </c>
      <c r="F52" s="35">
        <v>1606000</v>
      </c>
      <c r="G52" s="35">
        <f t="shared" si="2"/>
        <v>1601000</v>
      </c>
      <c r="H52" s="35" t="s">
        <v>2082</v>
      </c>
    </row>
    <row r="53" spans="1:8">
      <c r="A53" t="s">
        <v>59</v>
      </c>
      <c r="B53" t="s">
        <v>1390</v>
      </c>
      <c r="C53" s="39" t="s">
        <v>1389</v>
      </c>
      <c r="D53" t="s">
        <v>2140</v>
      </c>
      <c r="E53" t="s">
        <v>2147</v>
      </c>
      <c r="F53" s="35">
        <v>1638000</v>
      </c>
      <c r="G53" s="35">
        <f t="shared" si="2"/>
        <v>1633000</v>
      </c>
      <c r="H53" s="35" t="s">
        <v>2082</v>
      </c>
    </row>
    <row r="54" spans="1:8">
      <c r="A54" t="s">
        <v>117</v>
      </c>
      <c r="B54" t="s">
        <v>1391</v>
      </c>
      <c r="C54" s="41" t="s">
        <v>100</v>
      </c>
      <c r="D54" t="s">
        <v>2140</v>
      </c>
      <c r="E54" t="s">
        <v>2148</v>
      </c>
      <c r="F54" s="35">
        <v>737000</v>
      </c>
      <c r="G54" s="35">
        <f t="shared" si="2"/>
        <v>732000</v>
      </c>
      <c r="H54" s="35" t="s">
        <v>2082</v>
      </c>
    </row>
    <row r="55" spans="1:8">
      <c r="A55" t="s">
        <v>117</v>
      </c>
      <c r="B55" t="s">
        <v>1391</v>
      </c>
      <c r="C55" s="39" t="s">
        <v>1389</v>
      </c>
      <c r="D55" t="s">
        <v>2140</v>
      </c>
      <c r="E55" t="s">
        <v>2149</v>
      </c>
      <c r="F55" s="35">
        <v>750000</v>
      </c>
      <c r="G55" s="35">
        <f t="shared" si="2"/>
        <v>745000</v>
      </c>
      <c r="H55" s="35" t="s">
        <v>2082</v>
      </c>
    </row>
    <row r="56" spans="1:8">
      <c r="A56" t="s">
        <v>117</v>
      </c>
      <c r="B56" t="s">
        <v>1390</v>
      </c>
      <c r="C56" s="41" t="s">
        <v>100</v>
      </c>
      <c r="D56" t="s">
        <v>2140</v>
      </c>
      <c r="E56" t="s">
        <v>2150</v>
      </c>
      <c r="F56" s="35">
        <v>1558000</v>
      </c>
      <c r="G56" s="35">
        <f t="shared" si="2"/>
        <v>1553000</v>
      </c>
      <c r="H56" s="35" t="s">
        <v>2082</v>
      </c>
    </row>
    <row r="57" spans="1:8">
      <c r="A57" t="s">
        <v>117</v>
      </c>
      <c r="B57" t="s">
        <v>1390</v>
      </c>
      <c r="C57" s="39" t="s">
        <v>1389</v>
      </c>
      <c r="D57" t="s">
        <v>2140</v>
      </c>
      <c r="E57" t="s">
        <v>2151</v>
      </c>
      <c r="F57" s="35">
        <v>1591000</v>
      </c>
      <c r="G57" s="35">
        <f t="shared" si="2"/>
        <v>1586000</v>
      </c>
      <c r="H57" s="35" t="s">
        <v>2082</v>
      </c>
    </row>
    <row r="58" spans="1:8">
      <c r="A58" t="s">
        <v>118</v>
      </c>
      <c r="B58" t="s">
        <v>1391</v>
      </c>
      <c r="C58" s="41" t="s">
        <v>100</v>
      </c>
      <c r="D58" t="s">
        <v>2140</v>
      </c>
      <c r="E58" t="s">
        <v>2152</v>
      </c>
      <c r="F58" s="35">
        <v>711000</v>
      </c>
      <c r="G58" s="35">
        <f t="shared" si="2"/>
        <v>706000</v>
      </c>
      <c r="H58" s="35" t="s">
        <v>2082</v>
      </c>
    </row>
    <row r="59" spans="1:8">
      <c r="A59" t="s">
        <v>118</v>
      </c>
      <c r="B59" t="s">
        <v>1391</v>
      </c>
      <c r="C59" s="39" t="s">
        <v>1389</v>
      </c>
      <c r="D59" t="s">
        <v>2140</v>
      </c>
      <c r="E59" t="s">
        <v>2153</v>
      </c>
      <c r="F59" s="35">
        <v>725000</v>
      </c>
      <c r="G59" s="35">
        <f t="shared" si="2"/>
        <v>720000</v>
      </c>
      <c r="H59" s="35" t="s">
        <v>2082</v>
      </c>
    </row>
    <row r="60" spans="1:8">
      <c r="A60" t="s">
        <v>118</v>
      </c>
      <c r="B60" t="s">
        <v>1390</v>
      </c>
      <c r="C60" s="41" t="s">
        <v>100</v>
      </c>
      <c r="D60" t="s">
        <v>2140</v>
      </c>
      <c r="E60" t="s">
        <v>2154</v>
      </c>
      <c r="F60" s="35">
        <v>1396000</v>
      </c>
      <c r="G60" s="35">
        <f t="shared" si="2"/>
        <v>1391000</v>
      </c>
      <c r="H60" s="35" t="s">
        <v>2082</v>
      </c>
    </row>
    <row r="61" spans="1:8">
      <c r="A61" t="s">
        <v>118</v>
      </c>
      <c r="B61" t="s">
        <v>1390</v>
      </c>
      <c r="C61" s="39" t="s">
        <v>1389</v>
      </c>
      <c r="D61" t="s">
        <v>2140</v>
      </c>
      <c r="E61" t="s">
        <v>2155</v>
      </c>
      <c r="F61" s="35">
        <v>1429000</v>
      </c>
      <c r="G61" s="35">
        <f t="shared" si="2"/>
        <v>1424000</v>
      </c>
      <c r="H61" s="35" t="s">
        <v>2082</v>
      </c>
    </row>
  </sheetData>
  <autoFilter ref="A1:F61" xr:uid="{00000000-0009-0000-0000-000010000000}">
    <filterColumn colId="4">
      <filters>
        <filter val="다인승만21세이상1억개인사업자특약"/>
        <filter val="다인승만21세이상1억법인사업자특약"/>
        <filter val="다인승만21세이상2억개인사업자특약"/>
        <filter val="다인승만21세이상2억법인사업자특약"/>
        <filter val="다인승만26세이상1억개인사업자특약"/>
        <filter val="다인승만26세이상1억법인사업자특약"/>
        <filter val="다인승만26세이상2억개인사업자특약"/>
        <filter val="다인승만26세이상2억법인사업자특약"/>
        <filter val="승용만21세이상1억개인사업자특약"/>
        <filter val="승용만21세이상1억법인사업자특약"/>
        <filter val="승용만21세이상2억개인사업자특약"/>
        <filter val="승용만21세이상2억법인사업자특약"/>
        <filter val="승용만26세이상1억개인사업자특약"/>
        <filter val="승용만26세이상1억법인사업자특약"/>
        <filter val="승용만26세이상2억개인사업자특약"/>
        <filter val="승용만26세이상2억법인사업자특약"/>
        <filter val="승합만21세이상1억개인사업자특약"/>
        <filter val="승합만21세이상1억법인사업자특약"/>
        <filter val="승합만21세이상2억개인사업자특약"/>
        <filter val="승합만21세이상2억법인사업자특약"/>
        <filter val="승합만26세이상1억개인사업자특약"/>
        <filter val="승합만26세이상1억법인사업자특약"/>
        <filter val="승합만26세이상2억개인사업자특약"/>
        <filter val="승합만26세이상2억법인사업자특약"/>
      </filters>
    </filterColumn>
  </autoFilter>
  <phoneticPr fontId="1" type="noConversion"/>
  <pageMargins left="0.7" right="0.7" top="0.75" bottom="0.75" header="0.3" footer="0.3"/>
  <ignoredErrors>
    <ignoredError sqref="G5 G9:G61" 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rgb="FF00B050"/>
  </sheetPr>
  <dimension ref="A1:K61"/>
  <sheetViews>
    <sheetView topLeftCell="A31" workbookViewId="0">
      <selection activeCell="G61" sqref="G61"/>
    </sheetView>
  </sheetViews>
  <sheetFormatPr defaultColWidth="9" defaultRowHeight="16.5"/>
  <cols>
    <col min="1" max="2" width="14.625" customWidth="1"/>
    <col min="3" max="3" width="14.625" style="38" customWidth="1"/>
    <col min="4" max="5" width="14.625" style="35" customWidth="1"/>
    <col min="6" max="6" width="33.25" style="35" bestFit="1" customWidth="1"/>
    <col min="7" max="7" width="14.625" style="35" customWidth="1"/>
    <col min="8" max="8" width="16.75" style="35" bestFit="1" customWidth="1"/>
    <col min="9" max="16384" width="9" style="228"/>
  </cols>
  <sheetData>
    <row r="1" spans="1:11">
      <c r="A1" s="358" t="s">
        <v>57</v>
      </c>
      <c r="B1" s="358" t="s">
        <v>105</v>
      </c>
      <c r="C1" s="359" t="s">
        <v>99</v>
      </c>
      <c r="D1" s="359" t="s">
        <v>63</v>
      </c>
      <c r="E1" s="359" t="s">
        <v>3310</v>
      </c>
      <c r="F1" s="359" t="s">
        <v>1381</v>
      </c>
      <c r="G1" s="360" t="s">
        <v>2604</v>
      </c>
      <c r="H1" s="360" t="s">
        <v>2081</v>
      </c>
      <c r="I1" s="535" t="s">
        <v>3207</v>
      </c>
      <c r="J1" s="290"/>
      <c r="K1" s="292"/>
    </row>
    <row r="2" spans="1:11">
      <c r="A2" s="353" t="s">
        <v>1743</v>
      </c>
      <c r="B2" s="356" t="s">
        <v>2084</v>
      </c>
      <c r="C2" s="353" t="s">
        <v>100</v>
      </c>
      <c r="D2" s="353" t="s">
        <v>2085</v>
      </c>
      <c r="E2" s="353" t="s">
        <v>3311</v>
      </c>
      <c r="F2" s="356" t="str">
        <f>+A2&amp;B2&amp;C2&amp;D2&amp;E2</f>
        <v>승용만21세이상1억법인사업자N</v>
      </c>
      <c r="G2" s="354">
        <v>1096950</v>
      </c>
      <c r="H2" s="357" t="s">
        <v>2083</v>
      </c>
    </row>
    <row r="3" spans="1:11">
      <c r="A3" s="353" t="s">
        <v>1743</v>
      </c>
      <c r="B3" s="356" t="s">
        <v>2084</v>
      </c>
      <c r="C3" s="353" t="s">
        <v>1389</v>
      </c>
      <c r="D3" s="353" t="s">
        <v>2085</v>
      </c>
      <c r="E3" s="353" t="s">
        <v>3311</v>
      </c>
      <c r="F3" s="356" t="str">
        <f t="shared" ref="F3:F61" si="0">+A3&amp;B3&amp;C3&amp;D3&amp;E3</f>
        <v>승용만21세이상2억법인사업자N</v>
      </c>
      <c r="G3" s="354">
        <v>1117580</v>
      </c>
      <c r="H3" s="357" t="s">
        <v>2083</v>
      </c>
    </row>
    <row r="4" spans="1:11">
      <c r="A4" s="353" t="s">
        <v>1743</v>
      </c>
      <c r="B4" s="356" t="s">
        <v>2084</v>
      </c>
      <c r="C4" s="353" t="s">
        <v>100</v>
      </c>
      <c r="D4" s="353" t="s">
        <v>3313</v>
      </c>
      <c r="E4" s="353" t="s">
        <v>3312</v>
      </c>
      <c r="F4" s="356" t="str">
        <f t="shared" si="0"/>
        <v>승용만21세이상1억법인사업자Y</v>
      </c>
      <c r="G4" s="354">
        <v>1088930</v>
      </c>
      <c r="H4" s="357" t="s">
        <v>2083</v>
      </c>
    </row>
    <row r="5" spans="1:11">
      <c r="A5" s="353" t="s">
        <v>1743</v>
      </c>
      <c r="B5" s="356" t="s">
        <v>2084</v>
      </c>
      <c r="C5" s="353" t="s">
        <v>1389</v>
      </c>
      <c r="D5" s="353" t="s">
        <v>3313</v>
      </c>
      <c r="E5" s="353" t="s">
        <v>3312</v>
      </c>
      <c r="F5" s="356" t="str">
        <f t="shared" si="0"/>
        <v>승용만21세이상2억법인사업자Y</v>
      </c>
      <c r="G5" s="354">
        <v>1109380</v>
      </c>
      <c r="H5" s="357" t="s">
        <v>2083</v>
      </c>
    </row>
    <row r="6" spans="1:11">
      <c r="A6" s="353" t="s">
        <v>1814</v>
      </c>
      <c r="B6" s="356" t="s">
        <v>2084</v>
      </c>
      <c r="C6" s="353" t="s">
        <v>100</v>
      </c>
      <c r="D6" s="353" t="s">
        <v>2085</v>
      </c>
      <c r="E6" s="353" t="s">
        <v>3311</v>
      </c>
      <c r="F6" s="356" t="str">
        <f t="shared" si="0"/>
        <v>다인승만21세이상1억법인사업자N</v>
      </c>
      <c r="G6" s="354">
        <v>1058850</v>
      </c>
      <c r="H6" s="357" t="s">
        <v>2083</v>
      </c>
    </row>
    <row r="7" spans="1:11">
      <c r="A7" s="353" t="s">
        <v>1814</v>
      </c>
      <c r="B7" s="356" t="s">
        <v>2084</v>
      </c>
      <c r="C7" s="353" t="s">
        <v>1389</v>
      </c>
      <c r="D7" s="353" t="s">
        <v>2085</v>
      </c>
      <c r="E7" s="353" t="s">
        <v>3311</v>
      </c>
      <c r="F7" s="356" t="str">
        <f t="shared" si="0"/>
        <v>다인승만21세이상2억법인사업자N</v>
      </c>
      <c r="G7" s="354">
        <v>1083240</v>
      </c>
      <c r="H7" s="357" t="s">
        <v>2083</v>
      </c>
    </row>
    <row r="8" spans="1:11">
      <c r="A8" s="353" t="s">
        <v>1814</v>
      </c>
      <c r="B8" s="356" t="s">
        <v>2084</v>
      </c>
      <c r="C8" s="353" t="s">
        <v>100</v>
      </c>
      <c r="D8" s="353" t="s">
        <v>3313</v>
      </c>
      <c r="E8" s="353" t="s">
        <v>3312</v>
      </c>
      <c r="F8" s="356" t="str">
        <f t="shared" si="0"/>
        <v>다인승만21세이상1억법인사업자Y</v>
      </c>
      <c r="G8" s="354">
        <v>1051020</v>
      </c>
      <c r="H8" s="218" t="s">
        <v>2083</v>
      </c>
    </row>
    <row r="9" spans="1:11">
      <c r="A9" s="353" t="s">
        <v>1814</v>
      </c>
      <c r="B9" s="356" t="s">
        <v>2084</v>
      </c>
      <c r="C9" s="353" t="s">
        <v>1389</v>
      </c>
      <c r="D9" s="353" t="s">
        <v>3313</v>
      </c>
      <c r="E9" s="353" t="s">
        <v>3312</v>
      </c>
      <c r="F9" s="356" t="str">
        <f t="shared" si="0"/>
        <v>다인승만21세이상2억법인사업자Y</v>
      </c>
      <c r="G9" s="354">
        <v>1075190</v>
      </c>
      <c r="H9" s="218" t="s">
        <v>2083</v>
      </c>
    </row>
    <row r="10" spans="1:11">
      <c r="A10" s="353" t="s">
        <v>1875</v>
      </c>
      <c r="B10" s="356" t="s">
        <v>2084</v>
      </c>
      <c r="C10" s="353" t="s">
        <v>100</v>
      </c>
      <c r="D10" s="353" t="s">
        <v>2085</v>
      </c>
      <c r="E10" s="353" t="s">
        <v>3311</v>
      </c>
      <c r="F10" s="356" t="str">
        <f t="shared" si="0"/>
        <v>승합만21세이상1억법인사업자N</v>
      </c>
      <c r="G10" s="354">
        <v>1320180</v>
      </c>
      <c r="H10" s="218" t="s">
        <v>2083</v>
      </c>
    </row>
    <row r="11" spans="1:11">
      <c r="A11" s="353" t="s">
        <v>1875</v>
      </c>
      <c r="B11" s="356" t="s">
        <v>2084</v>
      </c>
      <c r="C11" s="353" t="s">
        <v>1389</v>
      </c>
      <c r="D11" s="353" t="s">
        <v>2085</v>
      </c>
      <c r="E11" s="353" t="s">
        <v>3311</v>
      </c>
      <c r="F11" s="356" t="str">
        <f t="shared" si="0"/>
        <v>승합만21세이상2억법인사업자N</v>
      </c>
      <c r="G11" s="354">
        <v>1344090</v>
      </c>
      <c r="H11" s="218" t="s">
        <v>2083</v>
      </c>
    </row>
    <row r="12" spans="1:11">
      <c r="A12" s="353" t="s">
        <v>1875</v>
      </c>
      <c r="B12" s="356" t="s">
        <v>2084</v>
      </c>
      <c r="C12" s="353" t="s">
        <v>100</v>
      </c>
      <c r="D12" s="353" t="s">
        <v>3313</v>
      </c>
      <c r="E12" s="353" t="s">
        <v>3312</v>
      </c>
      <c r="F12" s="356" t="str">
        <f t="shared" si="0"/>
        <v>승합만21세이상1억법인사업자Y</v>
      </c>
      <c r="G12" s="354" t="s">
        <v>3206</v>
      </c>
      <c r="H12" s="218" t="s">
        <v>2083</v>
      </c>
    </row>
    <row r="13" spans="1:11">
      <c r="A13" s="353" t="s">
        <v>1875</v>
      </c>
      <c r="B13" s="356" t="s">
        <v>2084</v>
      </c>
      <c r="C13" s="353" t="s">
        <v>1389</v>
      </c>
      <c r="D13" s="353" t="s">
        <v>3313</v>
      </c>
      <c r="E13" s="353" t="s">
        <v>3312</v>
      </c>
      <c r="F13" s="356" t="str">
        <f t="shared" si="0"/>
        <v>승합만21세이상2억법인사업자Y</v>
      </c>
      <c r="G13" s="354" t="s">
        <v>3206</v>
      </c>
      <c r="H13" s="218" t="s">
        <v>2083</v>
      </c>
    </row>
    <row r="14" spans="1:11">
      <c r="A14" s="353" t="s">
        <v>1743</v>
      </c>
      <c r="B14" s="493" t="s">
        <v>1657</v>
      </c>
      <c r="C14" s="353" t="s">
        <v>100</v>
      </c>
      <c r="D14" s="353" t="s">
        <v>2085</v>
      </c>
      <c r="E14" s="353" t="s">
        <v>3311</v>
      </c>
      <c r="F14" s="356" t="str">
        <f t="shared" si="0"/>
        <v>승용만26세이상1억법인사업자N</v>
      </c>
      <c r="G14" s="355">
        <v>614000</v>
      </c>
      <c r="H14" s="218" t="s">
        <v>2083</v>
      </c>
    </row>
    <row r="15" spans="1:11">
      <c r="A15" s="353" t="s">
        <v>1743</v>
      </c>
      <c r="B15" s="493" t="s">
        <v>1657</v>
      </c>
      <c r="C15" s="353" t="s">
        <v>1389</v>
      </c>
      <c r="D15" s="353" t="s">
        <v>2085</v>
      </c>
      <c r="E15" s="353" t="s">
        <v>3311</v>
      </c>
      <c r="F15" s="356" t="str">
        <f t="shared" si="0"/>
        <v>승용만26세이상2억법인사업자N</v>
      </c>
      <c r="G15" s="355">
        <v>625000</v>
      </c>
      <c r="H15" s="218" t="s">
        <v>2083</v>
      </c>
    </row>
    <row r="16" spans="1:11">
      <c r="A16" s="353" t="s">
        <v>1743</v>
      </c>
      <c r="B16" s="493" t="s">
        <v>1657</v>
      </c>
      <c r="C16" s="353" t="s">
        <v>100</v>
      </c>
      <c r="D16" s="353" t="s">
        <v>3313</v>
      </c>
      <c r="E16" s="353" t="s">
        <v>3312</v>
      </c>
      <c r="F16" s="356" t="str">
        <f t="shared" si="0"/>
        <v>승용만26세이상1억법인사업자Y</v>
      </c>
      <c r="G16" s="355">
        <v>610000</v>
      </c>
      <c r="H16" s="218" t="s">
        <v>2083</v>
      </c>
    </row>
    <row r="17" spans="1:8">
      <c r="A17" s="353" t="s">
        <v>1743</v>
      </c>
      <c r="B17" s="493" t="s">
        <v>1657</v>
      </c>
      <c r="C17" s="353" t="s">
        <v>1389</v>
      </c>
      <c r="D17" s="353" t="s">
        <v>3313</v>
      </c>
      <c r="E17" s="353" t="s">
        <v>3312</v>
      </c>
      <c r="F17" s="356" t="str">
        <f t="shared" si="0"/>
        <v>승용만26세이상2억법인사업자Y</v>
      </c>
      <c r="G17" s="355">
        <v>620000</v>
      </c>
      <c r="H17" s="218" t="s">
        <v>2083</v>
      </c>
    </row>
    <row r="18" spans="1:8">
      <c r="A18" s="353" t="s">
        <v>1814</v>
      </c>
      <c r="B18" s="493" t="s">
        <v>1657</v>
      </c>
      <c r="C18" s="353" t="s">
        <v>100</v>
      </c>
      <c r="D18" s="353" t="s">
        <v>2085</v>
      </c>
      <c r="E18" s="353" t="s">
        <v>3311</v>
      </c>
      <c r="F18" s="356" t="str">
        <f t="shared" si="0"/>
        <v>다인승만26세이상1억법인사업자N</v>
      </c>
      <c r="G18" s="355">
        <v>611000</v>
      </c>
      <c r="H18" s="218" t="s">
        <v>2083</v>
      </c>
    </row>
    <row r="19" spans="1:8">
      <c r="A19" s="353" t="s">
        <v>1814</v>
      </c>
      <c r="B19" s="493" t="s">
        <v>1657</v>
      </c>
      <c r="C19" s="353" t="s">
        <v>1389</v>
      </c>
      <c r="D19" s="353" t="s">
        <v>2085</v>
      </c>
      <c r="E19" s="353" t="s">
        <v>3311</v>
      </c>
      <c r="F19" s="356" t="str">
        <f t="shared" si="0"/>
        <v>다인승만26세이상2억법인사업자N</v>
      </c>
      <c r="G19" s="355">
        <v>623000</v>
      </c>
      <c r="H19" s="218" t="s">
        <v>2083</v>
      </c>
    </row>
    <row r="20" spans="1:8">
      <c r="A20" s="353" t="s">
        <v>1814</v>
      </c>
      <c r="B20" s="493" t="s">
        <v>1657</v>
      </c>
      <c r="C20" s="353" t="s">
        <v>100</v>
      </c>
      <c r="D20" s="353" t="s">
        <v>3313</v>
      </c>
      <c r="E20" s="353" t="s">
        <v>3312</v>
      </c>
      <c r="F20" s="356" t="str">
        <f t="shared" si="0"/>
        <v>다인승만26세이상1억법인사업자Y</v>
      </c>
      <c r="G20" s="355">
        <v>606000</v>
      </c>
      <c r="H20" s="218" t="s">
        <v>2083</v>
      </c>
    </row>
    <row r="21" spans="1:8">
      <c r="A21" s="353" t="s">
        <v>1814</v>
      </c>
      <c r="B21" s="493" t="s">
        <v>1657</v>
      </c>
      <c r="C21" s="353" t="s">
        <v>1389</v>
      </c>
      <c r="D21" s="353" t="s">
        <v>3313</v>
      </c>
      <c r="E21" s="353" t="s">
        <v>3312</v>
      </c>
      <c r="F21" s="356" t="str">
        <f t="shared" si="0"/>
        <v>다인승만26세이상2억법인사업자Y</v>
      </c>
      <c r="G21" s="355">
        <v>618000</v>
      </c>
      <c r="H21" s="218" t="s">
        <v>2083</v>
      </c>
    </row>
    <row r="22" spans="1:8">
      <c r="A22" s="353" t="s">
        <v>1875</v>
      </c>
      <c r="B22" s="493" t="s">
        <v>1657</v>
      </c>
      <c r="C22" s="353" t="s">
        <v>100</v>
      </c>
      <c r="D22" s="353" t="s">
        <v>2085</v>
      </c>
      <c r="E22" s="353" t="s">
        <v>3311</v>
      </c>
      <c r="F22" s="356" t="str">
        <f t="shared" si="0"/>
        <v>승합만26세이상1억법인사업자N</v>
      </c>
      <c r="G22" s="355">
        <v>664000</v>
      </c>
      <c r="H22" s="218" t="s">
        <v>2083</v>
      </c>
    </row>
    <row r="23" spans="1:8">
      <c r="A23" s="353" t="s">
        <v>1875</v>
      </c>
      <c r="B23" s="493" t="s">
        <v>1657</v>
      </c>
      <c r="C23" s="353" t="s">
        <v>1389</v>
      </c>
      <c r="D23" s="353" t="s">
        <v>2085</v>
      </c>
      <c r="E23" s="353" t="s">
        <v>3311</v>
      </c>
      <c r="F23" s="356" t="str">
        <f t="shared" si="0"/>
        <v>승합만26세이상2억법인사업자N</v>
      </c>
      <c r="G23" s="355">
        <v>675000</v>
      </c>
      <c r="H23" s="218" t="s">
        <v>2083</v>
      </c>
    </row>
    <row r="24" spans="1:8">
      <c r="A24" s="353" t="s">
        <v>1875</v>
      </c>
      <c r="B24" s="493" t="s">
        <v>1657</v>
      </c>
      <c r="C24" s="353" t="s">
        <v>100</v>
      </c>
      <c r="D24" s="353" t="s">
        <v>3313</v>
      </c>
      <c r="E24" s="353" t="s">
        <v>3312</v>
      </c>
      <c r="F24" s="356" t="str">
        <f t="shared" si="0"/>
        <v>승합만26세이상1억법인사업자Y</v>
      </c>
      <c r="G24" s="354" t="s">
        <v>3206</v>
      </c>
      <c r="H24" s="218" t="s">
        <v>2083</v>
      </c>
    </row>
    <row r="25" spans="1:8">
      <c r="A25" s="353" t="s">
        <v>1875</v>
      </c>
      <c r="B25" s="493" t="s">
        <v>1657</v>
      </c>
      <c r="C25" s="353" t="s">
        <v>1389</v>
      </c>
      <c r="D25" s="353" t="s">
        <v>3313</v>
      </c>
      <c r="E25" s="353" t="s">
        <v>3312</v>
      </c>
      <c r="F25" s="356" t="str">
        <f t="shared" si="0"/>
        <v>승합만26세이상2억법인사업자Y</v>
      </c>
      <c r="G25" s="354" t="s">
        <v>3206</v>
      </c>
      <c r="H25" s="218" t="s">
        <v>2083</v>
      </c>
    </row>
    <row r="26" spans="1:8">
      <c r="A26" s="493" t="s">
        <v>1743</v>
      </c>
      <c r="B26" s="493" t="s">
        <v>1657</v>
      </c>
      <c r="C26" s="215" t="s">
        <v>100</v>
      </c>
      <c r="D26" s="215" t="s">
        <v>1626</v>
      </c>
      <c r="E26" s="215" t="s">
        <v>2918</v>
      </c>
      <c r="F26" s="356" t="str">
        <f t="shared" si="0"/>
        <v>승용만26세이상1억개인N</v>
      </c>
      <c r="G26" s="215">
        <v>639000</v>
      </c>
      <c r="H26" s="215" t="s">
        <v>3314</v>
      </c>
    </row>
    <row r="27" spans="1:8">
      <c r="A27" s="493" t="s">
        <v>1743</v>
      </c>
      <c r="B27" s="493" t="s">
        <v>1657</v>
      </c>
      <c r="C27" s="215" t="s">
        <v>1389</v>
      </c>
      <c r="D27" s="215" t="s">
        <v>1626</v>
      </c>
      <c r="E27" s="215" t="s">
        <v>2918</v>
      </c>
      <c r="F27" s="356" t="str">
        <f t="shared" si="0"/>
        <v>승용만26세이상2억개인N</v>
      </c>
      <c r="G27" s="215">
        <v>650000</v>
      </c>
      <c r="H27" s="215" t="s">
        <v>3314</v>
      </c>
    </row>
    <row r="28" spans="1:8">
      <c r="A28" s="493" t="s">
        <v>1814</v>
      </c>
      <c r="B28" s="493" t="s">
        <v>1657</v>
      </c>
      <c r="C28" s="215" t="s">
        <v>100</v>
      </c>
      <c r="D28" s="215" t="s">
        <v>1626</v>
      </c>
      <c r="E28" s="215" t="s">
        <v>2918</v>
      </c>
      <c r="F28" s="356" t="str">
        <f t="shared" si="0"/>
        <v>다인승만26세이상1억개인N</v>
      </c>
      <c r="G28" s="215">
        <v>635000</v>
      </c>
      <c r="H28" s="215" t="s">
        <v>3314</v>
      </c>
    </row>
    <row r="29" spans="1:8">
      <c r="A29" s="493" t="s">
        <v>1814</v>
      </c>
      <c r="B29" s="493" t="s">
        <v>1657</v>
      </c>
      <c r="C29" s="215" t="s">
        <v>1389</v>
      </c>
      <c r="D29" s="215" t="s">
        <v>1626</v>
      </c>
      <c r="E29" s="215" t="s">
        <v>2918</v>
      </c>
      <c r="F29" s="356" t="str">
        <f t="shared" si="0"/>
        <v>다인승만26세이상2억개인N</v>
      </c>
      <c r="G29" s="215">
        <v>648000</v>
      </c>
      <c r="H29" s="215" t="s">
        <v>3314</v>
      </c>
    </row>
    <row r="30" spans="1:8">
      <c r="A30" s="493" t="s">
        <v>1875</v>
      </c>
      <c r="B30" s="493" t="s">
        <v>1657</v>
      </c>
      <c r="C30" s="215" t="s">
        <v>100</v>
      </c>
      <c r="D30" s="215" t="s">
        <v>1626</v>
      </c>
      <c r="E30" s="215" t="s">
        <v>2918</v>
      </c>
      <c r="F30" s="356" t="str">
        <f t="shared" si="0"/>
        <v>승합만26세이상1억개인N</v>
      </c>
      <c r="G30" s="215">
        <v>691000</v>
      </c>
      <c r="H30" s="215" t="s">
        <v>3314</v>
      </c>
    </row>
    <row r="31" spans="1:8">
      <c r="A31" s="493" t="s">
        <v>1875</v>
      </c>
      <c r="B31" s="493" t="s">
        <v>1657</v>
      </c>
      <c r="C31" s="215" t="s">
        <v>1389</v>
      </c>
      <c r="D31" s="215" t="s">
        <v>1626</v>
      </c>
      <c r="E31" s="215" t="s">
        <v>2918</v>
      </c>
      <c r="F31" s="356" t="str">
        <f t="shared" si="0"/>
        <v>승합만26세이상2억개인N</v>
      </c>
      <c r="G31" s="215">
        <v>702000</v>
      </c>
      <c r="H31" s="215" t="s">
        <v>3314</v>
      </c>
    </row>
    <row r="32" spans="1:8">
      <c r="A32" s="493" t="s">
        <v>1743</v>
      </c>
      <c r="B32" s="493" t="s">
        <v>2084</v>
      </c>
      <c r="C32" s="215" t="s">
        <v>100</v>
      </c>
      <c r="D32" s="215" t="s">
        <v>1626</v>
      </c>
      <c r="E32" s="215" t="s">
        <v>2918</v>
      </c>
      <c r="F32" s="356" t="str">
        <f t="shared" si="0"/>
        <v>승용만21세이상1억개인N</v>
      </c>
      <c r="G32" s="215">
        <v>1384000</v>
      </c>
      <c r="H32" s="215" t="s">
        <v>3314</v>
      </c>
    </row>
    <row r="33" spans="1:8">
      <c r="A33" s="493" t="s">
        <v>1743</v>
      </c>
      <c r="B33" s="493" t="s">
        <v>2084</v>
      </c>
      <c r="C33" s="215" t="s">
        <v>1389</v>
      </c>
      <c r="D33" s="215" t="s">
        <v>1626</v>
      </c>
      <c r="E33" s="215" t="s">
        <v>2918</v>
      </c>
      <c r="F33" s="356" t="str">
        <f t="shared" si="0"/>
        <v>승용만21세이상2억개인N</v>
      </c>
      <c r="G33" s="215">
        <v>1414000</v>
      </c>
      <c r="H33" s="215" t="s">
        <v>3314</v>
      </c>
    </row>
    <row r="34" spans="1:8">
      <c r="A34" s="493" t="s">
        <v>1814</v>
      </c>
      <c r="B34" s="493" t="s">
        <v>2084</v>
      </c>
      <c r="C34" s="215" t="s">
        <v>100</v>
      </c>
      <c r="D34" s="215" t="s">
        <v>1626</v>
      </c>
      <c r="E34" s="215" t="s">
        <v>2918</v>
      </c>
      <c r="F34" s="356" t="str">
        <f t="shared" si="0"/>
        <v>다인승만21세이상1억개인N</v>
      </c>
      <c r="G34" s="215">
        <v>1241000</v>
      </c>
      <c r="H34" s="215" t="s">
        <v>3314</v>
      </c>
    </row>
    <row r="35" spans="1:8">
      <c r="A35" s="493" t="s">
        <v>1814</v>
      </c>
      <c r="B35" s="493" t="s">
        <v>2084</v>
      </c>
      <c r="C35" s="215" t="s">
        <v>1389</v>
      </c>
      <c r="D35" s="215" t="s">
        <v>1626</v>
      </c>
      <c r="E35" s="215" t="s">
        <v>2918</v>
      </c>
      <c r="F35" s="356" t="str">
        <f t="shared" si="0"/>
        <v>다인승만21세이상2억개인N</v>
      </c>
      <c r="G35" s="215">
        <v>1269000</v>
      </c>
      <c r="H35" s="215" t="s">
        <v>3314</v>
      </c>
    </row>
    <row r="36" spans="1:8">
      <c r="A36" s="493" t="s">
        <v>1875</v>
      </c>
      <c r="B36" s="493" t="s">
        <v>2084</v>
      </c>
      <c r="C36" s="215" t="s">
        <v>100</v>
      </c>
      <c r="D36" s="215" t="s">
        <v>1626</v>
      </c>
      <c r="E36" s="215" t="s">
        <v>2918</v>
      </c>
      <c r="F36" s="356" t="str">
        <f t="shared" si="0"/>
        <v>승합만21세이상1억개인N</v>
      </c>
      <c r="G36" s="215">
        <v>1427000</v>
      </c>
      <c r="H36" s="215" t="s">
        <v>3314</v>
      </c>
    </row>
    <row r="37" spans="1:8">
      <c r="A37" s="493" t="s">
        <v>1875</v>
      </c>
      <c r="B37" s="493" t="s">
        <v>2084</v>
      </c>
      <c r="C37" s="215" t="s">
        <v>1389</v>
      </c>
      <c r="D37" s="215" t="s">
        <v>1626</v>
      </c>
      <c r="E37" s="215" t="s">
        <v>2918</v>
      </c>
      <c r="F37" s="356" t="str">
        <f t="shared" si="0"/>
        <v>승합만21세이상2억개인N</v>
      </c>
      <c r="G37" s="215">
        <v>1455000</v>
      </c>
      <c r="H37" s="215" t="s">
        <v>3314</v>
      </c>
    </row>
    <row r="38" spans="1:8">
      <c r="A38" s="493" t="s">
        <v>1743</v>
      </c>
      <c r="B38" s="493" t="s">
        <v>1657</v>
      </c>
      <c r="C38" s="215" t="s">
        <v>100</v>
      </c>
      <c r="D38" s="215" t="s">
        <v>2080</v>
      </c>
      <c r="E38" s="215" t="s">
        <v>2273</v>
      </c>
      <c r="F38" s="356" t="str">
        <f t="shared" si="0"/>
        <v>승용만26세이상1억개인사업자Y</v>
      </c>
      <c r="G38" s="215">
        <v>634000</v>
      </c>
      <c r="H38" s="215" t="s">
        <v>3314</v>
      </c>
    </row>
    <row r="39" spans="1:8">
      <c r="A39" s="493" t="s">
        <v>1743</v>
      </c>
      <c r="B39" s="493" t="s">
        <v>1657</v>
      </c>
      <c r="C39" s="215" t="s">
        <v>1389</v>
      </c>
      <c r="D39" s="215" t="s">
        <v>2080</v>
      </c>
      <c r="E39" s="215" t="s">
        <v>2273</v>
      </c>
      <c r="F39" s="356" t="str">
        <f t="shared" si="0"/>
        <v>승용만26세이상2억개인사업자Y</v>
      </c>
      <c r="G39" s="215">
        <v>645000</v>
      </c>
      <c r="H39" s="215" t="s">
        <v>3314</v>
      </c>
    </row>
    <row r="40" spans="1:8">
      <c r="A40" s="493" t="s">
        <v>1814</v>
      </c>
      <c r="B40" s="493" t="s">
        <v>1657</v>
      </c>
      <c r="C40" s="215" t="s">
        <v>100</v>
      </c>
      <c r="D40" s="215" t="s">
        <v>2080</v>
      </c>
      <c r="E40" s="215" t="s">
        <v>2273</v>
      </c>
      <c r="F40" s="356" t="str">
        <f t="shared" si="0"/>
        <v>다인승만26세이상1억개인사업자Y</v>
      </c>
      <c r="G40" s="215">
        <v>631000</v>
      </c>
      <c r="H40" s="215" t="s">
        <v>3314</v>
      </c>
    </row>
    <row r="41" spans="1:8">
      <c r="A41" s="493" t="s">
        <v>1814</v>
      </c>
      <c r="B41" s="493" t="s">
        <v>1657</v>
      </c>
      <c r="C41" s="215" t="s">
        <v>1389</v>
      </c>
      <c r="D41" s="215" t="s">
        <v>2080</v>
      </c>
      <c r="E41" s="215" t="s">
        <v>2273</v>
      </c>
      <c r="F41" s="356" t="str">
        <f t="shared" si="0"/>
        <v>다인승만26세이상2억개인사업자Y</v>
      </c>
      <c r="G41" s="215">
        <v>643000</v>
      </c>
      <c r="H41" s="215" t="s">
        <v>3314</v>
      </c>
    </row>
    <row r="42" spans="1:8">
      <c r="A42" s="493" t="s">
        <v>1875</v>
      </c>
      <c r="B42" s="493" t="s">
        <v>1657</v>
      </c>
      <c r="C42" s="215" t="s">
        <v>100</v>
      </c>
      <c r="D42" s="215" t="s">
        <v>2080</v>
      </c>
      <c r="E42" s="215" t="s">
        <v>2273</v>
      </c>
      <c r="F42" s="356" t="str">
        <f t="shared" si="0"/>
        <v>승합만26세이상1억개인사업자Y</v>
      </c>
      <c r="G42" s="215">
        <v>686000</v>
      </c>
      <c r="H42" s="215" t="s">
        <v>3314</v>
      </c>
    </row>
    <row r="43" spans="1:8">
      <c r="A43" s="493" t="s">
        <v>1875</v>
      </c>
      <c r="B43" s="493" t="s">
        <v>1657</v>
      </c>
      <c r="C43" s="215" t="s">
        <v>1389</v>
      </c>
      <c r="D43" s="215" t="s">
        <v>2080</v>
      </c>
      <c r="E43" s="215" t="s">
        <v>2273</v>
      </c>
      <c r="F43" s="356" t="str">
        <f t="shared" si="0"/>
        <v>승합만26세이상2억개인사업자Y</v>
      </c>
      <c r="G43" s="215">
        <v>697000</v>
      </c>
      <c r="H43" s="215" t="s">
        <v>3314</v>
      </c>
    </row>
    <row r="44" spans="1:8">
      <c r="A44" s="493" t="s">
        <v>1743</v>
      </c>
      <c r="B44" s="493" t="s">
        <v>2084</v>
      </c>
      <c r="C44" s="215" t="s">
        <v>100</v>
      </c>
      <c r="D44" s="215" t="s">
        <v>2080</v>
      </c>
      <c r="E44" s="215" t="s">
        <v>2273</v>
      </c>
      <c r="F44" s="356" t="str">
        <f t="shared" si="0"/>
        <v>승용만21세이상1억개인사업자Y</v>
      </c>
      <c r="G44" s="215">
        <v>1374000</v>
      </c>
      <c r="H44" s="215" t="s">
        <v>3314</v>
      </c>
    </row>
    <row r="45" spans="1:8">
      <c r="A45" s="493" t="s">
        <v>1743</v>
      </c>
      <c r="B45" s="493" t="s">
        <v>2084</v>
      </c>
      <c r="C45" s="215" t="s">
        <v>1389</v>
      </c>
      <c r="D45" s="215" t="s">
        <v>2080</v>
      </c>
      <c r="E45" s="215" t="s">
        <v>2273</v>
      </c>
      <c r="F45" s="356" t="str">
        <f t="shared" si="0"/>
        <v>승용만21세이상2억개인사업자Y</v>
      </c>
      <c r="G45" s="215">
        <v>1403000</v>
      </c>
      <c r="H45" s="215" t="s">
        <v>3314</v>
      </c>
    </row>
    <row r="46" spans="1:8">
      <c r="A46" s="493" t="s">
        <v>1814</v>
      </c>
      <c r="B46" s="493" t="s">
        <v>2084</v>
      </c>
      <c r="C46" s="215" t="s">
        <v>100</v>
      </c>
      <c r="D46" s="215" t="s">
        <v>2080</v>
      </c>
      <c r="E46" s="215" t="s">
        <v>2273</v>
      </c>
      <c r="F46" s="356" t="str">
        <f t="shared" si="0"/>
        <v>다인승만21세이상1억개인사업자Y</v>
      </c>
      <c r="G46" s="215">
        <v>1231000</v>
      </c>
      <c r="H46" s="215" t="s">
        <v>3314</v>
      </c>
    </row>
    <row r="47" spans="1:8">
      <c r="A47" s="493" t="s">
        <v>1814</v>
      </c>
      <c r="B47" s="493" t="s">
        <v>2084</v>
      </c>
      <c r="C47" s="215" t="s">
        <v>1389</v>
      </c>
      <c r="D47" s="215" t="s">
        <v>2080</v>
      </c>
      <c r="E47" s="215" t="s">
        <v>2273</v>
      </c>
      <c r="F47" s="356" t="str">
        <f t="shared" si="0"/>
        <v>다인승만21세이상2억개인사업자Y</v>
      </c>
      <c r="G47" s="215">
        <v>1260000</v>
      </c>
      <c r="H47" s="215" t="s">
        <v>3314</v>
      </c>
    </row>
    <row r="48" spans="1:8">
      <c r="A48" s="493" t="s">
        <v>1875</v>
      </c>
      <c r="B48" s="493" t="s">
        <v>2084</v>
      </c>
      <c r="C48" s="215" t="s">
        <v>100</v>
      </c>
      <c r="D48" s="215" t="s">
        <v>2080</v>
      </c>
      <c r="E48" s="215" t="s">
        <v>2273</v>
      </c>
      <c r="F48" s="356" t="str">
        <f t="shared" si="0"/>
        <v>승합만21세이상1억개인사업자Y</v>
      </c>
      <c r="G48" s="215">
        <v>1416000</v>
      </c>
      <c r="H48" s="215" t="s">
        <v>3314</v>
      </c>
    </row>
    <row r="49" spans="1:8">
      <c r="A49" s="493" t="s">
        <v>1875</v>
      </c>
      <c r="B49" s="493" t="s">
        <v>2084</v>
      </c>
      <c r="C49" s="215" t="s">
        <v>1389</v>
      </c>
      <c r="D49" s="215" t="s">
        <v>2080</v>
      </c>
      <c r="E49" s="215" t="s">
        <v>2273</v>
      </c>
      <c r="F49" s="356" t="str">
        <f t="shared" si="0"/>
        <v>승합만21세이상2억개인사업자Y</v>
      </c>
      <c r="G49" s="215">
        <v>1444000</v>
      </c>
      <c r="H49" s="215" t="s">
        <v>3314</v>
      </c>
    </row>
    <row r="50" spans="1:8">
      <c r="A50" s="493" t="s">
        <v>1743</v>
      </c>
      <c r="B50" s="493" t="s">
        <v>1657</v>
      </c>
      <c r="C50" s="215" t="s">
        <v>100</v>
      </c>
      <c r="D50" s="215" t="s">
        <v>2080</v>
      </c>
      <c r="E50" s="215" t="s">
        <v>2918</v>
      </c>
      <c r="F50" s="356" t="str">
        <f t="shared" si="0"/>
        <v>승용만26세이상1억개인사업자N</v>
      </c>
      <c r="G50" s="215">
        <v>639000</v>
      </c>
      <c r="H50" s="215" t="s">
        <v>3314</v>
      </c>
    </row>
    <row r="51" spans="1:8">
      <c r="A51" s="493" t="s">
        <v>1743</v>
      </c>
      <c r="B51" s="493" t="s">
        <v>1657</v>
      </c>
      <c r="C51" s="215" t="s">
        <v>1389</v>
      </c>
      <c r="D51" s="215" t="s">
        <v>2080</v>
      </c>
      <c r="E51" s="215" t="s">
        <v>2918</v>
      </c>
      <c r="F51" s="356" t="str">
        <f t="shared" si="0"/>
        <v>승용만26세이상2억개인사업자N</v>
      </c>
      <c r="G51" s="215">
        <v>650000</v>
      </c>
      <c r="H51" s="215" t="s">
        <v>3314</v>
      </c>
    </row>
    <row r="52" spans="1:8">
      <c r="A52" s="493" t="s">
        <v>1814</v>
      </c>
      <c r="B52" s="493" t="s">
        <v>1657</v>
      </c>
      <c r="C52" s="215" t="s">
        <v>100</v>
      </c>
      <c r="D52" s="215" t="s">
        <v>2080</v>
      </c>
      <c r="E52" s="215" t="s">
        <v>2918</v>
      </c>
      <c r="F52" s="356" t="str">
        <f t="shared" si="0"/>
        <v>다인승만26세이상1억개인사업자N</v>
      </c>
      <c r="G52" s="215">
        <v>635000</v>
      </c>
      <c r="H52" s="215" t="s">
        <v>3314</v>
      </c>
    </row>
    <row r="53" spans="1:8">
      <c r="A53" s="493" t="s">
        <v>1814</v>
      </c>
      <c r="B53" s="493" t="s">
        <v>1657</v>
      </c>
      <c r="C53" s="215" t="s">
        <v>1389</v>
      </c>
      <c r="D53" s="215" t="s">
        <v>2080</v>
      </c>
      <c r="E53" s="215" t="s">
        <v>2918</v>
      </c>
      <c r="F53" s="356" t="str">
        <f t="shared" si="0"/>
        <v>다인승만26세이상2억개인사업자N</v>
      </c>
      <c r="G53" s="215">
        <v>648000</v>
      </c>
      <c r="H53" s="215" t="s">
        <v>3314</v>
      </c>
    </row>
    <row r="54" spans="1:8">
      <c r="A54" s="493" t="s">
        <v>1875</v>
      </c>
      <c r="B54" s="493" t="s">
        <v>1657</v>
      </c>
      <c r="C54" s="215" t="s">
        <v>100</v>
      </c>
      <c r="D54" s="215" t="s">
        <v>2080</v>
      </c>
      <c r="E54" s="215" t="s">
        <v>2918</v>
      </c>
      <c r="F54" s="356" t="str">
        <f t="shared" si="0"/>
        <v>승합만26세이상1억개인사업자N</v>
      </c>
      <c r="G54" s="215">
        <v>691000</v>
      </c>
      <c r="H54" s="215" t="s">
        <v>3314</v>
      </c>
    </row>
    <row r="55" spans="1:8">
      <c r="A55" s="493" t="s">
        <v>1875</v>
      </c>
      <c r="B55" s="493" t="s">
        <v>1657</v>
      </c>
      <c r="C55" s="215" t="s">
        <v>1389</v>
      </c>
      <c r="D55" s="215" t="s">
        <v>2080</v>
      </c>
      <c r="E55" s="215" t="s">
        <v>2918</v>
      </c>
      <c r="F55" s="356" t="str">
        <f t="shared" si="0"/>
        <v>승합만26세이상2억개인사업자N</v>
      </c>
      <c r="G55" s="215">
        <v>702000</v>
      </c>
      <c r="H55" s="215" t="s">
        <v>3314</v>
      </c>
    </row>
    <row r="56" spans="1:8">
      <c r="A56" s="493" t="s">
        <v>1743</v>
      </c>
      <c r="B56" s="493" t="s">
        <v>2084</v>
      </c>
      <c r="C56" s="215" t="s">
        <v>100</v>
      </c>
      <c r="D56" s="215" t="s">
        <v>2080</v>
      </c>
      <c r="E56" s="215" t="s">
        <v>2918</v>
      </c>
      <c r="F56" s="356" t="str">
        <f t="shared" si="0"/>
        <v>승용만21세이상1억개인사업자N</v>
      </c>
      <c r="G56" s="215">
        <v>1384000</v>
      </c>
      <c r="H56" s="215" t="s">
        <v>3314</v>
      </c>
    </row>
    <row r="57" spans="1:8">
      <c r="A57" s="493" t="s">
        <v>1743</v>
      </c>
      <c r="B57" s="493" t="s">
        <v>2084</v>
      </c>
      <c r="C57" s="215" t="s">
        <v>1389</v>
      </c>
      <c r="D57" s="215" t="s">
        <v>2080</v>
      </c>
      <c r="E57" s="215" t="s">
        <v>2918</v>
      </c>
      <c r="F57" s="356" t="str">
        <f t="shared" si="0"/>
        <v>승용만21세이상2억개인사업자N</v>
      </c>
      <c r="G57" s="215">
        <v>1414000</v>
      </c>
      <c r="H57" s="215" t="s">
        <v>3314</v>
      </c>
    </row>
    <row r="58" spans="1:8">
      <c r="A58" s="493" t="s">
        <v>1814</v>
      </c>
      <c r="B58" s="493" t="s">
        <v>2084</v>
      </c>
      <c r="C58" s="215" t="s">
        <v>100</v>
      </c>
      <c r="D58" s="215" t="s">
        <v>2080</v>
      </c>
      <c r="E58" s="215" t="s">
        <v>2918</v>
      </c>
      <c r="F58" s="356" t="str">
        <f t="shared" si="0"/>
        <v>다인승만21세이상1억개인사업자N</v>
      </c>
      <c r="G58" s="215">
        <v>1241000</v>
      </c>
      <c r="H58" s="215" t="s">
        <v>3314</v>
      </c>
    </row>
    <row r="59" spans="1:8">
      <c r="A59" s="493" t="s">
        <v>1814</v>
      </c>
      <c r="B59" s="493" t="s">
        <v>2084</v>
      </c>
      <c r="C59" s="215" t="s">
        <v>1389</v>
      </c>
      <c r="D59" s="215" t="s">
        <v>2080</v>
      </c>
      <c r="E59" s="215" t="s">
        <v>2918</v>
      </c>
      <c r="F59" s="356" t="str">
        <f t="shared" si="0"/>
        <v>다인승만21세이상2억개인사업자N</v>
      </c>
      <c r="G59" s="215">
        <v>1269000</v>
      </c>
      <c r="H59" s="215" t="s">
        <v>3314</v>
      </c>
    </row>
    <row r="60" spans="1:8">
      <c r="A60" s="493" t="s">
        <v>1875</v>
      </c>
      <c r="B60" s="493" t="s">
        <v>2084</v>
      </c>
      <c r="C60" s="215" t="s">
        <v>100</v>
      </c>
      <c r="D60" s="215" t="s">
        <v>2080</v>
      </c>
      <c r="E60" s="215" t="s">
        <v>2918</v>
      </c>
      <c r="F60" s="356" t="str">
        <f t="shared" si="0"/>
        <v>승합만21세이상1억개인사업자N</v>
      </c>
      <c r="G60" s="215">
        <v>1427000</v>
      </c>
      <c r="H60" s="215" t="s">
        <v>3314</v>
      </c>
    </row>
    <row r="61" spans="1:8">
      <c r="A61" s="493" t="s">
        <v>1875</v>
      </c>
      <c r="B61" s="493" t="s">
        <v>2084</v>
      </c>
      <c r="C61" s="215" t="s">
        <v>1389</v>
      </c>
      <c r="D61" s="215" t="s">
        <v>2080</v>
      </c>
      <c r="E61" s="215" t="s">
        <v>2918</v>
      </c>
      <c r="F61" s="356" t="str">
        <f t="shared" si="0"/>
        <v>승합만21세이상2억개인사업자N</v>
      </c>
      <c r="G61" s="215">
        <v>1455000</v>
      </c>
      <c r="H61" s="215" t="s">
        <v>3314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>
    <tabColor rgb="FF0070C0"/>
  </sheetPr>
  <dimension ref="A1:L31"/>
  <sheetViews>
    <sheetView workbookViewId="0">
      <selection sqref="A1:I1"/>
    </sheetView>
  </sheetViews>
  <sheetFormatPr defaultColWidth="9" defaultRowHeight="16.5"/>
  <cols>
    <col min="1" max="2" width="14.625" customWidth="1"/>
    <col min="3" max="3" width="14.625" style="38" customWidth="1"/>
    <col min="4" max="4" width="14.625" style="35" customWidth="1"/>
    <col min="5" max="5" width="33.25" style="35" bestFit="1" customWidth="1"/>
    <col min="6" max="7" width="14.625" style="35" customWidth="1"/>
    <col min="8" max="8" width="16.75" style="35" bestFit="1" customWidth="1"/>
    <col min="9" max="9" width="10.875" style="227" bestFit="1" customWidth="1"/>
    <col min="10" max="16384" width="9" style="228"/>
  </cols>
  <sheetData>
    <row r="1" spans="1:12">
      <c r="A1" t="s">
        <v>57</v>
      </c>
      <c r="B1" t="s">
        <v>105</v>
      </c>
      <c r="C1" s="39" t="s">
        <v>99</v>
      </c>
      <c r="D1" s="40" t="s">
        <v>63</v>
      </c>
      <c r="E1" s="40" t="s">
        <v>1381</v>
      </c>
      <c r="F1" s="35" t="s">
        <v>32</v>
      </c>
      <c r="G1" s="37">
        <v>1000</v>
      </c>
      <c r="H1" s="35" t="s">
        <v>2081</v>
      </c>
      <c r="K1" s="290"/>
      <c r="L1" s="292"/>
    </row>
    <row r="2" spans="1:12">
      <c r="A2" s="228" t="s">
        <v>1814</v>
      </c>
      <c r="B2" s="228" t="s">
        <v>1657</v>
      </c>
      <c r="C2" s="228" t="s">
        <v>100</v>
      </c>
      <c r="D2" s="228" t="s">
        <v>1626</v>
      </c>
      <c r="E2" s="228" t="str">
        <f t="shared" ref="E2:E18" si="0">+A2&amp;B2&amp;C2&amp;D2</f>
        <v>다인승만26세이상1억개인</v>
      </c>
      <c r="F2" s="314">
        <v>656000</v>
      </c>
      <c r="G2" s="227">
        <v>672000</v>
      </c>
      <c r="H2" s="227" t="s">
        <v>2083</v>
      </c>
      <c r="I2" s="227" t="s">
        <v>2104</v>
      </c>
    </row>
    <row r="3" spans="1:12">
      <c r="A3" s="228" t="s">
        <v>1814</v>
      </c>
      <c r="B3" s="228" t="s">
        <v>1657</v>
      </c>
      <c r="C3" s="228" t="s">
        <v>1389</v>
      </c>
      <c r="D3" s="228" t="s">
        <v>1626</v>
      </c>
      <c r="E3" s="228" t="str">
        <f t="shared" si="0"/>
        <v>다인승만26세이상2억개인</v>
      </c>
      <c r="F3" s="314">
        <v>668000</v>
      </c>
      <c r="G3" s="227">
        <v>687000</v>
      </c>
      <c r="H3" s="227" t="s">
        <v>2083</v>
      </c>
      <c r="I3" s="227" t="s">
        <v>2104</v>
      </c>
    </row>
    <row r="4" spans="1:12">
      <c r="A4" s="228" t="s">
        <v>117</v>
      </c>
      <c r="B4" s="228" t="s">
        <v>1391</v>
      </c>
      <c r="C4" s="229" t="s">
        <v>100</v>
      </c>
      <c r="D4" s="228" t="s">
        <v>64</v>
      </c>
      <c r="E4" s="228" t="str">
        <f t="shared" si="0"/>
        <v>승용만26세이상1억개인</v>
      </c>
      <c r="F4" s="314">
        <v>659000</v>
      </c>
      <c r="G4" s="227">
        <f>F4+$G$1</f>
        <v>660000</v>
      </c>
      <c r="H4" s="227" t="s">
        <v>2083</v>
      </c>
      <c r="I4" s="227" t="s">
        <v>2104</v>
      </c>
    </row>
    <row r="5" spans="1:12">
      <c r="A5" s="228" t="s">
        <v>117</v>
      </c>
      <c r="B5" s="228" t="s">
        <v>1391</v>
      </c>
      <c r="C5" s="230" t="s">
        <v>1389</v>
      </c>
      <c r="D5" s="228" t="s">
        <v>64</v>
      </c>
      <c r="E5" s="228" t="str">
        <f t="shared" si="0"/>
        <v>승용만26세이상2억개인</v>
      </c>
      <c r="F5" s="314">
        <v>670000</v>
      </c>
      <c r="G5" s="227">
        <f>F5+$G$1</f>
        <v>671000</v>
      </c>
      <c r="H5" s="227" t="s">
        <v>2083</v>
      </c>
      <c r="I5" s="227" t="s">
        <v>2104</v>
      </c>
    </row>
    <row r="6" spans="1:12">
      <c r="A6" s="228" t="s">
        <v>1875</v>
      </c>
      <c r="B6" s="228" t="s">
        <v>1657</v>
      </c>
      <c r="C6" s="228" t="s">
        <v>100</v>
      </c>
      <c r="D6" s="228" t="s">
        <v>1626</v>
      </c>
      <c r="E6" s="228" t="str">
        <f t="shared" si="0"/>
        <v>승합만26세이상1억개인</v>
      </c>
      <c r="F6" s="314">
        <v>713000</v>
      </c>
      <c r="G6" s="227">
        <v>713000</v>
      </c>
      <c r="H6" s="227" t="s">
        <v>2083</v>
      </c>
      <c r="I6" s="227" t="s">
        <v>2104</v>
      </c>
    </row>
    <row r="7" spans="1:12">
      <c r="A7" s="228" t="s">
        <v>1875</v>
      </c>
      <c r="B7" s="228" t="s">
        <v>1657</v>
      </c>
      <c r="C7" s="228" t="s">
        <v>1389</v>
      </c>
      <c r="D7" s="228" t="s">
        <v>1626</v>
      </c>
      <c r="E7" s="228" t="str">
        <f t="shared" si="0"/>
        <v>승합만26세이상2억개인</v>
      </c>
      <c r="F7" s="314">
        <v>724000</v>
      </c>
      <c r="G7" s="227">
        <v>726000</v>
      </c>
      <c r="H7" s="227" t="s">
        <v>2083</v>
      </c>
      <c r="I7" s="227" t="s">
        <v>2104</v>
      </c>
    </row>
    <row r="8" spans="1:12">
      <c r="A8" s="228" t="s">
        <v>1814</v>
      </c>
      <c r="B8" s="228" t="s">
        <v>1657</v>
      </c>
      <c r="C8" s="228" t="s">
        <v>100</v>
      </c>
      <c r="D8" s="228" t="s">
        <v>2080</v>
      </c>
      <c r="E8" s="228" t="str">
        <f t="shared" si="0"/>
        <v>다인승만26세이상1억개인사업자</v>
      </c>
      <c r="F8" s="314">
        <v>656000</v>
      </c>
      <c r="G8" s="227">
        <v>672000</v>
      </c>
      <c r="H8" s="227" t="s">
        <v>2083</v>
      </c>
      <c r="I8" s="227" t="s">
        <v>2104</v>
      </c>
    </row>
    <row r="9" spans="1:12">
      <c r="A9" s="228" t="s">
        <v>1814</v>
      </c>
      <c r="B9" s="228" t="s">
        <v>1657</v>
      </c>
      <c r="C9" s="228" t="s">
        <v>1389</v>
      </c>
      <c r="D9" s="228" t="s">
        <v>2080</v>
      </c>
      <c r="E9" s="228" t="str">
        <f t="shared" si="0"/>
        <v>다인승만26세이상2억개인사업자</v>
      </c>
      <c r="F9" s="314">
        <v>668000</v>
      </c>
      <c r="G9" s="227">
        <v>687000</v>
      </c>
      <c r="H9" s="227" t="s">
        <v>2083</v>
      </c>
      <c r="I9" s="227" t="s">
        <v>2104</v>
      </c>
    </row>
    <row r="10" spans="1:12">
      <c r="A10" s="228" t="s">
        <v>117</v>
      </c>
      <c r="B10" s="228" t="s">
        <v>1391</v>
      </c>
      <c r="C10" s="229" t="s">
        <v>100</v>
      </c>
      <c r="D10" s="228" t="s">
        <v>65</v>
      </c>
      <c r="E10" s="228" t="str">
        <f t="shared" si="0"/>
        <v>승용만26세이상1억개인사업자</v>
      </c>
      <c r="F10" s="314">
        <v>659000</v>
      </c>
      <c r="G10" s="227">
        <f>F10+$G$1</f>
        <v>660000</v>
      </c>
      <c r="H10" s="227" t="s">
        <v>2083</v>
      </c>
      <c r="I10" s="227" t="s">
        <v>2104</v>
      </c>
    </row>
    <row r="11" spans="1:12">
      <c r="A11" s="228" t="s">
        <v>117</v>
      </c>
      <c r="B11" s="228" t="s">
        <v>1391</v>
      </c>
      <c r="C11" s="230" t="s">
        <v>1389</v>
      </c>
      <c r="D11" s="228" t="s">
        <v>65</v>
      </c>
      <c r="E11" s="228" t="str">
        <f t="shared" si="0"/>
        <v>승용만26세이상2억개인사업자</v>
      </c>
      <c r="F11" s="314">
        <v>670000</v>
      </c>
      <c r="G11" s="227">
        <f>F11+$G$1</f>
        <v>671000</v>
      </c>
      <c r="H11" s="227" t="s">
        <v>2083</v>
      </c>
      <c r="I11" s="227" t="s">
        <v>2104</v>
      </c>
    </row>
    <row r="12" spans="1:12">
      <c r="A12" s="228" t="s">
        <v>1875</v>
      </c>
      <c r="B12" s="228" t="s">
        <v>1657</v>
      </c>
      <c r="C12" s="228" t="s">
        <v>100</v>
      </c>
      <c r="D12" s="228" t="s">
        <v>2080</v>
      </c>
      <c r="E12" s="228" t="str">
        <f t="shared" si="0"/>
        <v>승합만26세이상1억개인사업자</v>
      </c>
      <c r="F12" s="314">
        <v>713000</v>
      </c>
      <c r="G12" s="227">
        <v>713000</v>
      </c>
      <c r="H12" s="227" t="s">
        <v>2083</v>
      </c>
      <c r="I12" s="227" t="s">
        <v>2104</v>
      </c>
    </row>
    <row r="13" spans="1:12">
      <c r="A13" s="228" t="s">
        <v>1875</v>
      </c>
      <c r="B13" s="228" t="s">
        <v>1657</v>
      </c>
      <c r="C13" s="228" t="s">
        <v>1389</v>
      </c>
      <c r="D13" s="228" t="s">
        <v>2080</v>
      </c>
      <c r="E13" s="228" t="str">
        <f t="shared" si="0"/>
        <v>승합만26세이상2억개인사업자</v>
      </c>
      <c r="F13" s="314">
        <v>724000</v>
      </c>
      <c r="G13" s="227">
        <v>726000</v>
      </c>
      <c r="H13" s="227" t="s">
        <v>2083</v>
      </c>
      <c r="I13" s="227" t="s">
        <v>2104</v>
      </c>
    </row>
    <row r="14" spans="1:12">
      <c r="A14" s="228" t="s">
        <v>118</v>
      </c>
      <c r="B14" s="228" t="s">
        <v>1391</v>
      </c>
      <c r="C14" s="229" t="s">
        <v>100</v>
      </c>
      <c r="D14" s="231" t="s">
        <v>66</v>
      </c>
      <c r="E14" s="228" t="str">
        <f t="shared" si="0"/>
        <v>다인승만26세이상1억법인사업자</v>
      </c>
      <c r="F14" s="314">
        <v>611000</v>
      </c>
      <c r="G14" s="227">
        <f t="shared" ref="G14:G31" si="1">F14+$G$1</f>
        <v>612000</v>
      </c>
      <c r="H14" s="227" t="s">
        <v>2083</v>
      </c>
      <c r="I14" s="227" t="s">
        <v>2104</v>
      </c>
    </row>
    <row r="15" spans="1:12">
      <c r="A15" s="228" t="s">
        <v>118</v>
      </c>
      <c r="B15" s="228" t="s">
        <v>1391</v>
      </c>
      <c r="C15" s="230" t="s">
        <v>1389</v>
      </c>
      <c r="D15" s="231" t="s">
        <v>66</v>
      </c>
      <c r="E15" s="228" t="str">
        <f t="shared" si="0"/>
        <v>다인승만26세이상2억법인사업자</v>
      </c>
      <c r="F15" s="314">
        <v>623000</v>
      </c>
      <c r="G15" s="227">
        <f t="shared" si="1"/>
        <v>624000</v>
      </c>
      <c r="H15" s="227" t="s">
        <v>2083</v>
      </c>
      <c r="I15" s="227" t="s">
        <v>2104</v>
      </c>
    </row>
    <row r="16" spans="1:12">
      <c r="A16" s="228" t="s">
        <v>117</v>
      </c>
      <c r="B16" s="228" t="s">
        <v>1391</v>
      </c>
      <c r="C16" s="229" t="s">
        <v>100</v>
      </c>
      <c r="D16" s="231" t="s">
        <v>66</v>
      </c>
      <c r="E16" s="228" t="str">
        <f t="shared" si="0"/>
        <v>승용만26세이상1억법인사업자</v>
      </c>
      <c r="F16" s="314">
        <v>614000</v>
      </c>
      <c r="G16" s="227">
        <f t="shared" si="1"/>
        <v>615000</v>
      </c>
      <c r="H16" s="227" t="s">
        <v>2083</v>
      </c>
      <c r="I16" s="227" t="s">
        <v>2104</v>
      </c>
    </row>
    <row r="17" spans="1:9">
      <c r="A17" s="228" t="s">
        <v>117</v>
      </c>
      <c r="B17" s="228" t="s">
        <v>1391</v>
      </c>
      <c r="C17" s="230" t="s">
        <v>1389</v>
      </c>
      <c r="D17" s="231" t="s">
        <v>66</v>
      </c>
      <c r="E17" s="228" t="str">
        <f t="shared" si="0"/>
        <v>승용만26세이상2억법인사업자</v>
      </c>
      <c r="F17" s="314">
        <v>625000</v>
      </c>
      <c r="G17" s="227">
        <f t="shared" si="1"/>
        <v>626000</v>
      </c>
      <c r="H17" s="227" t="s">
        <v>2083</v>
      </c>
      <c r="I17" s="227" t="s">
        <v>2104</v>
      </c>
    </row>
    <row r="18" spans="1:9">
      <c r="A18" s="228" t="s">
        <v>1875</v>
      </c>
      <c r="B18" s="228" t="s">
        <v>1657</v>
      </c>
      <c r="C18" s="228" t="s">
        <v>100</v>
      </c>
      <c r="D18" s="228" t="s">
        <v>2085</v>
      </c>
      <c r="E18" s="228" t="str">
        <f t="shared" si="0"/>
        <v>승합만26세이상1억법인사업자</v>
      </c>
      <c r="F18" s="314">
        <v>664000</v>
      </c>
      <c r="G18" s="227">
        <f t="shared" si="1"/>
        <v>665000</v>
      </c>
      <c r="H18" s="227" t="s">
        <v>2083</v>
      </c>
      <c r="I18" s="227" t="s">
        <v>2104</v>
      </c>
    </row>
    <row r="19" spans="1:9">
      <c r="A19" s="228" t="s">
        <v>1875</v>
      </c>
      <c r="B19" s="228" t="s">
        <v>1657</v>
      </c>
      <c r="C19" s="228" t="s">
        <v>1389</v>
      </c>
      <c r="D19" s="228" t="s">
        <v>2085</v>
      </c>
      <c r="E19" s="228" t="str">
        <f>+A19&amp;B19&amp;C19&amp;D19</f>
        <v>승합만26세이상2억법인사업자</v>
      </c>
      <c r="F19" s="314">
        <v>675000</v>
      </c>
      <c r="G19" s="227">
        <f t="shared" si="1"/>
        <v>676000</v>
      </c>
      <c r="H19" s="227" t="s">
        <v>2083</v>
      </c>
      <c r="I19" s="227" t="s">
        <v>2104</v>
      </c>
    </row>
    <row r="20" spans="1:9">
      <c r="A20" t="s">
        <v>118</v>
      </c>
      <c r="B20" t="s">
        <v>1391</v>
      </c>
      <c r="C20" s="41" t="s">
        <v>100</v>
      </c>
      <c r="D20" s="293" t="s">
        <v>1397</v>
      </c>
      <c r="E20" t="str">
        <f t="shared" ref="E20:E31" si="2">+A20&amp;B20&amp;C20&amp;D20</f>
        <v>다인승만26세이상1억법인사업자특약</v>
      </c>
      <c r="F20" s="314">
        <v>606000</v>
      </c>
      <c r="G20" s="291">
        <f t="shared" si="1"/>
        <v>607000</v>
      </c>
      <c r="H20" s="291" t="s">
        <v>2083</v>
      </c>
    </row>
    <row r="21" spans="1:9">
      <c r="A21" t="s">
        <v>118</v>
      </c>
      <c r="B21" t="s">
        <v>1391</v>
      </c>
      <c r="C21" s="294" t="s">
        <v>1389</v>
      </c>
      <c r="D21" s="293" t="s">
        <v>1397</v>
      </c>
      <c r="E21" t="str">
        <f t="shared" si="2"/>
        <v>다인승만26세이상2억법인사업자특약</v>
      </c>
      <c r="F21" s="314">
        <v>618000</v>
      </c>
      <c r="G21" s="291">
        <f t="shared" si="1"/>
        <v>619000</v>
      </c>
      <c r="H21" s="291" t="s">
        <v>2083</v>
      </c>
    </row>
    <row r="22" spans="1:9">
      <c r="A22" t="s">
        <v>117</v>
      </c>
      <c r="B22" t="s">
        <v>1391</v>
      </c>
      <c r="C22" s="41" t="s">
        <v>100</v>
      </c>
      <c r="D22" s="293" t="s">
        <v>1397</v>
      </c>
      <c r="E22" t="str">
        <f t="shared" si="2"/>
        <v>승용만26세이상1억법인사업자특약</v>
      </c>
      <c r="F22" s="314">
        <v>610000</v>
      </c>
      <c r="G22" s="291">
        <f t="shared" si="1"/>
        <v>611000</v>
      </c>
      <c r="H22" s="291" t="s">
        <v>2083</v>
      </c>
    </row>
    <row r="23" spans="1:9">
      <c r="A23" t="s">
        <v>117</v>
      </c>
      <c r="B23" t="s">
        <v>1391</v>
      </c>
      <c r="C23" s="294" t="s">
        <v>1389</v>
      </c>
      <c r="D23" s="293" t="s">
        <v>1397</v>
      </c>
      <c r="E23" t="str">
        <f t="shared" si="2"/>
        <v>승용만26세이상2억법인사업자특약</v>
      </c>
      <c r="F23" s="314">
        <v>620000</v>
      </c>
      <c r="G23" s="291">
        <f t="shared" si="1"/>
        <v>621000</v>
      </c>
      <c r="H23" s="291" t="s">
        <v>2083</v>
      </c>
    </row>
    <row r="24" spans="1:9">
      <c r="A24" t="s">
        <v>1875</v>
      </c>
      <c r="B24" t="s">
        <v>1657</v>
      </c>
      <c r="C24" t="s">
        <v>100</v>
      </c>
      <c r="D24" t="s">
        <v>1397</v>
      </c>
      <c r="E24" t="str">
        <f t="shared" si="2"/>
        <v>승합만26세이상1억법인사업자특약</v>
      </c>
      <c r="F24" s="314">
        <v>659000</v>
      </c>
      <c r="G24" s="291">
        <f t="shared" si="1"/>
        <v>660000</v>
      </c>
      <c r="H24" s="291" t="s">
        <v>2083</v>
      </c>
    </row>
    <row r="25" spans="1:9">
      <c r="A25" t="s">
        <v>1875</v>
      </c>
      <c r="B25" t="s">
        <v>1657</v>
      </c>
      <c r="C25" t="s">
        <v>1389</v>
      </c>
      <c r="D25" t="s">
        <v>1397</v>
      </c>
      <c r="E25" t="str">
        <f t="shared" si="2"/>
        <v>승합만26세이상2억법인사업자특약</v>
      </c>
      <c r="F25" s="314">
        <v>670000</v>
      </c>
      <c r="G25" s="291">
        <f t="shared" si="1"/>
        <v>671000</v>
      </c>
      <c r="H25" s="291" t="s">
        <v>2083</v>
      </c>
    </row>
    <row r="26" spans="1:9">
      <c r="A26" t="s">
        <v>1814</v>
      </c>
      <c r="B26" s="76" t="s">
        <v>1657</v>
      </c>
      <c r="C26" s="76" t="s">
        <v>100</v>
      </c>
      <c r="D26" s="76" t="s">
        <v>2140</v>
      </c>
      <c r="E26" s="76" t="str">
        <f t="shared" si="2"/>
        <v>다인승만26세이상1억개인사업자특약</v>
      </c>
      <c r="F26" s="315">
        <v>651000</v>
      </c>
      <c r="G26" s="295">
        <f t="shared" si="1"/>
        <v>652000</v>
      </c>
      <c r="H26" s="295" t="s">
        <v>2083</v>
      </c>
    </row>
    <row r="27" spans="1:9">
      <c r="A27" s="76" t="s">
        <v>1814</v>
      </c>
      <c r="B27" s="76" t="s">
        <v>1657</v>
      </c>
      <c r="C27" s="76" t="s">
        <v>1389</v>
      </c>
      <c r="D27" s="76" t="s">
        <v>2140</v>
      </c>
      <c r="E27" s="76" t="str">
        <f t="shared" si="2"/>
        <v>다인승만26세이상2억개인사업자특약</v>
      </c>
      <c r="F27" s="315">
        <v>664000</v>
      </c>
      <c r="G27" s="295">
        <f t="shared" si="1"/>
        <v>665000</v>
      </c>
      <c r="H27" s="295" t="s">
        <v>2083</v>
      </c>
    </row>
    <row r="28" spans="1:9">
      <c r="A28" t="s">
        <v>117</v>
      </c>
      <c r="B28" t="s">
        <v>1391</v>
      </c>
      <c r="C28" s="41" t="s">
        <v>100</v>
      </c>
      <c r="D28" t="s">
        <v>2140</v>
      </c>
      <c r="E28" t="str">
        <f t="shared" si="2"/>
        <v>승용만26세이상1억개인사업자특약</v>
      </c>
      <c r="F28" s="314">
        <v>654000</v>
      </c>
      <c r="G28" s="291">
        <f t="shared" si="1"/>
        <v>655000</v>
      </c>
      <c r="H28" s="291" t="s">
        <v>2083</v>
      </c>
    </row>
    <row r="29" spans="1:9">
      <c r="A29" t="s">
        <v>117</v>
      </c>
      <c r="B29" t="s">
        <v>1391</v>
      </c>
      <c r="C29" s="294" t="s">
        <v>1389</v>
      </c>
      <c r="D29" t="s">
        <v>2140</v>
      </c>
      <c r="E29" t="str">
        <f t="shared" si="2"/>
        <v>승용만26세이상2억개인사업자특약</v>
      </c>
      <c r="F29" s="314">
        <v>666000</v>
      </c>
      <c r="G29" s="291">
        <f t="shared" si="1"/>
        <v>667000</v>
      </c>
      <c r="H29" s="291" t="s">
        <v>2083</v>
      </c>
    </row>
    <row r="30" spans="1:9">
      <c r="A30" t="s">
        <v>1875</v>
      </c>
      <c r="B30" t="s">
        <v>1657</v>
      </c>
      <c r="C30" t="s">
        <v>100</v>
      </c>
      <c r="D30" t="s">
        <v>2140</v>
      </c>
      <c r="E30" t="str">
        <f t="shared" si="2"/>
        <v>승합만26세이상1억개인사업자특약</v>
      </c>
      <c r="F30" s="314">
        <v>708000</v>
      </c>
      <c r="G30" s="291">
        <f t="shared" si="1"/>
        <v>709000</v>
      </c>
      <c r="H30" s="291" t="s">
        <v>2083</v>
      </c>
    </row>
    <row r="31" spans="1:9">
      <c r="A31" t="s">
        <v>1875</v>
      </c>
      <c r="B31" t="s">
        <v>1657</v>
      </c>
      <c r="C31" t="s">
        <v>1389</v>
      </c>
      <c r="D31" t="s">
        <v>2140</v>
      </c>
      <c r="E31" t="str">
        <f t="shared" si="2"/>
        <v>승합만26세이상2억개인사업자특약</v>
      </c>
      <c r="F31" s="314">
        <v>719000</v>
      </c>
      <c r="G31" s="291">
        <f t="shared" si="1"/>
        <v>720000</v>
      </c>
      <c r="H31" s="291" t="s">
        <v>2083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8"/>
  <dimension ref="A1:N619"/>
  <sheetViews>
    <sheetView zoomScale="80" zoomScaleNormal="80" workbookViewId="0">
      <selection activeCell="H41" sqref="H41"/>
    </sheetView>
  </sheetViews>
  <sheetFormatPr defaultRowHeight="16.5"/>
  <cols>
    <col min="1" max="5" width="13.875" style="34" customWidth="1"/>
    <col min="6" max="6" width="16.5" style="238" customWidth="1"/>
    <col min="7" max="7" width="10.5" bestFit="1" customWidth="1"/>
    <col min="8" max="8" width="11.25" bestFit="1" customWidth="1"/>
    <col min="9" max="9" width="19.25" style="76" bestFit="1" customWidth="1"/>
    <col min="10" max="10" width="41.5" style="76" bestFit="1" customWidth="1"/>
    <col min="11" max="11" width="56.25" style="36" bestFit="1" customWidth="1"/>
    <col min="12" max="14" width="12.125" style="76" customWidth="1"/>
  </cols>
  <sheetData>
    <row r="1" spans="1:14" ht="17.25" customHeight="1">
      <c r="A1" s="70" t="s">
        <v>4</v>
      </c>
      <c r="B1" s="70" t="s">
        <v>72</v>
      </c>
      <c r="C1" s="70" t="s">
        <v>1387</v>
      </c>
      <c r="D1" s="70" t="s">
        <v>1435</v>
      </c>
      <c r="E1" s="70" t="s">
        <v>16</v>
      </c>
      <c r="F1" s="698" t="s">
        <v>3380</v>
      </c>
      <c r="H1" s="296" t="s">
        <v>2167</v>
      </c>
      <c r="I1" s="70" t="s">
        <v>2171</v>
      </c>
      <c r="J1" s="70" t="s">
        <v>1373</v>
      </c>
      <c r="K1" s="70" t="s">
        <v>1447</v>
      </c>
      <c r="L1" s="70" t="s">
        <v>1420</v>
      </c>
      <c r="M1" s="70" t="s">
        <v>1421</v>
      </c>
      <c r="N1" s="70" t="s">
        <v>30</v>
      </c>
    </row>
    <row r="2" spans="1:14">
      <c r="A2" s="80" t="s">
        <v>1419</v>
      </c>
      <c r="B2" s="80" t="s">
        <v>73</v>
      </c>
      <c r="C2" s="77" t="s">
        <v>3381</v>
      </c>
      <c r="D2" s="77" t="s">
        <v>3382</v>
      </c>
      <c r="E2" s="77" t="s">
        <v>1</v>
      </c>
      <c r="F2" s="669">
        <v>550000</v>
      </c>
      <c r="H2" s="80" t="s">
        <v>1431</v>
      </c>
      <c r="I2" s="77" t="s">
        <v>1441</v>
      </c>
      <c r="J2" s="77" t="s">
        <v>2178</v>
      </c>
      <c r="K2" s="77" t="str">
        <f>+H2&amp;J2</f>
        <v>평택없음</v>
      </c>
      <c r="L2" s="78">
        <v>0</v>
      </c>
      <c r="M2" s="78">
        <v>0</v>
      </c>
      <c r="N2" s="78">
        <v>0</v>
      </c>
    </row>
    <row r="3" spans="1:14" ht="16.5" customHeight="1">
      <c r="A3" s="80" t="s">
        <v>1419</v>
      </c>
      <c r="B3" s="80" t="s">
        <v>73</v>
      </c>
      <c r="C3" s="77" t="s">
        <v>3381</v>
      </c>
      <c r="D3" s="77" t="s">
        <v>3382</v>
      </c>
      <c r="E3" s="77" t="s">
        <v>2174</v>
      </c>
      <c r="F3" s="669">
        <v>55000</v>
      </c>
      <c r="H3" s="80" t="s">
        <v>2164</v>
      </c>
      <c r="I3" s="77" t="s">
        <v>1441</v>
      </c>
      <c r="J3" s="77" t="s">
        <v>1442</v>
      </c>
      <c r="K3" s="77" t="str">
        <f>+H3&amp;J3</f>
        <v>평택루마-GG</v>
      </c>
      <c r="L3" s="78">
        <v>99999.999999999985</v>
      </c>
      <c r="M3" s="78">
        <v>10000</v>
      </c>
      <c r="N3" s="78">
        <v>110000</v>
      </c>
    </row>
    <row r="4" spans="1:14">
      <c r="A4" s="80" t="s">
        <v>1419</v>
      </c>
      <c r="B4" s="80" t="s">
        <v>73</v>
      </c>
      <c r="C4" s="77" t="s">
        <v>3381</v>
      </c>
      <c r="D4" s="77" t="s">
        <v>3382</v>
      </c>
      <c r="E4" s="77" t="s">
        <v>1734</v>
      </c>
      <c r="F4" s="669">
        <v>605000</v>
      </c>
      <c r="H4" s="80" t="s">
        <v>2164</v>
      </c>
      <c r="I4" s="77" t="s">
        <v>1441</v>
      </c>
      <c r="J4" s="77" t="s">
        <v>1443</v>
      </c>
      <c r="K4" s="77" t="str">
        <f>+H4&amp;J4</f>
        <v>평택루마-SUPER</v>
      </c>
      <c r="L4" s="78">
        <v>150000</v>
      </c>
      <c r="M4" s="78">
        <v>15000</v>
      </c>
      <c r="N4" s="78">
        <v>165000</v>
      </c>
    </row>
    <row r="5" spans="1:14">
      <c r="A5" s="80" t="s">
        <v>1419</v>
      </c>
      <c r="B5" s="80" t="s">
        <v>73</v>
      </c>
      <c r="C5" s="77" t="s">
        <v>1942</v>
      </c>
      <c r="D5" s="77" t="s">
        <v>3382</v>
      </c>
      <c r="E5" s="77" t="s">
        <v>1</v>
      </c>
      <c r="F5" s="669">
        <v>467000</v>
      </c>
      <c r="H5" s="34"/>
      <c r="I5" s="36"/>
      <c r="J5" s="36"/>
      <c r="L5" s="36"/>
      <c r="M5" s="36"/>
      <c r="N5" s="36"/>
    </row>
    <row r="6" spans="1:14">
      <c r="A6" s="80" t="s">
        <v>1419</v>
      </c>
      <c r="B6" s="80" t="s">
        <v>73</v>
      </c>
      <c r="C6" s="77" t="s">
        <v>1942</v>
      </c>
      <c r="D6" s="77" t="s">
        <v>3382</v>
      </c>
      <c r="E6" s="77" t="s">
        <v>2174</v>
      </c>
      <c r="F6" s="669">
        <v>46700</v>
      </c>
      <c r="H6" s="80" t="s">
        <v>2164</v>
      </c>
      <c r="I6" s="80" t="s">
        <v>1448</v>
      </c>
      <c r="J6" s="80" t="s">
        <v>1445</v>
      </c>
      <c r="K6" s="77" t="str">
        <f>+H6&amp;J6</f>
        <v>평택3M-XP</v>
      </c>
      <c r="L6" s="81">
        <v>59091</v>
      </c>
      <c r="M6" s="81">
        <v>5909</v>
      </c>
      <c r="N6" s="82">
        <v>65000</v>
      </c>
    </row>
    <row r="7" spans="1:14">
      <c r="A7" s="80" t="s">
        <v>1419</v>
      </c>
      <c r="B7" s="80" t="s">
        <v>73</v>
      </c>
      <c r="C7" s="77" t="s">
        <v>1942</v>
      </c>
      <c r="D7" s="77" t="s">
        <v>3382</v>
      </c>
      <c r="E7" s="77" t="s">
        <v>1734</v>
      </c>
      <c r="F7" s="669">
        <v>513700</v>
      </c>
      <c r="H7" s="80" t="s">
        <v>2164</v>
      </c>
      <c r="I7" s="80" t="s">
        <v>1448</v>
      </c>
      <c r="J7" s="80" t="s">
        <v>2132</v>
      </c>
      <c r="K7" s="77" t="str">
        <f>+H7&amp;J7</f>
        <v>평택루마-GG</v>
      </c>
      <c r="L7" s="81">
        <v>59091</v>
      </c>
      <c r="M7" s="81">
        <v>5909</v>
      </c>
      <c r="N7" s="82">
        <v>65000</v>
      </c>
    </row>
    <row r="8" spans="1:14">
      <c r="A8" s="80" t="s">
        <v>1419</v>
      </c>
      <c r="B8" s="80" t="s">
        <v>74</v>
      </c>
      <c r="C8" s="77" t="s">
        <v>1817</v>
      </c>
      <c r="D8" s="77" t="s">
        <v>3382</v>
      </c>
      <c r="E8" s="77" t="s">
        <v>1</v>
      </c>
      <c r="F8" s="669">
        <v>545000</v>
      </c>
      <c r="H8" s="80" t="s">
        <v>2164</v>
      </c>
      <c r="I8" s="285" t="s">
        <v>1448</v>
      </c>
      <c r="J8" s="285" t="s">
        <v>1446</v>
      </c>
      <c r="K8" s="77" t="str">
        <f>+H8&amp;J8</f>
        <v>평택3M-DK</v>
      </c>
      <c r="L8" s="286">
        <v>100000</v>
      </c>
      <c r="M8" s="286">
        <v>10000</v>
      </c>
      <c r="N8" s="287">
        <v>110000</v>
      </c>
    </row>
    <row r="9" spans="1:14">
      <c r="A9" s="80" t="s">
        <v>1419</v>
      </c>
      <c r="B9" s="80" t="s">
        <v>74</v>
      </c>
      <c r="C9" s="77" t="s">
        <v>1817</v>
      </c>
      <c r="D9" s="77" t="s">
        <v>3382</v>
      </c>
      <c r="E9" s="77" t="s">
        <v>2174</v>
      </c>
      <c r="F9" s="669">
        <v>54500</v>
      </c>
      <c r="H9" s="80" t="s">
        <v>2164</v>
      </c>
      <c r="I9" s="285" t="s">
        <v>1448</v>
      </c>
      <c r="J9" s="285" t="s">
        <v>1443</v>
      </c>
      <c r="K9" s="77" t="str">
        <f>+H9&amp;J9</f>
        <v>평택루마-SUPER</v>
      </c>
      <c r="L9" s="286">
        <v>100000</v>
      </c>
      <c r="M9" s="286">
        <v>10000</v>
      </c>
      <c r="N9" s="287">
        <v>110000</v>
      </c>
    </row>
    <row r="10" spans="1:14">
      <c r="A10" s="80" t="s">
        <v>1419</v>
      </c>
      <c r="B10" s="80" t="s">
        <v>74</v>
      </c>
      <c r="C10" s="77" t="s">
        <v>1817</v>
      </c>
      <c r="D10" s="77" t="s">
        <v>3382</v>
      </c>
      <c r="E10" s="77" t="s">
        <v>1734</v>
      </c>
      <c r="F10" s="669">
        <v>599500</v>
      </c>
      <c r="H10" s="80" t="s">
        <v>2164</v>
      </c>
      <c r="I10" s="285" t="s">
        <v>1448</v>
      </c>
      <c r="J10" s="285" t="s">
        <v>1444</v>
      </c>
      <c r="K10" s="77" t="str">
        <f>+H10&amp;J10</f>
        <v>평택루마-피너클</v>
      </c>
      <c r="L10" s="286">
        <v>200000</v>
      </c>
      <c r="M10" s="286">
        <v>20000</v>
      </c>
      <c r="N10" s="287">
        <v>220000</v>
      </c>
    </row>
    <row r="11" spans="1:14">
      <c r="A11" s="80" t="s">
        <v>1419</v>
      </c>
      <c r="B11" s="80" t="s">
        <v>74</v>
      </c>
      <c r="C11" s="77" t="s">
        <v>1745</v>
      </c>
      <c r="D11" s="77" t="s">
        <v>3382</v>
      </c>
      <c r="E11" s="77" t="s">
        <v>1</v>
      </c>
      <c r="F11" s="669">
        <v>467000</v>
      </c>
      <c r="H11" s="34"/>
      <c r="I11" s="36"/>
      <c r="J11" s="36"/>
      <c r="L11" s="36"/>
      <c r="M11" s="36"/>
      <c r="N11" s="36"/>
    </row>
    <row r="12" spans="1:14">
      <c r="A12" s="80" t="s">
        <v>1419</v>
      </c>
      <c r="B12" s="80" t="s">
        <v>74</v>
      </c>
      <c r="C12" s="77" t="s">
        <v>1745</v>
      </c>
      <c r="D12" s="77" t="s">
        <v>3382</v>
      </c>
      <c r="E12" s="77" t="s">
        <v>2174</v>
      </c>
      <c r="F12" s="669">
        <v>46700</v>
      </c>
      <c r="H12" s="34"/>
      <c r="I12" s="36"/>
      <c r="J12" s="36"/>
      <c r="L12" s="36"/>
      <c r="M12" s="36"/>
      <c r="N12" s="36"/>
    </row>
    <row r="13" spans="1:14">
      <c r="A13" s="80" t="s">
        <v>1419</v>
      </c>
      <c r="B13" s="80" t="s">
        <v>74</v>
      </c>
      <c r="C13" s="77" t="s">
        <v>1745</v>
      </c>
      <c r="D13" s="77" t="s">
        <v>3382</v>
      </c>
      <c r="E13" s="77" t="s">
        <v>1734</v>
      </c>
      <c r="F13" s="669">
        <v>513700</v>
      </c>
      <c r="H13" s="80" t="s">
        <v>1431</v>
      </c>
      <c r="I13" s="77" t="s">
        <v>23</v>
      </c>
      <c r="J13" s="77" t="s">
        <v>1553</v>
      </c>
      <c r="K13" s="77" t="str">
        <f>+H13&amp;J13</f>
        <v>평택없음</v>
      </c>
      <c r="L13" s="104">
        <v>0</v>
      </c>
      <c r="M13" s="104">
        <v>0</v>
      </c>
      <c r="N13" s="106">
        <v>0</v>
      </c>
    </row>
    <row r="14" spans="1:14">
      <c r="A14" s="80" t="s">
        <v>1419</v>
      </c>
      <c r="B14" s="80" t="s">
        <v>74</v>
      </c>
      <c r="C14" s="77" t="s">
        <v>3383</v>
      </c>
      <c r="D14" s="77" t="s">
        <v>3382</v>
      </c>
      <c r="E14" s="77" t="s">
        <v>1</v>
      </c>
      <c r="F14" s="669">
        <v>467000</v>
      </c>
      <c r="H14" s="80" t="s">
        <v>2164</v>
      </c>
      <c r="I14" s="77" t="s">
        <v>23</v>
      </c>
      <c r="J14" s="77" t="s">
        <v>2141</v>
      </c>
      <c r="K14" s="77" t="str">
        <f t="shared" ref="K14:K21" si="0">+H14&amp;J14</f>
        <v>평택아이로드 NX7-16G</v>
      </c>
      <c r="L14" s="104">
        <v>150000</v>
      </c>
      <c r="M14" s="104">
        <v>15000</v>
      </c>
      <c r="N14" s="106">
        <v>165000</v>
      </c>
    </row>
    <row r="15" spans="1:14">
      <c r="A15" s="80" t="s">
        <v>1419</v>
      </c>
      <c r="B15" s="80" t="s">
        <v>74</v>
      </c>
      <c r="C15" s="77" t="s">
        <v>3383</v>
      </c>
      <c r="D15" s="77" t="s">
        <v>3382</v>
      </c>
      <c r="E15" s="77" t="s">
        <v>2174</v>
      </c>
      <c r="F15" s="669">
        <v>46700</v>
      </c>
      <c r="H15" s="80" t="s">
        <v>2164</v>
      </c>
      <c r="I15" s="77" t="s">
        <v>1540</v>
      </c>
      <c r="J15" s="77" t="s">
        <v>2142</v>
      </c>
      <c r="K15" s="77" t="str">
        <f t="shared" si="0"/>
        <v>평택아이로드 NX7-32G</v>
      </c>
      <c r="L15" s="104">
        <v>180000</v>
      </c>
      <c r="M15" s="104">
        <v>18000</v>
      </c>
      <c r="N15" s="106">
        <v>198000</v>
      </c>
    </row>
    <row r="16" spans="1:14">
      <c r="A16" s="80" t="s">
        <v>1419</v>
      </c>
      <c r="B16" s="80" t="s">
        <v>74</v>
      </c>
      <c r="C16" s="77" t="s">
        <v>3383</v>
      </c>
      <c r="D16" s="77" t="s">
        <v>3382</v>
      </c>
      <c r="E16" s="77" t="s">
        <v>1734</v>
      </c>
      <c r="F16" s="669">
        <v>513700</v>
      </c>
      <c r="H16" s="80" t="s">
        <v>2164</v>
      </c>
      <c r="I16" s="77" t="s">
        <v>1540</v>
      </c>
      <c r="J16" s="77" t="s">
        <v>2143</v>
      </c>
      <c r="K16" s="77" t="str">
        <f t="shared" si="0"/>
        <v>평택아이로드 NX10-32G</v>
      </c>
      <c r="L16" s="104">
        <v>199999.99999999997</v>
      </c>
      <c r="M16" s="104">
        <v>20000</v>
      </c>
      <c r="N16" s="106">
        <v>220000</v>
      </c>
    </row>
    <row r="17" spans="1:14">
      <c r="A17" s="80" t="s">
        <v>1419</v>
      </c>
      <c r="B17" s="80" t="s">
        <v>74</v>
      </c>
      <c r="C17" s="77" t="s">
        <v>1783</v>
      </c>
      <c r="D17" s="77" t="s">
        <v>3382</v>
      </c>
      <c r="E17" s="77" t="s">
        <v>1</v>
      </c>
      <c r="F17" s="669">
        <v>467000</v>
      </c>
      <c r="H17" s="80" t="s">
        <v>2164</v>
      </c>
      <c r="I17" s="77" t="s">
        <v>1540</v>
      </c>
      <c r="J17" s="105" t="s">
        <v>1541</v>
      </c>
      <c r="K17" s="77" t="str">
        <f t="shared" si="0"/>
        <v>평택파인드라이브-LX700-16G</v>
      </c>
      <c r="L17" s="104">
        <v>199999.99999999997</v>
      </c>
      <c r="M17" s="104">
        <v>20000</v>
      </c>
      <c r="N17" s="106">
        <v>220000</v>
      </c>
    </row>
    <row r="18" spans="1:14">
      <c r="A18" s="80" t="s">
        <v>1419</v>
      </c>
      <c r="B18" s="80" t="s">
        <v>74</v>
      </c>
      <c r="C18" s="77" t="s">
        <v>1783</v>
      </c>
      <c r="D18" s="77" t="s">
        <v>3382</v>
      </c>
      <c r="E18" s="77" t="s">
        <v>2174</v>
      </c>
      <c r="F18" s="669">
        <v>46700</v>
      </c>
      <c r="H18" s="80" t="s">
        <v>2164</v>
      </c>
      <c r="I18" s="77" t="s">
        <v>1540</v>
      </c>
      <c r="J18" s="105" t="s">
        <v>1542</v>
      </c>
      <c r="K18" s="77" t="str">
        <f t="shared" si="0"/>
        <v>평택파인드라이브-LX700-32G</v>
      </c>
      <c r="L18" s="104">
        <v>229999.99999999997</v>
      </c>
      <c r="M18" s="104">
        <v>23000</v>
      </c>
      <c r="N18" s="106">
        <v>253000</v>
      </c>
    </row>
    <row r="19" spans="1:14">
      <c r="A19" s="80" t="s">
        <v>1419</v>
      </c>
      <c r="B19" s="80" t="s">
        <v>74</v>
      </c>
      <c r="C19" s="77" t="s">
        <v>1783</v>
      </c>
      <c r="D19" s="77" t="s">
        <v>3382</v>
      </c>
      <c r="E19" s="77" t="s">
        <v>1734</v>
      </c>
      <c r="F19" s="669">
        <v>513700</v>
      </c>
      <c r="H19" s="80" t="s">
        <v>2164</v>
      </c>
      <c r="I19" s="77" t="s">
        <v>1540</v>
      </c>
      <c r="J19" s="107" t="s">
        <v>1543</v>
      </c>
      <c r="K19" s="77" t="str">
        <f t="shared" si="0"/>
        <v>평택아이나비-A300-16G</v>
      </c>
      <c r="L19" s="108">
        <v>218182</v>
      </c>
      <c r="M19" s="108">
        <v>21818</v>
      </c>
      <c r="N19" s="106">
        <v>240000</v>
      </c>
    </row>
    <row r="20" spans="1:14">
      <c r="A20" s="80" t="s">
        <v>1419</v>
      </c>
      <c r="B20" s="80" t="s">
        <v>74</v>
      </c>
      <c r="C20" s="77" t="s">
        <v>1812</v>
      </c>
      <c r="D20" s="77" t="s">
        <v>3382</v>
      </c>
      <c r="E20" s="77" t="s">
        <v>1</v>
      </c>
      <c r="F20" s="669">
        <v>480000</v>
      </c>
      <c r="H20" s="80" t="s">
        <v>2164</v>
      </c>
      <c r="I20" s="77" t="s">
        <v>1540</v>
      </c>
      <c r="J20" s="107" t="s">
        <v>1544</v>
      </c>
      <c r="K20" s="77" t="str">
        <f t="shared" si="0"/>
        <v>평택아이나비-A300-32G</v>
      </c>
      <c r="L20" s="104">
        <v>248181.81818181815</v>
      </c>
      <c r="M20" s="104">
        <v>24818.181818181816</v>
      </c>
      <c r="N20" s="106">
        <v>273000</v>
      </c>
    </row>
    <row r="21" spans="1:14">
      <c r="A21" s="80" t="s">
        <v>1419</v>
      </c>
      <c r="B21" s="80" t="s">
        <v>74</v>
      </c>
      <c r="C21" s="77" t="s">
        <v>1812</v>
      </c>
      <c r="D21" s="77" t="s">
        <v>3382</v>
      </c>
      <c r="E21" s="77" t="s">
        <v>2174</v>
      </c>
      <c r="F21" s="669">
        <v>48000</v>
      </c>
      <c r="H21" s="80" t="s">
        <v>2164</v>
      </c>
      <c r="I21" s="77" t="s">
        <v>1540</v>
      </c>
      <c r="J21" s="105" t="s">
        <v>1545</v>
      </c>
      <c r="K21" s="77" t="str">
        <f t="shared" si="0"/>
        <v>평택아이나비-QXD5000-32G</v>
      </c>
      <c r="L21" s="104">
        <v>330000</v>
      </c>
      <c r="M21" s="104">
        <v>33000</v>
      </c>
      <c r="N21" s="106">
        <v>363000</v>
      </c>
    </row>
    <row r="22" spans="1:14">
      <c r="A22" s="80" t="s">
        <v>1419</v>
      </c>
      <c r="B22" s="80" t="s">
        <v>74</v>
      </c>
      <c r="C22" s="77" t="s">
        <v>1812</v>
      </c>
      <c r="D22" s="77" t="s">
        <v>3382</v>
      </c>
      <c r="E22" s="77" t="s">
        <v>1734</v>
      </c>
      <c r="F22" s="669">
        <v>528000</v>
      </c>
      <c r="H22" s="34"/>
      <c r="I22" s="34"/>
      <c r="J22" s="34"/>
      <c r="K22" s="34"/>
      <c r="L22" s="34"/>
      <c r="M22" s="34"/>
      <c r="N22" s="34"/>
    </row>
    <row r="23" spans="1:14">
      <c r="A23" s="80" t="s">
        <v>1419</v>
      </c>
      <c r="B23" s="80" t="s">
        <v>1428</v>
      </c>
      <c r="C23" s="77" t="s">
        <v>2901</v>
      </c>
      <c r="D23" s="77" t="s">
        <v>3382</v>
      </c>
      <c r="E23" s="77" t="s">
        <v>1</v>
      </c>
      <c r="F23" s="669">
        <v>550000</v>
      </c>
      <c r="H23" s="80" t="s">
        <v>2164</v>
      </c>
      <c r="I23" s="77" t="s">
        <v>1546</v>
      </c>
      <c r="J23" s="77" t="s">
        <v>1548</v>
      </c>
      <c r="K23" s="77" t="str">
        <f>+H23&amp;J23</f>
        <v>평택아이나비-파로스
SN830-800*480</v>
      </c>
      <c r="L23" s="104">
        <v>199999.99999999997</v>
      </c>
      <c r="M23" s="104">
        <v>20000</v>
      </c>
      <c r="N23" s="106">
        <v>220000</v>
      </c>
    </row>
    <row r="24" spans="1:14">
      <c r="A24" s="80" t="s">
        <v>1419</v>
      </c>
      <c r="B24" s="80" t="s">
        <v>1428</v>
      </c>
      <c r="C24" s="77" t="s">
        <v>2901</v>
      </c>
      <c r="D24" s="77" t="s">
        <v>3382</v>
      </c>
      <c r="E24" s="77" t="s">
        <v>2174</v>
      </c>
      <c r="F24" s="669">
        <v>55000</v>
      </c>
      <c r="H24" s="80" t="s">
        <v>2164</v>
      </c>
      <c r="I24" s="77" t="s">
        <v>1547</v>
      </c>
      <c r="J24" s="77" t="s">
        <v>1549</v>
      </c>
      <c r="K24" s="77" t="str">
        <f>+H24&amp;J24</f>
        <v>평택파인드라이브-몬스터 8-HD DMB
1280*720</v>
      </c>
      <c r="L24" s="104">
        <v>290909</v>
      </c>
      <c r="M24" s="104">
        <v>29091</v>
      </c>
      <c r="N24" s="106">
        <v>320000</v>
      </c>
    </row>
    <row r="25" spans="1:14">
      <c r="A25" s="80" t="s">
        <v>1419</v>
      </c>
      <c r="B25" s="80" t="s">
        <v>1428</v>
      </c>
      <c r="C25" s="77" t="s">
        <v>2901</v>
      </c>
      <c r="D25" s="77" t="s">
        <v>3382</v>
      </c>
      <c r="E25" s="77" t="s">
        <v>1734</v>
      </c>
      <c r="F25" s="669">
        <v>605000</v>
      </c>
    </row>
    <row r="26" spans="1:14">
      <c r="A26" s="80" t="s">
        <v>1419</v>
      </c>
      <c r="B26" s="80" t="s">
        <v>1430</v>
      </c>
      <c r="C26" s="77" t="s">
        <v>2900</v>
      </c>
      <c r="D26" s="77" t="s">
        <v>3382</v>
      </c>
      <c r="E26" s="77" t="s">
        <v>1</v>
      </c>
      <c r="F26" s="669">
        <v>465000</v>
      </c>
      <c r="H26" s="332" t="s">
        <v>2165</v>
      </c>
      <c r="I26" s="332" t="s">
        <v>1441</v>
      </c>
      <c r="J26" s="332" t="s">
        <v>3527</v>
      </c>
      <c r="K26" s="332" t="str">
        <f>+H26&amp;J26</f>
        <v>용인루마-GG(선출고K8전용)</v>
      </c>
      <c r="L26" s="723">
        <v>0</v>
      </c>
      <c r="M26" s="723">
        <v>0</v>
      </c>
      <c r="N26" s="723">
        <v>0</v>
      </c>
    </row>
    <row r="27" spans="1:14">
      <c r="A27" s="80" t="s">
        <v>1419</v>
      </c>
      <c r="B27" s="80" t="s">
        <v>1430</v>
      </c>
      <c r="C27" s="77" t="s">
        <v>2900</v>
      </c>
      <c r="D27" s="77" t="s">
        <v>3382</v>
      </c>
      <c r="E27" s="77" t="s">
        <v>2174</v>
      </c>
      <c r="F27" s="669">
        <v>46500</v>
      </c>
      <c r="H27" s="80" t="s">
        <v>2165</v>
      </c>
      <c r="I27" s="128" t="s">
        <v>1441</v>
      </c>
      <c r="J27" s="128" t="s">
        <v>2178</v>
      </c>
      <c r="K27" s="77" t="str">
        <f>+H27&amp;J27</f>
        <v>용인없음</v>
      </c>
      <c r="L27" s="78">
        <v>0</v>
      </c>
      <c r="M27" s="78">
        <v>0</v>
      </c>
      <c r="N27" s="78">
        <v>0</v>
      </c>
    </row>
    <row r="28" spans="1:14">
      <c r="A28" s="80" t="s">
        <v>1419</v>
      </c>
      <c r="B28" s="80" t="s">
        <v>1430</v>
      </c>
      <c r="C28" s="77" t="s">
        <v>2900</v>
      </c>
      <c r="D28" s="77" t="s">
        <v>3382</v>
      </c>
      <c r="E28" s="77" t="s">
        <v>1734</v>
      </c>
      <c r="F28" s="669">
        <v>429000</v>
      </c>
      <c r="H28" s="80" t="s">
        <v>2165</v>
      </c>
      <c r="I28" s="128" t="s">
        <v>1441</v>
      </c>
      <c r="J28" s="128" t="s">
        <v>1554</v>
      </c>
      <c r="K28" s="77" t="str">
        <f t="shared" ref="K28:K31" si="1">+H28&amp;J28</f>
        <v>용인루마-GG</v>
      </c>
      <c r="L28" s="474">
        <v>81818</v>
      </c>
      <c r="M28" s="474">
        <f>+N28-L28</f>
        <v>8182</v>
      </c>
      <c r="N28" s="474">
        <v>90000</v>
      </c>
    </row>
    <row r="29" spans="1:14">
      <c r="A29" s="80" t="s">
        <v>1419</v>
      </c>
      <c r="B29" s="80" t="s">
        <v>1432</v>
      </c>
      <c r="C29" s="77" t="s">
        <v>2902</v>
      </c>
      <c r="D29" s="77" t="s">
        <v>3382</v>
      </c>
      <c r="E29" s="77" t="s">
        <v>1</v>
      </c>
      <c r="F29" s="669">
        <v>550000</v>
      </c>
      <c r="H29" s="80" t="s">
        <v>2165</v>
      </c>
      <c r="I29" s="128" t="s">
        <v>1441</v>
      </c>
      <c r="J29" s="77" t="s">
        <v>3375</v>
      </c>
      <c r="K29" s="77" t="str">
        <f t="shared" si="1"/>
        <v>용인버텍스300</v>
      </c>
      <c r="L29" s="78">
        <v>110000</v>
      </c>
      <c r="M29" s="78">
        <f>+N29-L29</f>
        <v>11000</v>
      </c>
      <c r="N29" s="78">
        <v>121000</v>
      </c>
    </row>
    <row r="30" spans="1:14">
      <c r="A30" s="80" t="s">
        <v>1419</v>
      </c>
      <c r="B30" s="80" t="s">
        <v>1432</v>
      </c>
      <c r="C30" s="77" t="s">
        <v>2902</v>
      </c>
      <c r="D30" s="77" t="s">
        <v>3382</v>
      </c>
      <c r="E30" s="77" t="s">
        <v>2174</v>
      </c>
      <c r="F30" s="669">
        <v>55000</v>
      </c>
      <c r="H30" s="80" t="s">
        <v>2165</v>
      </c>
      <c r="I30" s="128" t="s">
        <v>1441</v>
      </c>
      <c r="J30" s="77" t="s">
        <v>3376</v>
      </c>
      <c r="K30" s="77" t="str">
        <f t="shared" si="1"/>
        <v>용인버텍스500</v>
      </c>
      <c r="L30" s="78">
        <v>200000</v>
      </c>
      <c r="M30" s="78">
        <f>+N30-L30</f>
        <v>20000</v>
      </c>
      <c r="N30" s="78">
        <v>220000</v>
      </c>
    </row>
    <row r="31" spans="1:14">
      <c r="A31" s="80" t="s">
        <v>1419</v>
      </c>
      <c r="B31" s="80" t="s">
        <v>1432</v>
      </c>
      <c r="C31" s="77" t="s">
        <v>2902</v>
      </c>
      <c r="D31" s="77" t="s">
        <v>3382</v>
      </c>
      <c r="E31" s="77" t="s">
        <v>1734</v>
      </c>
      <c r="F31" s="669">
        <v>429000</v>
      </c>
      <c r="H31" s="80" t="s">
        <v>2165</v>
      </c>
      <c r="I31" s="128" t="s">
        <v>1441</v>
      </c>
      <c r="J31" s="77" t="s">
        <v>3377</v>
      </c>
      <c r="K31" s="77" t="str">
        <f t="shared" si="1"/>
        <v>용인버텍스900</v>
      </c>
      <c r="L31" s="78">
        <v>400000</v>
      </c>
      <c r="M31" s="78">
        <f>+N31-L31</f>
        <v>40000</v>
      </c>
      <c r="N31" s="78">
        <v>440000</v>
      </c>
    </row>
    <row r="32" spans="1:14">
      <c r="A32" s="80" t="s">
        <v>1419</v>
      </c>
      <c r="B32" s="80" t="s">
        <v>1432</v>
      </c>
      <c r="C32" s="77" t="s">
        <v>2903</v>
      </c>
      <c r="D32" s="77" t="s">
        <v>3382</v>
      </c>
      <c r="E32" s="77" t="s">
        <v>1</v>
      </c>
      <c r="F32" s="669">
        <v>463000</v>
      </c>
      <c r="H32" s="297"/>
      <c r="I32" s="34"/>
      <c r="J32" s="34"/>
      <c r="K32" s="34"/>
      <c r="L32" s="34"/>
      <c r="M32" s="34"/>
      <c r="N32" s="34"/>
    </row>
    <row r="33" spans="1:14">
      <c r="A33" s="80" t="s">
        <v>1419</v>
      </c>
      <c r="B33" s="80" t="s">
        <v>1432</v>
      </c>
      <c r="C33" s="77" t="s">
        <v>2903</v>
      </c>
      <c r="D33" s="77" t="s">
        <v>3382</v>
      </c>
      <c r="E33" s="77" t="s">
        <v>2174</v>
      </c>
      <c r="F33" s="669">
        <v>46300</v>
      </c>
      <c r="H33" s="297"/>
      <c r="I33" s="34"/>
      <c r="J33" s="34"/>
      <c r="K33" s="34"/>
      <c r="L33" s="34"/>
      <c r="M33" s="34"/>
      <c r="N33" s="34"/>
    </row>
    <row r="34" spans="1:14">
      <c r="A34" s="80" t="s">
        <v>1419</v>
      </c>
      <c r="B34" s="80" t="s">
        <v>1432</v>
      </c>
      <c r="C34" s="77" t="s">
        <v>2903</v>
      </c>
      <c r="D34" s="77" t="s">
        <v>3382</v>
      </c>
      <c r="E34" s="77" t="s">
        <v>1734</v>
      </c>
      <c r="F34" s="669">
        <v>429000</v>
      </c>
      <c r="H34" s="80" t="s">
        <v>2165</v>
      </c>
      <c r="I34" s="80" t="s">
        <v>1448</v>
      </c>
      <c r="J34" s="80" t="s">
        <v>1442</v>
      </c>
      <c r="K34" s="77" t="s">
        <v>3378</v>
      </c>
      <c r="L34" s="81">
        <v>49999.999999999993</v>
      </c>
      <c r="M34" s="81">
        <v>5000.0000000000073</v>
      </c>
      <c r="N34" s="82">
        <v>55000</v>
      </c>
    </row>
    <row r="35" spans="1:14">
      <c r="A35" s="80" t="s">
        <v>1419</v>
      </c>
      <c r="B35" s="80" t="s">
        <v>73</v>
      </c>
      <c r="C35" s="80" t="s">
        <v>3270</v>
      </c>
      <c r="D35" s="80" t="s">
        <v>1402</v>
      </c>
      <c r="E35" s="80" t="s">
        <v>1420</v>
      </c>
      <c r="F35" s="69">
        <v>233000</v>
      </c>
      <c r="H35" s="80" t="s">
        <v>2165</v>
      </c>
      <c r="I35" s="80" t="s">
        <v>1448</v>
      </c>
      <c r="J35" s="80" t="s">
        <v>1625</v>
      </c>
      <c r="K35" s="77" t="s">
        <v>3379</v>
      </c>
      <c r="L35" s="81">
        <v>0</v>
      </c>
      <c r="M35" s="81">
        <v>0</v>
      </c>
      <c r="N35" s="82">
        <v>0</v>
      </c>
    </row>
    <row r="36" spans="1:14">
      <c r="A36" s="80" t="s">
        <v>1419</v>
      </c>
      <c r="B36" s="80" t="s">
        <v>73</v>
      </c>
      <c r="C36" s="80" t="s">
        <v>3270</v>
      </c>
      <c r="D36" s="80" t="s">
        <v>1402</v>
      </c>
      <c r="E36" s="80" t="s">
        <v>1421</v>
      </c>
      <c r="F36" s="69">
        <v>23300</v>
      </c>
      <c r="H36" s="80" t="s">
        <v>2165</v>
      </c>
      <c r="I36" s="80" t="s">
        <v>1448</v>
      </c>
      <c r="J36" s="80"/>
      <c r="K36" s="77"/>
      <c r="L36" s="81"/>
      <c r="M36" s="81"/>
      <c r="N36" s="82"/>
    </row>
    <row r="37" spans="1:14">
      <c r="A37" s="80" t="s">
        <v>1419</v>
      </c>
      <c r="B37" s="80" t="s">
        <v>73</v>
      </c>
      <c r="C37" s="80" t="s">
        <v>3270</v>
      </c>
      <c r="D37" s="80" t="s">
        <v>1402</v>
      </c>
      <c r="E37" s="80" t="s">
        <v>30</v>
      </c>
      <c r="F37" s="69">
        <v>256300</v>
      </c>
      <c r="H37" s="80" t="s">
        <v>2165</v>
      </c>
      <c r="I37" s="299" t="s">
        <v>1448</v>
      </c>
      <c r="J37" s="299"/>
      <c r="K37" s="77"/>
      <c r="L37" s="300"/>
      <c r="M37" s="300"/>
      <c r="N37" s="82"/>
    </row>
    <row r="38" spans="1:14">
      <c r="A38" s="80" t="s">
        <v>1419</v>
      </c>
      <c r="B38" s="80" t="s">
        <v>73</v>
      </c>
      <c r="C38" s="80" t="s">
        <v>1422</v>
      </c>
      <c r="D38" s="80" t="s">
        <v>1402</v>
      </c>
      <c r="E38" s="80" t="s">
        <v>1420</v>
      </c>
      <c r="F38" s="69">
        <v>150000</v>
      </c>
      <c r="H38" s="80" t="s">
        <v>2165</v>
      </c>
      <c r="I38" s="299" t="s">
        <v>1448</v>
      </c>
      <c r="J38" s="299"/>
      <c r="K38" s="77"/>
      <c r="L38" s="300"/>
      <c r="M38" s="300"/>
      <c r="N38" s="82"/>
    </row>
    <row r="39" spans="1:14">
      <c r="A39" s="80" t="s">
        <v>1419</v>
      </c>
      <c r="B39" s="80" t="s">
        <v>73</v>
      </c>
      <c r="C39" s="80" t="s">
        <v>1422</v>
      </c>
      <c r="D39" s="80" t="s">
        <v>1402</v>
      </c>
      <c r="E39" s="80" t="s">
        <v>1421</v>
      </c>
      <c r="F39" s="69">
        <v>15000</v>
      </c>
    </row>
    <row r="40" spans="1:14">
      <c r="A40" s="80" t="s">
        <v>1419</v>
      </c>
      <c r="B40" s="80" t="s">
        <v>73</v>
      </c>
      <c r="C40" s="80" t="s">
        <v>1422</v>
      </c>
      <c r="D40" s="80" t="s">
        <v>1402</v>
      </c>
      <c r="E40" s="80" t="s">
        <v>30</v>
      </c>
      <c r="F40" s="69">
        <v>165000</v>
      </c>
      <c r="H40" s="332" t="s">
        <v>3536</v>
      </c>
      <c r="I40" s="333" t="s">
        <v>1540</v>
      </c>
      <c r="J40" s="333" t="s">
        <v>3528</v>
      </c>
      <c r="K40" s="334" t="str">
        <f>+H40&amp;J40</f>
        <v>용인뷰게라808 POP(32G)(선출고K8전용)</v>
      </c>
      <c r="L40" s="335">
        <v>0</v>
      </c>
      <c r="M40" s="335">
        <v>0</v>
      </c>
      <c r="N40" s="335">
        <v>0</v>
      </c>
    </row>
    <row r="41" spans="1:14">
      <c r="A41" s="80" t="s">
        <v>1419</v>
      </c>
      <c r="B41" s="80" t="s">
        <v>74</v>
      </c>
      <c r="C41" s="80" t="s">
        <v>1423</v>
      </c>
      <c r="D41" s="80" t="s">
        <v>1402</v>
      </c>
      <c r="E41" s="80" t="s">
        <v>1420</v>
      </c>
      <c r="F41" s="69">
        <v>228000</v>
      </c>
      <c r="H41" s="80" t="s">
        <v>2165</v>
      </c>
      <c r="I41" s="128" t="s">
        <v>2168</v>
      </c>
      <c r="J41" s="128" t="s">
        <v>2177</v>
      </c>
      <c r="K41" s="77" t="str">
        <f>+H41&amp;J41</f>
        <v>용인없음</v>
      </c>
      <c r="L41" s="78">
        <v>0</v>
      </c>
      <c r="M41" s="78">
        <v>0</v>
      </c>
      <c r="N41" s="78">
        <v>0</v>
      </c>
    </row>
    <row r="42" spans="1:14">
      <c r="A42" s="80" t="s">
        <v>1419</v>
      </c>
      <c r="B42" s="80" t="s">
        <v>74</v>
      </c>
      <c r="C42" s="80" t="s">
        <v>1423</v>
      </c>
      <c r="D42" s="80" t="s">
        <v>1402</v>
      </c>
      <c r="E42" s="80" t="s">
        <v>1421</v>
      </c>
      <c r="F42" s="69">
        <v>22800</v>
      </c>
      <c r="H42" s="80" t="s">
        <v>2165</v>
      </c>
      <c r="I42" s="128" t="s">
        <v>2168</v>
      </c>
      <c r="J42" s="128" t="s">
        <v>3409</v>
      </c>
      <c r="K42" s="77" t="str">
        <f t="shared" ref="K42:K47" si="2">+H42&amp;J42</f>
        <v>용인뷰게라808 POP(32G)</v>
      </c>
      <c r="L42" s="474">
        <v>150000</v>
      </c>
      <c r="M42" s="474">
        <f t="shared" ref="M42:M46" si="3">+N42-L42</f>
        <v>15000</v>
      </c>
      <c r="N42" s="474">
        <v>165000</v>
      </c>
    </row>
    <row r="43" spans="1:14">
      <c r="A43" s="80" t="s">
        <v>1419</v>
      </c>
      <c r="B43" s="80" t="s">
        <v>74</v>
      </c>
      <c r="C43" s="80" t="s">
        <v>1423</v>
      </c>
      <c r="D43" s="80" t="s">
        <v>1402</v>
      </c>
      <c r="E43" s="80" t="s">
        <v>30</v>
      </c>
      <c r="F43" s="69">
        <v>250800</v>
      </c>
      <c r="H43" s="80" t="s">
        <v>2165</v>
      </c>
      <c r="I43" s="128" t="s">
        <v>2168</v>
      </c>
      <c r="J43" s="128" t="s">
        <v>3410</v>
      </c>
      <c r="K43" s="77" t="str">
        <f t="shared" si="2"/>
        <v>용인파인뷰SF3000(32G)</v>
      </c>
      <c r="L43" s="78">
        <v>190000</v>
      </c>
      <c r="M43" s="78">
        <f t="shared" si="3"/>
        <v>19000</v>
      </c>
      <c r="N43" s="78">
        <v>209000</v>
      </c>
    </row>
    <row r="44" spans="1:14">
      <c r="A44" s="80" t="s">
        <v>1419</v>
      </c>
      <c r="B44" s="80" t="s">
        <v>74</v>
      </c>
      <c r="C44" s="80" t="s">
        <v>1424</v>
      </c>
      <c r="D44" s="80" t="s">
        <v>1402</v>
      </c>
      <c r="E44" s="80" t="s">
        <v>1420</v>
      </c>
      <c r="F44" s="69">
        <v>150000</v>
      </c>
      <c r="H44" s="80" t="s">
        <v>2165</v>
      </c>
      <c r="I44" s="128" t="s">
        <v>2168</v>
      </c>
      <c r="J44" s="128" t="s">
        <v>3411</v>
      </c>
      <c r="K44" s="77" t="str">
        <f t="shared" si="2"/>
        <v>용인아이나비QXD8000(32G)</v>
      </c>
      <c r="L44" s="78">
        <v>328182</v>
      </c>
      <c r="M44" s="78">
        <f t="shared" si="3"/>
        <v>32818</v>
      </c>
      <c r="N44" s="78">
        <v>361000</v>
      </c>
    </row>
    <row r="45" spans="1:14" ht="16.5" customHeight="1">
      <c r="A45" s="80" t="s">
        <v>1419</v>
      </c>
      <c r="B45" s="80" t="s">
        <v>74</v>
      </c>
      <c r="C45" s="80" t="s">
        <v>1424</v>
      </c>
      <c r="D45" s="80" t="s">
        <v>1402</v>
      </c>
      <c r="E45" s="80" t="s">
        <v>1421</v>
      </c>
      <c r="F45" s="69">
        <v>15000</v>
      </c>
      <c r="H45" s="80" t="s">
        <v>2165</v>
      </c>
      <c r="I45" s="128" t="s">
        <v>2168</v>
      </c>
      <c r="J45" s="128" t="s">
        <v>3412</v>
      </c>
      <c r="K45" s="77" t="str">
        <f t="shared" si="2"/>
        <v>용인뷰게라8500 3CH(32G)</v>
      </c>
      <c r="L45" s="78">
        <v>272727</v>
      </c>
      <c r="M45" s="78">
        <f t="shared" si="3"/>
        <v>27273</v>
      </c>
      <c r="N45" s="78">
        <v>300000</v>
      </c>
    </row>
    <row r="46" spans="1:14">
      <c r="A46" s="80" t="s">
        <v>1419</v>
      </c>
      <c r="B46" s="80" t="s">
        <v>74</v>
      </c>
      <c r="C46" s="80" t="s">
        <v>1424</v>
      </c>
      <c r="D46" s="80" t="s">
        <v>1402</v>
      </c>
      <c r="E46" s="80" t="s">
        <v>30</v>
      </c>
      <c r="F46" s="69">
        <v>165000</v>
      </c>
      <c r="H46" s="80" t="s">
        <v>3464</v>
      </c>
      <c r="I46" s="128" t="s">
        <v>3465</v>
      </c>
      <c r="J46" s="128" t="s">
        <v>3466</v>
      </c>
      <c r="K46" s="77" t="str">
        <f t="shared" si="2"/>
        <v>용인그랑_콜레오스</v>
      </c>
      <c r="L46" s="78">
        <v>22728</v>
      </c>
      <c r="M46" s="78">
        <f t="shared" si="3"/>
        <v>2272</v>
      </c>
      <c r="N46" s="78">
        <v>25000</v>
      </c>
    </row>
    <row r="47" spans="1:14" ht="16.5" customHeight="1">
      <c r="A47" s="80" t="s">
        <v>1419</v>
      </c>
      <c r="B47" s="80" t="s">
        <v>74</v>
      </c>
      <c r="C47" s="80" t="s">
        <v>1425</v>
      </c>
      <c r="D47" s="80" t="s">
        <v>1402</v>
      </c>
      <c r="E47" s="80" t="s">
        <v>1420</v>
      </c>
      <c r="F47" s="69">
        <v>150000</v>
      </c>
      <c r="H47" s="80"/>
      <c r="I47" s="128"/>
      <c r="J47" s="105"/>
      <c r="K47" s="77" t="str">
        <f t="shared" si="2"/>
        <v/>
      </c>
      <c r="L47" s="78"/>
      <c r="M47" s="78"/>
      <c r="N47" s="78"/>
    </row>
    <row r="48" spans="1:14" ht="16.5" customHeight="1">
      <c r="A48" s="80" t="s">
        <v>1419</v>
      </c>
      <c r="B48" s="80" t="s">
        <v>74</v>
      </c>
      <c r="C48" s="80" t="s">
        <v>1425</v>
      </c>
      <c r="D48" s="80" t="s">
        <v>1402</v>
      </c>
      <c r="E48" s="80" t="s">
        <v>1421</v>
      </c>
      <c r="F48" s="69">
        <v>15000</v>
      </c>
    </row>
    <row r="49" spans="1:14" ht="16.5" customHeight="1">
      <c r="A49" s="80" t="s">
        <v>1419</v>
      </c>
      <c r="B49" s="80" t="s">
        <v>74</v>
      </c>
      <c r="C49" s="80" t="s">
        <v>1425</v>
      </c>
      <c r="D49" s="80" t="s">
        <v>1402</v>
      </c>
      <c r="E49" s="80" t="s">
        <v>30</v>
      </c>
      <c r="F49" s="69">
        <v>165000</v>
      </c>
      <c r="H49" s="332" t="s">
        <v>3532</v>
      </c>
      <c r="I49" s="333" t="s">
        <v>3534</v>
      </c>
      <c r="J49" s="332" t="s">
        <v>3533</v>
      </c>
      <c r="K49" s="332" t="str">
        <f>+H49&amp;J49</f>
        <v>프로모션선팅없음</v>
      </c>
      <c r="L49" s="723">
        <v>0</v>
      </c>
      <c r="M49" s="723">
        <v>0</v>
      </c>
      <c r="N49" s="723">
        <v>0</v>
      </c>
    </row>
    <row r="50" spans="1:14" ht="16.5" customHeight="1">
      <c r="A50" s="80" t="s">
        <v>1419</v>
      </c>
      <c r="B50" s="80" t="s">
        <v>74</v>
      </c>
      <c r="C50" s="80" t="s">
        <v>1426</v>
      </c>
      <c r="D50" s="80" t="s">
        <v>1402</v>
      </c>
      <c r="E50" s="80" t="s">
        <v>1420</v>
      </c>
      <c r="F50" s="69">
        <v>150000</v>
      </c>
      <c r="H50" s="332" t="s">
        <v>3531</v>
      </c>
      <c r="I50" s="333" t="s">
        <v>2168</v>
      </c>
      <c r="J50" s="333" t="s">
        <v>3534</v>
      </c>
      <c r="K50" s="334" t="str">
        <f>+H50&amp;J50</f>
        <v>프로모션블랙박스없음</v>
      </c>
      <c r="L50" s="335">
        <v>0</v>
      </c>
      <c r="M50" s="335">
        <v>0</v>
      </c>
      <c r="N50" s="335">
        <v>0</v>
      </c>
    </row>
    <row r="51" spans="1:14">
      <c r="A51" s="80" t="s">
        <v>1419</v>
      </c>
      <c r="B51" s="80" t="s">
        <v>74</v>
      </c>
      <c r="C51" s="80" t="s">
        <v>1426</v>
      </c>
      <c r="D51" s="80" t="s">
        <v>1402</v>
      </c>
      <c r="E51" s="80" t="s">
        <v>1421</v>
      </c>
      <c r="F51" s="69">
        <v>15000</v>
      </c>
      <c r="K51" s="34"/>
    </row>
    <row r="52" spans="1:14" ht="16.5" customHeight="1">
      <c r="A52" s="80" t="s">
        <v>1419</v>
      </c>
      <c r="B52" s="80" t="s">
        <v>74</v>
      </c>
      <c r="C52" s="80" t="s">
        <v>1426</v>
      </c>
      <c r="D52" s="80" t="s">
        <v>1402</v>
      </c>
      <c r="E52" s="80" t="s">
        <v>30</v>
      </c>
      <c r="F52" s="69">
        <v>165000</v>
      </c>
    </row>
    <row r="53" spans="1:14">
      <c r="A53" s="80" t="s">
        <v>1419</v>
      </c>
      <c r="B53" s="80" t="s">
        <v>74</v>
      </c>
      <c r="C53" s="80" t="s">
        <v>1427</v>
      </c>
      <c r="D53" s="80" t="s">
        <v>1402</v>
      </c>
      <c r="E53" s="80" t="s">
        <v>1420</v>
      </c>
      <c r="F53" s="69">
        <v>163000</v>
      </c>
    </row>
    <row r="54" spans="1:14" ht="17.25" customHeight="1">
      <c r="A54" s="80" t="s">
        <v>1419</v>
      </c>
      <c r="B54" s="80" t="s">
        <v>74</v>
      </c>
      <c r="C54" s="80" t="s">
        <v>1427</v>
      </c>
      <c r="D54" s="80" t="s">
        <v>1402</v>
      </c>
      <c r="E54" s="80" t="s">
        <v>1421</v>
      </c>
      <c r="F54" s="69">
        <v>16300.000000000015</v>
      </c>
    </row>
    <row r="55" spans="1:14">
      <c r="A55" s="80" t="s">
        <v>1419</v>
      </c>
      <c r="B55" s="80" t="s">
        <v>74</v>
      </c>
      <c r="C55" s="80" t="s">
        <v>1427</v>
      </c>
      <c r="D55" s="80" t="s">
        <v>1402</v>
      </c>
      <c r="E55" s="80" t="s">
        <v>30</v>
      </c>
      <c r="F55" s="69">
        <v>179300</v>
      </c>
    </row>
    <row r="56" spans="1:14">
      <c r="A56" s="80" t="s">
        <v>1419</v>
      </c>
      <c r="B56" s="80" t="s">
        <v>1428</v>
      </c>
      <c r="C56" s="80" t="s">
        <v>1429</v>
      </c>
      <c r="D56" s="80" t="s">
        <v>1402</v>
      </c>
      <c r="E56" s="80" t="s">
        <v>1420</v>
      </c>
      <c r="F56" s="69">
        <v>233000</v>
      </c>
    </row>
    <row r="57" spans="1:14">
      <c r="A57" s="80" t="s">
        <v>1419</v>
      </c>
      <c r="B57" s="80" t="s">
        <v>1428</v>
      </c>
      <c r="C57" s="80" t="s">
        <v>1429</v>
      </c>
      <c r="D57" s="80" t="s">
        <v>1402</v>
      </c>
      <c r="E57" s="80" t="s">
        <v>1421</v>
      </c>
      <c r="F57" s="69">
        <v>23300</v>
      </c>
    </row>
    <row r="58" spans="1:14" ht="17.25">
      <c r="A58" s="80" t="s">
        <v>1419</v>
      </c>
      <c r="B58" s="80" t="s">
        <v>1428</v>
      </c>
      <c r="C58" s="80" t="s">
        <v>1429</v>
      </c>
      <c r="D58" s="80" t="s">
        <v>1402</v>
      </c>
      <c r="E58" s="80" t="s">
        <v>30</v>
      </c>
      <c r="F58" s="668">
        <v>256300</v>
      </c>
    </row>
    <row r="59" spans="1:14">
      <c r="A59" s="80" t="s">
        <v>1419</v>
      </c>
      <c r="B59" s="80" t="s">
        <v>1430</v>
      </c>
      <c r="C59" s="80" t="s">
        <v>1431</v>
      </c>
      <c r="D59" s="80" t="s">
        <v>1402</v>
      </c>
      <c r="E59" s="80" t="s">
        <v>1420</v>
      </c>
      <c r="F59" s="69">
        <v>148000</v>
      </c>
    </row>
    <row r="60" spans="1:14">
      <c r="A60" s="80" t="s">
        <v>1419</v>
      </c>
      <c r="B60" s="80" t="s">
        <v>1430</v>
      </c>
      <c r="C60" s="80" t="s">
        <v>1431</v>
      </c>
      <c r="D60" s="80" t="s">
        <v>1402</v>
      </c>
      <c r="E60" s="80" t="s">
        <v>1421</v>
      </c>
      <c r="F60" s="69">
        <v>14800</v>
      </c>
    </row>
    <row r="61" spans="1:14" ht="17.25">
      <c r="A61" s="80" t="s">
        <v>1419</v>
      </c>
      <c r="B61" s="80" t="s">
        <v>1430</v>
      </c>
      <c r="C61" s="80" t="s">
        <v>1431</v>
      </c>
      <c r="D61" s="80" t="s">
        <v>1402</v>
      </c>
      <c r="E61" s="80" t="s">
        <v>30</v>
      </c>
      <c r="F61" s="668">
        <v>162800</v>
      </c>
    </row>
    <row r="62" spans="1:14">
      <c r="A62" s="80" t="s">
        <v>1419</v>
      </c>
      <c r="B62" s="80" t="s">
        <v>1432</v>
      </c>
      <c r="C62" s="80" t="s">
        <v>1433</v>
      </c>
      <c r="D62" s="80" t="s">
        <v>1402</v>
      </c>
      <c r="E62" s="80" t="s">
        <v>1420</v>
      </c>
      <c r="F62" s="69">
        <v>233000</v>
      </c>
    </row>
    <row r="63" spans="1:14">
      <c r="A63" s="80" t="s">
        <v>1419</v>
      </c>
      <c r="B63" s="80" t="s">
        <v>1432</v>
      </c>
      <c r="C63" s="80" t="s">
        <v>1433</v>
      </c>
      <c r="D63" s="80" t="s">
        <v>1402</v>
      </c>
      <c r="E63" s="80" t="s">
        <v>1421</v>
      </c>
      <c r="F63" s="69">
        <v>23300</v>
      </c>
    </row>
    <row r="64" spans="1:14" ht="17.25">
      <c r="A64" s="80" t="s">
        <v>1419</v>
      </c>
      <c r="B64" s="80" t="s">
        <v>1432</v>
      </c>
      <c r="C64" s="80" t="s">
        <v>1433</v>
      </c>
      <c r="D64" s="80" t="s">
        <v>1402</v>
      </c>
      <c r="E64" s="80" t="s">
        <v>30</v>
      </c>
      <c r="F64" s="668">
        <v>256300</v>
      </c>
    </row>
    <row r="65" spans="1:6">
      <c r="A65" s="80" t="s">
        <v>1419</v>
      </c>
      <c r="B65" s="80" t="s">
        <v>1432</v>
      </c>
      <c r="C65" s="80" t="s">
        <v>1434</v>
      </c>
      <c r="D65" s="80" t="s">
        <v>1402</v>
      </c>
      <c r="E65" s="80" t="s">
        <v>1420</v>
      </c>
      <c r="F65" s="69">
        <v>146000</v>
      </c>
    </row>
    <row r="66" spans="1:6">
      <c r="A66" s="80" t="s">
        <v>1419</v>
      </c>
      <c r="B66" s="80" t="s">
        <v>1432</v>
      </c>
      <c r="C66" s="80" t="s">
        <v>1434</v>
      </c>
      <c r="D66" s="80" t="s">
        <v>1402</v>
      </c>
      <c r="E66" s="80" t="s">
        <v>1421</v>
      </c>
      <c r="F66" s="69">
        <v>14600</v>
      </c>
    </row>
    <row r="67" spans="1:6" ht="17.25">
      <c r="A67" s="80" t="s">
        <v>1419</v>
      </c>
      <c r="B67" s="80" t="s">
        <v>1432</v>
      </c>
      <c r="C67" s="80" t="s">
        <v>1434</v>
      </c>
      <c r="D67" s="80" t="s">
        <v>1402</v>
      </c>
      <c r="E67" s="80" t="s">
        <v>30</v>
      </c>
      <c r="F67" s="668">
        <v>160600</v>
      </c>
    </row>
    <row r="68" spans="1:6">
      <c r="A68" s="80" t="s">
        <v>1419</v>
      </c>
      <c r="B68" s="80" t="s">
        <v>73</v>
      </c>
      <c r="C68" s="80" t="s">
        <v>3270</v>
      </c>
      <c r="D68" s="79" t="s">
        <v>1403</v>
      </c>
      <c r="E68" s="80" t="s">
        <v>1420</v>
      </c>
      <c r="F68" s="69">
        <v>233000</v>
      </c>
    </row>
    <row r="69" spans="1:6">
      <c r="A69" s="80" t="s">
        <v>1419</v>
      </c>
      <c r="B69" s="80" t="s">
        <v>73</v>
      </c>
      <c r="C69" s="80" t="s">
        <v>3270</v>
      </c>
      <c r="D69" s="79" t="s">
        <v>1403</v>
      </c>
      <c r="E69" s="80" t="s">
        <v>1421</v>
      </c>
      <c r="F69" s="69">
        <v>23300</v>
      </c>
    </row>
    <row r="70" spans="1:6">
      <c r="A70" s="80" t="s">
        <v>1419</v>
      </c>
      <c r="B70" s="80" t="s">
        <v>73</v>
      </c>
      <c r="C70" s="80" t="s">
        <v>3270</v>
      </c>
      <c r="D70" s="79" t="s">
        <v>1403</v>
      </c>
      <c r="E70" s="80" t="s">
        <v>30</v>
      </c>
      <c r="F70" s="69">
        <v>256300</v>
      </c>
    </row>
    <row r="71" spans="1:6">
      <c r="A71" s="80" t="s">
        <v>1419</v>
      </c>
      <c r="B71" s="80" t="s">
        <v>73</v>
      </c>
      <c r="C71" s="80" t="s">
        <v>1422</v>
      </c>
      <c r="D71" s="79" t="s">
        <v>1403</v>
      </c>
      <c r="E71" s="80" t="s">
        <v>1420</v>
      </c>
      <c r="F71" s="69">
        <v>150000</v>
      </c>
    </row>
    <row r="72" spans="1:6">
      <c r="A72" s="80" t="s">
        <v>1419</v>
      </c>
      <c r="B72" s="80" t="s">
        <v>73</v>
      </c>
      <c r="C72" s="80" t="s">
        <v>1422</v>
      </c>
      <c r="D72" s="79" t="s">
        <v>1403</v>
      </c>
      <c r="E72" s="80" t="s">
        <v>1421</v>
      </c>
      <c r="F72" s="69">
        <v>15000</v>
      </c>
    </row>
    <row r="73" spans="1:6">
      <c r="A73" s="80" t="s">
        <v>1419</v>
      </c>
      <c r="B73" s="80" t="s">
        <v>73</v>
      </c>
      <c r="C73" s="80" t="s">
        <v>1422</v>
      </c>
      <c r="D73" s="79" t="s">
        <v>1403</v>
      </c>
      <c r="E73" s="80" t="s">
        <v>30</v>
      </c>
      <c r="F73" s="69">
        <v>165000</v>
      </c>
    </row>
    <row r="74" spans="1:6">
      <c r="A74" s="80" t="s">
        <v>1419</v>
      </c>
      <c r="B74" s="80" t="s">
        <v>74</v>
      </c>
      <c r="C74" s="80" t="s">
        <v>1423</v>
      </c>
      <c r="D74" s="79" t="s">
        <v>1403</v>
      </c>
      <c r="E74" s="80" t="s">
        <v>1420</v>
      </c>
      <c r="F74" s="69">
        <v>228000</v>
      </c>
    </row>
    <row r="75" spans="1:6">
      <c r="A75" s="80" t="s">
        <v>1419</v>
      </c>
      <c r="B75" s="80" t="s">
        <v>74</v>
      </c>
      <c r="C75" s="80" t="s">
        <v>1423</v>
      </c>
      <c r="D75" s="79" t="s">
        <v>1403</v>
      </c>
      <c r="E75" s="80" t="s">
        <v>1421</v>
      </c>
      <c r="F75" s="69">
        <v>22800</v>
      </c>
    </row>
    <row r="76" spans="1:6">
      <c r="A76" s="80" t="s">
        <v>1419</v>
      </c>
      <c r="B76" s="80" t="s">
        <v>74</v>
      </c>
      <c r="C76" s="80" t="s">
        <v>1423</v>
      </c>
      <c r="D76" s="79" t="s">
        <v>1403</v>
      </c>
      <c r="E76" s="80" t="s">
        <v>30</v>
      </c>
      <c r="F76" s="69">
        <v>250800</v>
      </c>
    </row>
    <row r="77" spans="1:6">
      <c r="A77" s="80" t="s">
        <v>1419</v>
      </c>
      <c r="B77" s="80" t="s">
        <v>74</v>
      </c>
      <c r="C77" s="80" t="s">
        <v>1424</v>
      </c>
      <c r="D77" s="79" t="s">
        <v>1403</v>
      </c>
      <c r="E77" s="80" t="s">
        <v>1420</v>
      </c>
      <c r="F77" s="69">
        <v>150000</v>
      </c>
    </row>
    <row r="78" spans="1:6">
      <c r="A78" s="80" t="s">
        <v>1419</v>
      </c>
      <c r="B78" s="80" t="s">
        <v>74</v>
      </c>
      <c r="C78" s="80" t="s">
        <v>1424</v>
      </c>
      <c r="D78" s="79" t="s">
        <v>1403</v>
      </c>
      <c r="E78" s="80" t="s">
        <v>1421</v>
      </c>
      <c r="F78" s="69">
        <v>15000</v>
      </c>
    </row>
    <row r="79" spans="1:6">
      <c r="A79" s="80" t="s">
        <v>1419</v>
      </c>
      <c r="B79" s="80" t="s">
        <v>74</v>
      </c>
      <c r="C79" s="80" t="s">
        <v>1424</v>
      </c>
      <c r="D79" s="79" t="s">
        <v>1403</v>
      </c>
      <c r="E79" s="80" t="s">
        <v>30</v>
      </c>
      <c r="F79" s="69">
        <v>165000</v>
      </c>
    </row>
    <row r="80" spans="1:6">
      <c r="A80" s="80" t="s">
        <v>1419</v>
      </c>
      <c r="B80" s="80" t="s">
        <v>74</v>
      </c>
      <c r="C80" s="80" t="s">
        <v>1425</v>
      </c>
      <c r="D80" s="79" t="s">
        <v>1403</v>
      </c>
      <c r="E80" s="80" t="s">
        <v>1420</v>
      </c>
      <c r="F80" s="69">
        <v>150000</v>
      </c>
    </row>
    <row r="81" spans="1:6">
      <c r="A81" s="80" t="s">
        <v>1419</v>
      </c>
      <c r="B81" s="80" t="s">
        <v>74</v>
      </c>
      <c r="C81" s="80" t="s">
        <v>1425</v>
      </c>
      <c r="D81" s="79" t="s">
        <v>1403</v>
      </c>
      <c r="E81" s="80" t="s">
        <v>1421</v>
      </c>
      <c r="F81" s="69">
        <v>15000</v>
      </c>
    </row>
    <row r="82" spans="1:6">
      <c r="A82" s="80" t="s">
        <v>1419</v>
      </c>
      <c r="B82" s="80" t="s">
        <v>74</v>
      </c>
      <c r="C82" s="80" t="s">
        <v>1425</v>
      </c>
      <c r="D82" s="79" t="s">
        <v>1403</v>
      </c>
      <c r="E82" s="80" t="s">
        <v>30</v>
      </c>
      <c r="F82" s="69">
        <v>165000</v>
      </c>
    </row>
    <row r="83" spans="1:6">
      <c r="A83" s="80" t="s">
        <v>1419</v>
      </c>
      <c r="B83" s="80" t="s">
        <v>74</v>
      </c>
      <c r="C83" s="80" t="s">
        <v>1426</v>
      </c>
      <c r="D83" s="79" t="s">
        <v>1403</v>
      </c>
      <c r="E83" s="80" t="s">
        <v>1420</v>
      </c>
      <c r="F83" s="69">
        <v>150000</v>
      </c>
    </row>
    <row r="84" spans="1:6">
      <c r="A84" s="80" t="s">
        <v>1419</v>
      </c>
      <c r="B84" s="80" t="s">
        <v>74</v>
      </c>
      <c r="C84" s="80" t="s">
        <v>1426</v>
      </c>
      <c r="D84" s="79" t="s">
        <v>1403</v>
      </c>
      <c r="E84" s="80" t="s">
        <v>1421</v>
      </c>
      <c r="F84" s="69">
        <v>15000</v>
      </c>
    </row>
    <row r="85" spans="1:6">
      <c r="A85" s="80" t="s">
        <v>1419</v>
      </c>
      <c r="B85" s="80" t="s">
        <v>74</v>
      </c>
      <c r="C85" s="80" t="s">
        <v>1426</v>
      </c>
      <c r="D85" s="79" t="s">
        <v>1403</v>
      </c>
      <c r="E85" s="80" t="s">
        <v>30</v>
      </c>
      <c r="F85" s="69">
        <v>165000</v>
      </c>
    </row>
    <row r="86" spans="1:6">
      <c r="A86" s="80" t="s">
        <v>1419</v>
      </c>
      <c r="B86" s="80" t="s">
        <v>74</v>
      </c>
      <c r="C86" s="80" t="s">
        <v>1427</v>
      </c>
      <c r="D86" s="79" t="s">
        <v>1403</v>
      </c>
      <c r="E86" s="80" t="s">
        <v>1420</v>
      </c>
      <c r="F86" s="69">
        <v>163000</v>
      </c>
    </row>
    <row r="87" spans="1:6">
      <c r="A87" s="80" t="s">
        <v>1419</v>
      </c>
      <c r="B87" s="80" t="s">
        <v>74</v>
      </c>
      <c r="C87" s="80" t="s">
        <v>1427</v>
      </c>
      <c r="D87" s="79" t="s">
        <v>1403</v>
      </c>
      <c r="E87" s="80" t="s">
        <v>1421</v>
      </c>
      <c r="F87" s="69">
        <v>16300.000000000015</v>
      </c>
    </row>
    <row r="88" spans="1:6">
      <c r="A88" s="80" t="s">
        <v>1419</v>
      </c>
      <c r="B88" s="80" t="s">
        <v>74</v>
      </c>
      <c r="C88" s="80" t="s">
        <v>1427</v>
      </c>
      <c r="D88" s="79" t="s">
        <v>1403</v>
      </c>
      <c r="E88" s="80" t="s">
        <v>30</v>
      </c>
      <c r="F88" s="69">
        <v>179300</v>
      </c>
    </row>
    <row r="89" spans="1:6">
      <c r="A89" s="80" t="s">
        <v>1419</v>
      </c>
      <c r="B89" s="80" t="s">
        <v>1428</v>
      </c>
      <c r="C89" s="80" t="s">
        <v>1429</v>
      </c>
      <c r="D89" s="79" t="s">
        <v>1403</v>
      </c>
      <c r="E89" s="80" t="s">
        <v>1420</v>
      </c>
      <c r="F89" s="69">
        <v>233000</v>
      </c>
    </row>
    <row r="90" spans="1:6">
      <c r="A90" s="80" t="s">
        <v>1419</v>
      </c>
      <c r="B90" s="80" t="s">
        <v>1428</v>
      </c>
      <c r="C90" s="80" t="s">
        <v>1429</v>
      </c>
      <c r="D90" s="79" t="s">
        <v>1403</v>
      </c>
      <c r="E90" s="80" t="s">
        <v>1421</v>
      </c>
      <c r="F90" s="69">
        <v>23300</v>
      </c>
    </row>
    <row r="91" spans="1:6">
      <c r="A91" s="80" t="s">
        <v>1419</v>
      </c>
      <c r="B91" s="80" t="s">
        <v>1428</v>
      </c>
      <c r="C91" s="80" t="s">
        <v>1429</v>
      </c>
      <c r="D91" s="79" t="s">
        <v>1403</v>
      </c>
      <c r="E91" s="80" t="s">
        <v>30</v>
      </c>
      <c r="F91" s="69">
        <v>256300</v>
      </c>
    </row>
    <row r="92" spans="1:6">
      <c r="A92" s="80" t="s">
        <v>1419</v>
      </c>
      <c r="B92" s="80" t="s">
        <v>1430</v>
      </c>
      <c r="C92" s="80" t="s">
        <v>1431</v>
      </c>
      <c r="D92" s="79" t="s">
        <v>1403</v>
      </c>
      <c r="E92" s="80" t="s">
        <v>1420</v>
      </c>
      <c r="F92" s="69">
        <v>148000</v>
      </c>
    </row>
    <row r="93" spans="1:6">
      <c r="A93" s="80" t="s">
        <v>1419</v>
      </c>
      <c r="B93" s="80" t="s">
        <v>1430</v>
      </c>
      <c r="C93" s="80" t="s">
        <v>1431</v>
      </c>
      <c r="D93" s="79" t="s">
        <v>1403</v>
      </c>
      <c r="E93" s="80" t="s">
        <v>1421</v>
      </c>
      <c r="F93" s="69">
        <v>14800</v>
      </c>
    </row>
    <row r="94" spans="1:6" ht="17.25">
      <c r="A94" s="80" t="s">
        <v>1419</v>
      </c>
      <c r="B94" s="80" t="s">
        <v>1430</v>
      </c>
      <c r="C94" s="80" t="s">
        <v>1431</v>
      </c>
      <c r="D94" s="79" t="s">
        <v>1403</v>
      </c>
      <c r="E94" s="80" t="s">
        <v>30</v>
      </c>
      <c r="F94" s="668">
        <v>162800</v>
      </c>
    </row>
    <row r="95" spans="1:6">
      <c r="A95" s="80" t="s">
        <v>1419</v>
      </c>
      <c r="B95" s="80" t="s">
        <v>1432</v>
      </c>
      <c r="C95" s="80" t="s">
        <v>1433</v>
      </c>
      <c r="D95" s="79" t="s">
        <v>1403</v>
      </c>
      <c r="E95" s="80" t="s">
        <v>1420</v>
      </c>
      <c r="F95" s="69">
        <v>233000</v>
      </c>
    </row>
    <row r="96" spans="1:6">
      <c r="A96" s="80" t="s">
        <v>1419</v>
      </c>
      <c r="B96" s="80" t="s">
        <v>1432</v>
      </c>
      <c r="C96" s="80" t="s">
        <v>1433</v>
      </c>
      <c r="D96" s="79" t="s">
        <v>1403</v>
      </c>
      <c r="E96" s="80" t="s">
        <v>1421</v>
      </c>
      <c r="F96" s="69">
        <v>23300</v>
      </c>
    </row>
    <row r="97" spans="1:6" ht="17.25">
      <c r="A97" s="80" t="s">
        <v>1419</v>
      </c>
      <c r="B97" s="80" t="s">
        <v>1432</v>
      </c>
      <c r="C97" s="80" t="s">
        <v>1433</v>
      </c>
      <c r="D97" s="79" t="s">
        <v>1403</v>
      </c>
      <c r="E97" s="80" t="s">
        <v>30</v>
      </c>
      <c r="F97" s="668">
        <v>256300</v>
      </c>
    </row>
    <row r="98" spans="1:6">
      <c r="A98" s="80" t="s">
        <v>1419</v>
      </c>
      <c r="B98" s="80" t="s">
        <v>1432</v>
      </c>
      <c r="C98" s="80" t="s">
        <v>1434</v>
      </c>
      <c r="D98" s="79" t="s">
        <v>1403</v>
      </c>
      <c r="E98" s="80" t="s">
        <v>1420</v>
      </c>
      <c r="F98" s="69">
        <v>146000</v>
      </c>
    </row>
    <row r="99" spans="1:6">
      <c r="A99" s="80" t="s">
        <v>1419</v>
      </c>
      <c r="B99" s="80" t="s">
        <v>1432</v>
      </c>
      <c r="C99" s="80" t="s">
        <v>1434</v>
      </c>
      <c r="D99" s="79" t="s">
        <v>1403</v>
      </c>
      <c r="E99" s="80" t="s">
        <v>1421</v>
      </c>
      <c r="F99" s="69">
        <v>14600</v>
      </c>
    </row>
    <row r="100" spans="1:6" ht="17.25">
      <c r="A100" s="80" t="s">
        <v>1419</v>
      </c>
      <c r="B100" s="80" t="s">
        <v>1432</v>
      </c>
      <c r="C100" s="80" t="s">
        <v>1434</v>
      </c>
      <c r="D100" s="79" t="s">
        <v>1403</v>
      </c>
      <c r="E100" s="80" t="s">
        <v>30</v>
      </c>
      <c r="F100" s="668">
        <v>160600</v>
      </c>
    </row>
    <row r="101" spans="1:6">
      <c r="A101" s="80" t="s">
        <v>1419</v>
      </c>
      <c r="B101" s="80" t="s">
        <v>73</v>
      </c>
      <c r="C101" s="80" t="s">
        <v>3270</v>
      </c>
      <c r="D101" s="79" t="s">
        <v>1404</v>
      </c>
      <c r="E101" s="80" t="s">
        <v>1420</v>
      </c>
      <c r="F101" s="69">
        <v>233000</v>
      </c>
    </row>
    <row r="102" spans="1:6">
      <c r="A102" s="80" t="s">
        <v>1419</v>
      </c>
      <c r="B102" s="80" t="s">
        <v>73</v>
      </c>
      <c r="C102" s="80" t="s">
        <v>3270</v>
      </c>
      <c r="D102" s="79" t="s">
        <v>1404</v>
      </c>
      <c r="E102" s="80" t="s">
        <v>1421</v>
      </c>
      <c r="F102" s="69">
        <v>23300</v>
      </c>
    </row>
    <row r="103" spans="1:6">
      <c r="A103" s="80" t="s">
        <v>1419</v>
      </c>
      <c r="B103" s="80" t="s">
        <v>73</v>
      </c>
      <c r="C103" s="80" t="s">
        <v>3270</v>
      </c>
      <c r="D103" s="79" t="s">
        <v>1404</v>
      </c>
      <c r="E103" s="80" t="s">
        <v>30</v>
      </c>
      <c r="F103" s="69">
        <v>256300</v>
      </c>
    </row>
    <row r="104" spans="1:6">
      <c r="A104" s="80" t="s">
        <v>1419</v>
      </c>
      <c r="B104" s="80" t="s">
        <v>73</v>
      </c>
      <c r="C104" s="80" t="s">
        <v>1422</v>
      </c>
      <c r="D104" s="79" t="s">
        <v>1404</v>
      </c>
      <c r="E104" s="80" t="s">
        <v>1420</v>
      </c>
      <c r="F104" s="69">
        <v>150000</v>
      </c>
    </row>
    <row r="105" spans="1:6">
      <c r="A105" s="80" t="s">
        <v>1419</v>
      </c>
      <c r="B105" s="80" t="s">
        <v>73</v>
      </c>
      <c r="C105" s="80" t="s">
        <v>1422</v>
      </c>
      <c r="D105" s="79" t="s">
        <v>1404</v>
      </c>
      <c r="E105" s="80" t="s">
        <v>1421</v>
      </c>
      <c r="F105" s="69">
        <v>15000</v>
      </c>
    </row>
    <row r="106" spans="1:6">
      <c r="A106" s="80" t="s">
        <v>1419</v>
      </c>
      <c r="B106" s="80" t="s">
        <v>73</v>
      </c>
      <c r="C106" s="80" t="s">
        <v>1422</v>
      </c>
      <c r="D106" s="79" t="s">
        <v>1404</v>
      </c>
      <c r="E106" s="80" t="s">
        <v>30</v>
      </c>
      <c r="F106" s="69">
        <v>165000</v>
      </c>
    </row>
    <row r="107" spans="1:6">
      <c r="A107" s="80" t="s">
        <v>1419</v>
      </c>
      <c r="B107" s="80" t="s">
        <v>74</v>
      </c>
      <c r="C107" s="80" t="s">
        <v>1423</v>
      </c>
      <c r="D107" s="79" t="s">
        <v>1404</v>
      </c>
      <c r="E107" s="80" t="s">
        <v>1420</v>
      </c>
      <c r="F107" s="69">
        <v>228000</v>
      </c>
    </row>
    <row r="108" spans="1:6">
      <c r="A108" s="80" t="s">
        <v>1419</v>
      </c>
      <c r="B108" s="80" t="s">
        <v>74</v>
      </c>
      <c r="C108" s="80" t="s">
        <v>1423</v>
      </c>
      <c r="D108" s="79" t="s">
        <v>1404</v>
      </c>
      <c r="E108" s="80" t="s">
        <v>1421</v>
      </c>
      <c r="F108" s="69">
        <v>22800</v>
      </c>
    </row>
    <row r="109" spans="1:6">
      <c r="A109" s="80" t="s">
        <v>1419</v>
      </c>
      <c r="B109" s="80" t="s">
        <v>74</v>
      </c>
      <c r="C109" s="80" t="s">
        <v>1423</v>
      </c>
      <c r="D109" s="79" t="s">
        <v>1404</v>
      </c>
      <c r="E109" s="80" t="s">
        <v>30</v>
      </c>
      <c r="F109" s="69">
        <v>250800</v>
      </c>
    </row>
    <row r="110" spans="1:6">
      <c r="A110" s="80" t="s">
        <v>1419</v>
      </c>
      <c r="B110" s="80" t="s">
        <v>74</v>
      </c>
      <c r="C110" s="80" t="s">
        <v>1424</v>
      </c>
      <c r="D110" s="79" t="s">
        <v>1404</v>
      </c>
      <c r="E110" s="80" t="s">
        <v>1420</v>
      </c>
      <c r="F110" s="69">
        <v>150000</v>
      </c>
    </row>
    <row r="111" spans="1:6">
      <c r="A111" s="80" t="s">
        <v>1419</v>
      </c>
      <c r="B111" s="80" t="s">
        <v>74</v>
      </c>
      <c r="C111" s="80" t="s">
        <v>1424</v>
      </c>
      <c r="D111" s="79" t="s">
        <v>1404</v>
      </c>
      <c r="E111" s="80" t="s">
        <v>1421</v>
      </c>
      <c r="F111" s="69">
        <v>15000</v>
      </c>
    </row>
    <row r="112" spans="1:6">
      <c r="A112" s="80" t="s">
        <v>1419</v>
      </c>
      <c r="B112" s="80" t="s">
        <v>74</v>
      </c>
      <c r="C112" s="80" t="s">
        <v>1424</v>
      </c>
      <c r="D112" s="79" t="s">
        <v>1404</v>
      </c>
      <c r="E112" s="80" t="s">
        <v>30</v>
      </c>
      <c r="F112" s="69">
        <v>165000</v>
      </c>
    </row>
    <row r="113" spans="1:6">
      <c r="A113" s="80" t="s">
        <v>1419</v>
      </c>
      <c r="B113" s="80" t="s">
        <v>74</v>
      </c>
      <c r="C113" s="80" t="s">
        <v>1425</v>
      </c>
      <c r="D113" s="79" t="s">
        <v>1404</v>
      </c>
      <c r="E113" s="80" t="s">
        <v>1420</v>
      </c>
      <c r="F113" s="69">
        <v>150000</v>
      </c>
    </row>
    <row r="114" spans="1:6">
      <c r="A114" s="80" t="s">
        <v>1419</v>
      </c>
      <c r="B114" s="80" t="s">
        <v>74</v>
      </c>
      <c r="C114" s="80" t="s">
        <v>1425</v>
      </c>
      <c r="D114" s="79" t="s">
        <v>1404</v>
      </c>
      <c r="E114" s="80" t="s">
        <v>1421</v>
      </c>
      <c r="F114" s="69">
        <v>15000</v>
      </c>
    </row>
    <row r="115" spans="1:6">
      <c r="A115" s="80" t="s">
        <v>1419</v>
      </c>
      <c r="B115" s="80" t="s">
        <v>74</v>
      </c>
      <c r="C115" s="80" t="s">
        <v>1425</v>
      </c>
      <c r="D115" s="79" t="s">
        <v>1404</v>
      </c>
      <c r="E115" s="80" t="s">
        <v>30</v>
      </c>
      <c r="F115" s="69">
        <v>165000</v>
      </c>
    </row>
    <row r="116" spans="1:6">
      <c r="A116" s="80" t="s">
        <v>1419</v>
      </c>
      <c r="B116" s="80" t="s">
        <v>74</v>
      </c>
      <c r="C116" s="80" t="s">
        <v>1426</v>
      </c>
      <c r="D116" s="79" t="s">
        <v>1404</v>
      </c>
      <c r="E116" s="80" t="s">
        <v>1420</v>
      </c>
      <c r="F116" s="69">
        <v>150000</v>
      </c>
    </row>
    <row r="117" spans="1:6">
      <c r="A117" s="80" t="s">
        <v>1419</v>
      </c>
      <c r="B117" s="80" t="s">
        <v>74</v>
      </c>
      <c r="C117" s="80" t="s">
        <v>1426</v>
      </c>
      <c r="D117" s="79" t="s">
        <v>1404</v>
      </c>
      <c r="E117" s="80" t="s">
        <v>1421</v>
      </c>
      <c r="F117" s="69">
        <v>15000</v>
      </c>
    </row>
    <row r="118" spans="1:6">
      <c r="A118" s="80" t="s">
        <v>1419</v>
      </c>
      <c r="B118" s="80" t="s">
        <v>74</v>
      </c>
      <c r="C118" s="80" t="s">
        <v>1426</v>
      </c>
      <c r="D118" s="79" t="s">
        <v>1404</v>
      </c>
      <c r="E118" s="80" t="s">
        <v>30</v>
      </c>
      <c r="F118" s="69">
        <v>165000</v>
      </c>
    </row>
    <row r="119" spans="1:6">
      <c r="A119" s="80" t="s">
        <v>1419</v>
      </c>
      <c r="B119" s="80" t="s">
        <v>74</v>
      </c>
      <c r="C119" s="80" t="s">
        <v>1427</v>
      </c>
      <c r="D119" s="79" t="s">
        <v>1404</v>
      </c>
      <c r="E119" s="80" t="s">
        <v>1420</v>
      </c>
      <c r="F119" s="69">
        <v>163000</v>
      </c>
    </row>
    <row r="120" spans="1:6">
      <c r="A120" s="80" t="s">
        <v>1419</v>
      </c>
      <c r="B120" s="80" t="s">
        <v>74</v>
      </c>
      <c r="C120" s="80" t="s">
        <v>1427</v>
      </c>
      <c r="D120" s="79" t="s">
        <v>1404</v>
      </c>
      <c r="E120" s="80" t="s">
        <v>1421</v>
      </c>
      <c r="F120" s="69">
        <v>16300.000000000015</v>
      </c>
    </row>
    <row r="121" spans="1:6">
      <c r="A121" s="80" t="s">
        <v>1419</v>
      </c>
      <c r="B121" s="80" t="s">
        <v>74</v>
      </c>
      <c r="C121" s="80" t="s">
        <v>1427</v>
      </c>
      <c r="D121" s="79" t="s">
        <v>1404</v>
      </c>
      <c r="E121" s="80" t="s">
        <v>30</v>
      </c>
      <c r="F121" s="69">
        <v>179300</v>
      </c>
    </row>
    <row r="122" spans="1:6">
      <c r="A122" s="80" t="s">
        <v>1419</v>
      </c>
      <c r="B122" s="80" t="s">
        <v>1428</v>
      </c>
      <c r="C122" s="80" t="s">
        <v>1429</v>
      </c>
      <c r="D122" s="79" t="s">
        <v>1404</v>
      </c>
      <c r="E122" s="80" t="s">
        <v>1420</v>
      </c>
      <c r="F122" s="69">
        <v>233000</v>
      </c>
    </row>
    <row r="123" spans="1:6">
      <c r="A123" s="80" t="s">
        <v>1419</v>
      </c>
      <c r="B123" s="80" t="s">
        <v>1428</v>
      </c>
      <c r="C123" s="80" t="s">
        <v>1429</v>
      </c>
      <c r="D123" s="79" t="s">
        <v>1404</v>
      </c>
      <c r="E123" s="80" t="s">
        <v>1421</v>
      </c>
      <c r="F123" s="69">
        <v>23300</v>
      </c>
    </row>
    <row r="124" spans="1:6">
      <c r="A124" s="80" t="s">
        <v>1419</v>
      </c>
      <c r="B124" s="80" t="s">
        <v>1428</v>
      </c>
      <c r="C124" s="80" t="s">
        <v>1429</v>
      </c>
      <c r="D124" s="79" t="s">
        <v>1404</v>
      </c>
      <c r="E124" s="80" t="s">
        <v>30</v>
      </c>
      <c r="F124" s="69">
        <v>256300</v>
      </c>
    </row>
    <row r="125" spans="1:6">
      <c r="A125" s="80" t="s">
        <v>1419</v>
      </c>
      <c r="B125" s="80" t="s">
        <v>1430</v>
      </c>
      <c r="C125" s="80" t="s">
        <v>1431</v>
      </c>
      <c r="D125" s="79" t="s">
        <v>1404</v>
      </c>
      <c r="E125" s="80" t="s">
        <v>1420</v>
      </c>
      <c r="F125" s="69">
        <v>148000</v>
      </c>
    </row>
    <row r="126" spans="1:6">
      <c r="A126" s="80" t="s">
        <v>1419</v>
      </c>
      <c r="B126" s="80" t="s">
        <v>1430</v>
      </c>
      <c r="C126" s="80" t="s">
        <v>1431</v>
      </c>
      <c r="D126" s="79" t="s">
        <v>1404</v>
      </c>
      <c r="E126" s="80" t="s">
        <v>1421</v>
      </c>
      <c r="F126" s="69">
        <v>14800</v>
      </c>
    </row>
    <row r="127" spans="1:6" ht="17.25">
      <c r="A127" s="80" t="s">
        <v>1419</v>
      </c>
      <c r="B127" s="80" t="s">
        <v>1430</v>
      </c>
      <c r="C127" s="80" t="s">
        <v>1431</v>
      </c>
      <c r="D127" s="79" t="s">
        <v>1404</v>
      </c>
      <c r="E127" s="80" t="s">
        <v>30</v>
      </c>
      <c r="F127" s="668">
        <v>162800</v>
      </c>
    </row>
    <row r="128" spans="1:6">
      <c r="A128" s="80" t="s">
        <v>1419</v>
      </c>
      <c r="B128" s="80" t="s">
        <v>1432</v>
      </c>
      <c r="C128" s="80" t="s">
        <v>1433</v>
      </c>
      <c r="D128" s="79" t="s">
        <v>1404</v>
      </c>
      <c r="E128" s="80" t="s">
        <v>1420</v>
      </c>
      <c r="F128" s="69">
        <v>233000</v>
      </c>
    </row>
    <row r="129" spans="1:9">
      <c r="A129" s="80" t="s">
        <v>1419</v>
      </c>
      <c r="B129" s="80" t="s">
        <v>1432</v>
      </c>
      <c r="C129" s="80" t="s">
        <v>1433</v>
      </c>
      <c r="D129" s="79" t="s">
        <v>1404</v>
      </c>
      <c r="E129" s="80" t="s">
        <v>1421</v>
      </c>
      <c r="F129" s="69">
        <v>23300</v>
      </c>
    </row>
    <row r="130" spans="1:9" ht="17.25">
      <c r="A130" s="80" t="s">
        <v>1419</v>
      </c>
      <c r="B130" s="80" t="s">
        <v>1432</v>
      </c>
      <c r="C130" s="80" t="s">
        <v>1433</v>
      </c>
      <c r="D130" s="79" t="s">
        <v>1404</v>
      </c>
      <c r="E130" s="80" t="s">
        <v>30</v>
      </c>
      <c r="F130" s="668">
        <v>256300</v>
      </c>
    </row>
    <row r="131" spans="1:9">
      <c r="A131" s="80" t="s">
        <v>1419</v>
      </c>
      <c r="B131" s="80" t="s">
        <v>1432</v>
      </c>
      <c r="C131" s="80" t="s">
        <v>1434</v>
      </c>
      <c r="D131" s="79" t="s">
        <v>1404</v>
      </c>
      <c r="E131" s="80" t="s">
        <v>1420</v>
      </c>
      <c r="F131" s="69">
        <v>146000</v>
      </c>
    </row>
    <row r="132" spans="1:9">
      <c r="A132" s="80" t="s">
        <v>1419</v>
      </c>
      <c r="B132" s="80" t="s">
        <v>1432</v>
      </c>
      <c r="C132" s="80" t="s">
        <v>1434</v>
      </c>
      <c r="D132" s="79" t="s">
        <v>1404</v>
      </c>
      <c r="E132" s="80" t="s">
        <v>1421</v>
      </c>
      <c r="F132" s="69">
        <v>14600</v>
      </c>
    </row>
    <row r="133" spans="1:9" ht="17.25">
      <c r="A133" s="80" t="s">
        <v>1419</v>
      </c>
      <c r="B133" s="80" t="s">
        <v>1432</v>
      </c>
      <c r="C133" s="80" t="s">
        <v>1434</v>
      </c>
      <c r="D133" s="79" t="s">
        <v>1404</v>
      </c>
      <c r="E133" s="80" t="s">
        <v>30</v>
      </c>
      <c r="F133" s="668">
        <v>160600</v>
      </c>
    </row>
    <row r="134" spans="1:9">
      <c r="A134" s="80" t="s">
        <v>1419</v>
      </c>
      <c r="B134" s="80" t="s">
        <v>73</v>
      </c>
      <c r="C134" s="80" t="s">
        <v>3270</v>
      </c>
      <c r="D134" s="79" t="s">
        <v>1405</v>
      </c>
      <c r="E134" s="80" t="s">
        <v>1420</v>
      </c>
      <c r="F134" s="69">
        <v>310000</v>
      </c>
    </row>
    <row r="135" spans="1:9">
      <c r="A135" s="80" t="s">
        <v>1419</v>
      </c>
      <c r="B135" s="80" t="s">
        <v>73</v>
      </c>
      <c r="C135" s="80" t="s">
        <v>3270</v>
      </c>
      <c r="D135" s="79" t="s">
        <v>1405</v>
      </c>
      <c r="E135" s="80" t="s">
        <v>1421</v>
      </c>
      <c r="F135" s="69">
        <v>31000</v>
      </c>
    </row>
    <row r="136" spans="1:9">
      <c r="A136" s="80" t="s">
        <v>1419</v>
      </c>
      <c r="B136" s="80" t="s">
        <v>73</v>
      </c>
      <c r="C136" s="80" t="s">
        <v>3270</v>
      </c>
      <c r="D136" s="79" t="s">
        <v>1405</v>
      </c>
      <c r="E136" s="80" t="s">
        <v>30</v>
      </c>
      <c r="F136" s="69">
        <v>341000</v>
      </c>
    </row>
    <row r="137" spans="1:9">
      <c r="A137" s="80" t="s">
        <v>1419</v>
      </c>
      <c r="B137" s="80" t="s">
        <v>73</v>
      </c>
      <c r="C137" s="80" t="s">
        <v>1422</v>
      </c>
      <c r="D137" s="79" t="s">
        <v>1405</v>
      </c>
      <c r="E137" s="80" t="s">
        <v>1420</v>
      </c>
      <c r="F137" s="69">
        <v>227000</v>
      </c>
    </row>
    <row r="138" spans="1:9">
      <c r="A138" s="80" t="s">
        <v>1419</v>
      </c>
      <c r="B138" s="80" t="s">
        <v>73</v>
      </c>
      <c r="C138" s="80" t="s">
        <v>1422</v>
      </c>
      <c r="D138" s="79" t="s">
        <v>1405</v>
      </c>
      <c r="E138" s="80" t="s">
        <v>1421</v>
      </c>
      <c r="F138" s="69">
        <v>22700</v>
      </c>
    </row>
    <row r="139" spans="1:9">
      <c r="A139" s="80" t="s">
        <v>1419</v>
      </c>
      <c r="B139" s="80" t="s">
        <v>73</v>
      </c>
      <c r="C139" s="80" t="s">
        <v>1422</v>
      </c>
      <c r="D139" s="79" t="s">
        <v>1405</v>
      </c>
      <c r="E139" s="80" t="s">
        <v>30</v>
      </c>
      <c r="F139" s="69">
        <v>249700</v>
      </c>
    </row>
    <row r="140" spans="1:9">
      <c r="A140" s="80" t="s">
        <v>1419</v>
      </c>
      <c r="B140" s="80" t="s">
        <v>74</v>
      </c>
      <c r="C140" s="80" t="s">
        <v>1423</v>
      </c>
      <c r="D140" s="79" t="s">
        <v>1405</v>
      </c>
      <c r="E140" s="80" t="s">
        <v>1420</v>
      </c>
      <c r="F140" s="69">
        <v>305000</v>
      </c>
    </row>
    <row r="141" spans="1:9">
      <c r="A141" s="80" t="s">
        <v>1419</v>
      </c>
      <c r="B141" s="80" t="s">
        <v>74</v>
      </c>
      <c r="C141" s="80" t="s">
        <v>1423</v>
      </c>
      <c r="D141" s="79" t="s">
        <v>1405</v>
      </c>
      <c r="E141" s="80" t="s">
        <v>1421</v>
      </c>
      <c r="F141" s="69">
        <v>30500</v>
      </c>
    </row>
    <row r="142" spans="1:9">
      <c r="A142" s="80" t="s">
        <v>1419</v>
      </c>
      <c r="B142" s="80" t="s">
        <v>74</v>
      </c>
      <c r="C142" s="80" t="s">
        <v>1423</v>
      </c>
      <c r="D142" s="79" t="s">
        <v>1405</v>
      </c>
      <c r="E142" s="80" t="s">
        <v>30</v>
      </c>
      <c r="F142" s="69">
        <v>335500</v>
      </c>
    </row>
    <row r="143" spans="1:9">
      <c r="A143" s="80" t="s">
        <v>1419</v>
      </c>
      <c r="B143" s="80" t="s">
        <v>74</v>
      </c>
      <c r="C143" s="80" t="s">
        <v>1424</v>
      </c>
      <c r="D143" s="79" t="s">
        <v>1405</v>
      </c>
      <c r="E143" s="80" t="s">
        <v>1420</v>
      </c>
      <c r="F143" s="69">
        <v>227000</v>
      </c>
      <c r="G143" s="306"/>
    </row>
    <row r="144" spans="1:9">
      <c r="A144" s="80" t="s">
        <v>1419</v>
      </c>
      <c r="B144" s="80" t="s">
        <v>74</v>
      </c>
      <c r="C144" s="80" t="s">
        <v>1424</v>
      </c>
      <c r="D144" s="79" t="s">
        <v>1405</v>
      </c>
      <c r="E144" s="80" t="s">
        <v>1421</v>
      </c>
      <c r="F144" s="69">
        <v>22700</v>
      </c>
      <c r="G144" s="306"/>
      <c r="I144"/>
    </row>
    <row r="145" spans="1:9">
      <c r="A145" s="80" t="s">
        <v>1419</v>
      </c>
      <c r="B145" s="80" t="s">
        <v>74</v>
      </c>
      <c r="C145" s="80" t="s">
        <v>1424</v>
      </c>
      <c r="D145" s="79" t="s">
        <v>1405</v>
      </c>
      <c r="E145" s="80" t="s">
        <v>30</v>
      </c>
      <c r="F145" s="69">
        <v>249700</v>
      </c>
      <c r="G145" s="306"/>
      <c r="I145"/>
    </row>
    <row r="146" spans="1:9" ht="16.5" customHeight="1">
      <c r="A146" s="80" t="s">
        <v>1419</v>
      </c>
      <c r="B146" s="80" t="s">
        <v>74</v>
      </c>
      <c r="C146" s="80" t="s">
        <v>1425</v>
      </c>
      <c r="D146" s="79" t="s">
        <v>1405</v>
      </c>
      <c r="E146" s="80" t="s">
        <v>1420</v>
      </c>
      <c r="F146" s="69">
        <v>227000</v>
      </c>
      <c r="G146" s="305"/>
      <c r="I146"/>
    </row>
    <row r="147" spans="1:9" ht="16.5" customHeight="1">
      <c r="A147" s="80" t="s">
        <v>1419</v>
      </c>
      <c r="B147" s="80" t="s">
        <v>74</v>
      </c>
      <c r="C147" s="80" t="s">
        <v>1425</v>
      </c>
      <c r="D147" s="79" t="s">
        <v>1405</v>
      </c>
      <c r="E147" s="80" t="s">
        <v>1421</v>
      </c>
      <c r="F147" s="69">
        <v>22700</v>
      </c>
      <c r="G147" s="305"/>
      <c r="H147" s="34"/>
      <c r="I147" s="34"/>
    </row>
    <row r="148" spans="1:9" ht="16.5" customHeight="1">
      <c r="A148" s="80" t="s">
        <v>1419</v>
      </c>
      <c r="B148" s="80" t="s">
        <v>74</v>
      </c>
      <c r="C148" s="80" t="s">
        <v>1425</v>
      </c>
      <c r="D148" s="79" t="s">
        <v>1405</v>
      </c>
      <c r="E148" s="80" t="s">
        <v>30</v>
      </c>
      <c r="F148" s="69">
        <v>249700</v>
      </c>
      <c r="G148" s="305"/>
      <c r="H148" s="34"/>
      <c r="I148" s="34"/>
    </row>
    <row r="149" spans="1:9" ht="16.5" customHeight="1">
      <c r="A149" s="80" t="s">
        <v>1419</v>
      </c>
      <c r="B149" s="80" t="s">
        <v>74</v>
      </c>
      <c r="C149" s="80" t="s">
        <v>1426</v>
      </c>
      <c r="D149" s="79" t="s">
        <v>1405</v>
      </c>
      <c r="E149" s="80" t="s">
        <v>1420</v>
      </c>
      <c r="F149" s="69">
        <v>227000</v>
      </c>
      <c r="G149" s="305"/>
      <c r="H149" s="34"/>
      <c r="I149" s="34"/>
    </row>
    <row r="150" spans="1:9" ht="16.5" customHeight="1">
      <c r="A150" s="80" t="s">
        <v>1419</v>
      </c>
      <c r="B150" s="80" t="s">
        <v>74</v>
      </c>
      <c r="C150" s="80" t="s">
        <v>1426</v>
      </c>
      <c r="D150" s="79" t="s">
        <v>1405</v>
      </c>
      <c r="E150" s="80" t="s">
        <v>1421</v>
      </c>
      <c r="F150" s="69">
        <v>22700</v>
      </c>
      <c r="G150" s="305"/>
      <c r="H150" s="34"/>
      <c r="I150" s="34"/>
    </row>
    <row r="151" spans="1:9" ht="16.5" customHeight="1">
      <c r="A151" s="80" t="s">
        <v>1419</v>
      </c>
      <c r="B151" s="80" t="s">
        <v>74</v>
      </c>
      <c r="C151" s="80" t="s">
        <v>1426</v>
      </c>
      <c r="D151" s="79" t="s">
        <v>1405</v>
      </c>
      <c r="E151" s="80" t="s">
        <v>30</v>
      </c>
      <c r="F151" s="69">
        <v>249700</v>
      </c>
      <c r="G151" s="305"/>
      <c r="H151" s="34"/>
      <c r="I151" s="34"/>
    </row>
    <row r="152" spans="1:9" ht="16.5" customHeight="1">
      <c r="A152" s="80" t="s">
        <v>1419</v>
      </c>
      <c r="B152" s="80" t="s">
        <v>74</v>
      </c>
      <c r="C152" s="80" t="s">
        <v>1427</v>
      </c>
      <c r="D152" s="79" t="s">
        <v>1405</v>
      </c>
      <c r="E152" s="80" t="s">
        <v>1420</v>
      </c>
      <c r="F152" s="69">
        <v>240000</v>
      </c>
      <c r="G152" s="305"/>
      <c r="H152" s="34"/>
      <c r="I152" s="34"/>
    </row>
    <row r="153" spans="1:9" ht="16.5" customHeight="1">
      <c r="A153" s="80" t="s">
        <v>1419</v>
      </c>
      <c r="B153" s="80" t="s">
        <v>74</v>
      </c>
      <c r="C153" s="80" t="s">
        <v>1427</v>
      </c>
      <c r="D153" s="79" t="s">
        <v>1405</v>
      </c>
      <c r="E153" s="80" t="s">
        <v>1421</v>
      </c>
      <c r="F153" s="69">
        <v>24000.000000000015</v>
      </c>
      <c r="G153" s="305"/>
      <c r="H153" s="34"/>
      <c r="I153" s="34"/>
    </row>
    <row r="154" spans="1:9" ht="16.5" customHeight="1">
      <c r="A154" s="80" t="s">
        <v>1419</v>
      </c>
      <c r="B154" s="80" t="s">
        <v>74</v>
      </c>
      <c r="C154" s="80" t="s">
        <v>1427</v>
      </c>
      <c r="D154" s="79" t="s">
        <v>1405</v>
      </c>
      <c r="E154" s="80" t="s">
        <v>30</v>
      </c>
      <c r="F154" s="69">
        <v>264000</v>
      </c>
      <c r="G154" s="305"/>
      <c r="H154" s="34"/>
      <c r="I154" s="34"/>
    </row>
    <row r="155" spans="1:9" ht="16.5" customHeight="1">
      <c r="A155" s="80" t="s">
        <v>1419</v>
      </c>
      <c r="B155" s="80" t="s">
        <v>1428</v>
      </c>
      <c r="C155" s="80" t="s">
        <v>1429</v>
      </c>
      <c r="D155" s="79" t="s">
        <v>1405</v>
      </c>
      <c r="E155" s="80" t="s">
        <v>1420</v>
      </c>
      <c r="F155" s="69">
        <v>310000</v>
      </c>
      <c r="G155" s="305"/>
      <c r="H155" s="34"/>
      <c r="I155" s="34"/>
    </row>
    <row r="156" spans="1:9" ht="16.5" customHeight="1">
      <c r="A156" s="80" t="s">
        <v>1419</v>
      </c>
      <c r="B156" s="80" t="s">
        <v>1428</v>
      </c>
      <c r="C156" s="80" t="s">
        <v>1429</v>
      </c>
      <c r="D156" s="79" t="s">
        <v>1405</v>
      </c>
      <c r="E156" s="80" t="s">
        <v>1421</v>
      </c>
      <c r="F156" s="69">
        <v>31000</v>
      </c>
      <c r="G156" s="305"/>
      <c r="H156" s="34"/>
      <c r="I156" s="34"/>
    </row>
    <row r="157" spans="1:9" ht="16.5" customHeight="1">
      <c r="A157" s="80" t="s">
        <v>1419</v>
      </c>
      <c r="B157" s="80" t="s">
        <v>1428</v>
      </c>
      <c r="C157" s="80" t="s">
        <v>1429</v>
      </c>
      <c r="D157" s="79" t="s">
        <v>1405</v>
      </c>
      <c r="E157" s="80" t="s">
        <v>30</v>
      </c>
      <c r="F157" s="69">
        <v>341000</v>
      </c>
      <c r="G157" s="305"/>
      <c r="H157" s="34"/>
      <c r="I157" s="34"/>
    </row>
    <row r="158" spans="1:9" ht="16.5" customHeight="1">
      <c r="A158" s="80" t="s">
        <v>1419</v>
      </c>
      <c r="B158" s="80" t="s">
        <v>1430</v>
      </c>
      <c r="C158" s="80" t="s">
        <v>1431</v>
      </c>
      <c r="D158" s="79" t="s">
        <v>1405</v>
      </c>
      <c r="E158" s="80" t="s">
        <v>1420</v>
      </c>
      <c r="F158" s="69">
        <v>225000</v>
      </c>
      <c r="G158" s="305"/>
      <c r="H158" s="34"/>
      <c r="I158" s="34"/>
    </row>
    <row r="159" spans="1:9" ht="16.5" customHeight="1">
      <c r="A159" s="80" t="s">
        <v>1419</v>
      </c>
      <c r="B159" s="80" t="s">
        <v>1430</v>
      </c>
      <c r="C159" s="80" t="s">
        <v>1431</v>
      </c>
      <c r="D159" s="79" t="s">
        <v>1405</v>
      </c>
      <c r="E159" s="80" t="s">
        <v>1421</v>
      </c>
      <c r="F159" s="69">
        <v>22500</v>
      </c>
      <c r="G159" s="305"/>
      <c r="H159" s="34"/>
      <c r="I159" s="34"/>
    </row>
    <row r="160" spans="1:9" ht="16.5" customHeight="1">
      <c r="A160" s="80" t="s">
        <v>1419</v>
      </c>
      <c r="B160" s="80" t="s">
        <v>1430</v>
      </c>
      <c r="C160" s="80" t="s">
        <v>1431</v>
      </c>
      <c r="D160" s="79" t="s">
        <v>1405</v>
      </c>
      <c r="E160" s="80" t="s">
        <v>30</v>
      </c>
      <c r="F160" s="668">
        <v>247500</v>
      </c>
      <c r="G160" s="305"/>
      <c r="H160" s="34"/>
      <c r="I160" s="34"/>
    </row>
    <row r="161" spans="1:9" ht="16.5" customHeight="1">
      <c r="A161" s="80" t="s">
        <v>1419</v>
      </c>
      <c r="B161" s="80" t="s">
        <v>1432</v>
      </c>
      <c r="C161" s="80" t="s">
        <v>1433</v>
      </c>
      <c r="D161" s="79" t="s">
        <v>1405</v>
      </c>
      <c r="E161" s="80" t="s">
        <v>1420</v>
      </c>
      <c r="F161" s="69">
        <v>310000</v>
      </c>
      <c r="G161" s="305"/>
      <c r="H161" s="34"/>
      <c r="I161" s="34"/>
    </row>
    <row r="162" spans="1:9" ht="16.5" customHeight="1">
      <c r="A162" s="80" t="s">
        <v>1419</v>
      </c>
      <c r="B162" s="80" t="s">
        <v>1432</v>
      </c>
      <c r="C162" s="80" t="s">
        <v>1433</v>
      </c>
      <c r="D162" s="79" t="s">
        <v>1405</v>
      </c>
      <c r="E162" s="80" t="s">
        <v>1421</v>
      </c>
      <c r="F162" s="69">
        <v>31000</v>
      </c>
      <c r="G162" s="305"/>
      <c r="H162" s="34"/>
      <c r="I162" s="34"/>
    </row>
    <row r="163" spans="1:9" ht="16.5" customHeight="1">
      <c r="A163" s="80" t="s">
        <v>1419</v>
      </c>
      <c r="B163" s="80" t="s">
        <v>1432</v>
      </c>
      <c r="C163" s="80" t="s">
        <v>1433</v>
      </c>
      <c r="D163" s="79" t="s">
        <v>1405</v>
      </c>
      <c r="E163" s="80" t="s">
        <v>30</v>
      </c>
      <c r="F163" s="668">
        <v>341000</v>
      </c>
      <c r="G163" s="305"/>
      <c r="H163" s="34"/>
      <c r="I163" s="34"/>
    </row>
    <row r="164" spans="1:9" ht="16.5" customHeight="1">
      <c r="A164" s="80" t="s">
        <v>1419</v>
      </c>
      <c r="B164" s="80" t="s">
        <v>1432</v>
      </c>
      <c r="C164" s="80" t="s">
        <v>1434</v>
      </c>
      <c r="D164" s="79" t="s">
        <v>1405</v>
      </c>
      <c r="E164" s="80" t="s">
        <v>1420</v>
      </c>
      <c r="F164" s="69">
        <v>223000</v>
      </c>
      <c r="G164" s="305"/>
      <c r="H164" s="34"/>
      <c r="I164" s="34"/>
    </row>
    <row r="165" spans="1:9" ht="16.5" customHeight="1">
      <c r="A165" s="80" t="s">
        <v>1419</v>
      </c>
      <c r="B165" s="80" t="s">
        <v>1432</v>
      </c>
      <c r="C165" s="80" t="s">
        <v>1434</v>
      </c>
      <c r="D165" s="79" t="s">
        <v>1405</v>
      </c>
      <c r="E165" s="80" t="s">
        <v>1421</v>
      </c>
      <c r="F165" s="69">
        <v>22300</v>
      </c>
      <c r="G165" s="305"/>
      <c r="H165" s="34"/>
      <c r="I165" s="34"/>
    </row>
    <row r="166" spans="1:9" ht="16.5" customHeight="1">
      <c r="A166" s="80" t="s">
        <v>1419</v>
      </c>
      <c r="B166" s="80" t="s">
        <v>1432</v>
      </c>
      <c r="C166" s="80" t="s">
        <v>1434</v>
      </c>
      <c r="D166" s="79" t="s">
        <v>1405</v>
      </c>
      <c r="E166" s="80" t="s">
        <v>30</v>
      </c>
      <c r="F166" s="668">
        <v>245300</v>
      </c>
      <c r="G166" s="305"/>
      <c r="H166" s="34"/>
      <c r="I166" s="34"/>
    </row>
    <row r="167" spans="1:9" ht="16.5" customHeight="1">
      <c r="A167" s="80" t="s">
        <v>1419</v>
      </c>
      <c r="B167" s="80" t="s">
        <v>73</v>
      </c>
      <c r="C167" s="80" t="s">
        <v>3270</v>
      </c>
      <c r="D167" s="79" t="s">
        <v>1406</v>
      </c>
      <c r="E167" s="80" t="s">
        <v>1420</v>
      </c>
      <c r="F167" s="69">
        <v>275000</v>
      </c>
      <c r="G167" s="305"/>
      <c r="H167" s="34"/>
      <c r="I167" s="34"/>
    </row>
    <row r="168" spans="1:9" ht="16.5" customHeight="1">
      <c r="A168" s="80" t="s">
        <v>1419</v>
      </c>
      <c r="B168" s="80" t="s">
        <v>73</v>
      </c>
      <c r="C168" s="80" t="s">
        <v>3270</v>
      </c>
      <c r="D168" s="79" t="s">
        <v>1406</v>
      </c>
      <c r="E168" s="80" t="s">
        <v>1421</v>
      </c>
      <c r="F168" s="69">
        <v>27500.000000000015</v>
      </c>
      <c r="G168" s="305"/>
      <c r="H168" s="34"/>
      <c r="I168" s="34"/>
    </row>
    <row r="169" spans="1:9" ht="16.5" customHeight="1">
      <c r="A169" s="80" t="s">
        <v>1419</v>
      </c>
      <c r="B169" s="80" t="s">
        <v>73</v>
      </c>
      <c r="C169" s="80" t="s">
        <v>3270</v>
      </c>
      <c r="D169" s="79" t="s">
        <v>1406</v>
      </c>
      <c r="E169" s="80" t="s">
        <v>30</v>
      </c>
      <c r="F169" s="69">
        <v>302500</v>
      </c>
      <c r="G169" s="305"/>
      <c r="H169" s="34"/>
      <c r="I169" s="34"/>
    </row>
    <row r="170" spans="1:9" ht="16.5" customHeight="1">
      <c r="A170" s="80" t="s">
        <v>1419</v>
      </c>
      <c r="B170" s="80" t="s">
        <v>73</v>
      </c>
      <c r="C170" s="80" t="s">
        <v>1422</v>
      </c>
      <c r="D170" s="79" t="s">
        <v>1406</v>
      </c>
      <c r="E170" s="80" t="s">
        <v>1420</v>
      </c>
      <c r="F170" s="69">
        <v>192000</v>
      </c>
      <c r="G170" s="305"/>
      <c r="H170" s="34"/>
      <c r="I170" s="34"/>
    </row>
    <row r="171" spans="1:9" ht="16.5" customHeight="1">
      <c r="A171" s="80" t="s">
        <v>1419</v>
      </c>
      <c r="B171" s="80" t="s">
        <v>73</v>
      </c>
      <c r="C171" s="80" t="s">
        <v>1422</v>
      </c>
      <c r="D171" s="79" t="s">
        <v>1406</v>
      </c>
      <c r="E171" s="80" t="s">
        <v>1421</v>
      </c>
      <c r="F171" s="69">
        <v>19200.000000000015</v>
      </c>
      <c r="G171" s="305"/>
      <c r="H171" s="34"/>
      <c r="I171" s="34"/>
    </row>
    <row r="172" spans="1:9" ht="16.5" customHeight="1">
      <c r="A172" s="80" t="s">
        <v>1419</v>
      </c>
      <c r="B172" s="80" t="s">
        <v>73</v>
      </c>
      <c r="C172" s="80" t="s">
        <v>1422</v>
      </c>
      <c r="D172" s="79" t="s">
        <v>1406</v>
      </c>
      <c r="E172" s="80" t="s">
        <v>30</v>
      </c>
      <c r="F172" s="69">
        <v>211200</v>
      </c>
      <c r="G172" s="305"/>
      <c r="H172" s="34"/>
      <c r="I172" s="34"/>
    </row>
    <row r="173" spans="1:9" ht="16.5" customHeight="1">
      <c r="A173" s="80" t="s">
        <v>1419</v>
      </c>
      <c r="B173" s="80" t="s">
        <v>74</v>
      </c>
      <c r="C173" s="80" t="s">
        <v>1423</v>
      </c>
      <c r="D173" s="79" t="s">
        <v>1406</v>
      </c>
      <c r="E173" s="80" t="s">
        <v>1420</v>
      </c>
      <c r="F173" s="69">
        <v>270000</v>
      </c>
      <c r="G173" s="305"/>
      <c r="H173" s="34"/>
      <c r="I173" s="34"/>
    </row>
    <row r="174" spans="1:9" ht="16.5" customHeight="1">
      <c r="A174" s="80" t="s">
        <v>1419</v>
      </c>
      <c r="B174" s="80" t="s">
        <v>74</v>
      </c>
      <c r="C174" s="80" t="s">
        <v>1423</v>
      </c>
      <c r="D174" s="79" t="s">
        <v>1406</v>
      </c>
      <c r="E174" s="80" t="s">
        <v>1421</v>
      </c>
      <c r="F174" s="69">
        <v>27000.000000000015</v>
      </c>
      <c r="G174" s="305"/>
      <c r="H174" s="34"/>
      <c r="I174" s="34"/>
    </row>
    <row r="175" spans="1:9" ht="16.5" customHeight="1">
      <c r="A175" s="80" t="s">
        <v>1419</v>
      </c>
      <c r="B175" s="80" t="s">
        <v>74</v>
      </c>
      <c r="C175" s="80" t="s">
        <v>1423</v>
      </c>
      <c r="D175" s="79" t="s">
        <v>1406</v>
      </c>
      <c r="E175" s="80" t="s">
        <v>30</v>
      </c>
      <c r="F175" s="69">
        <v>297000</v>
      </c>
      <c r="G175" s="305"/>
      <c r="H175" s="34"/>
      <c r="I175" s="34"/>
    </row>
    <row r="176" spans="1:9">
      <c r="A176" s="80" t="s">
        <v>1419</v>
      </c>
      <c r="B176" s="80" t="s">
        <v>74</v>
      </c>
      <c r="C176" s="80" t="s">
        <v>1424</v>
      </c>
      <c r="D176" s="79" t="s">
        <v>1406</v>
      </c>
      <c r="E176" s="80" t="s">
        <v>1420</v>
      </c>
      <c r="F176" s="69">
        <v>192000</v>
      </c>
      <c r="G176" s="306"/>
      <c r="H176" s="34"/>
      <c r="I176" s="34"/>
    </row>
    <row r="177" spans="1:9">
      <c r="A177" s="80" t="s">
        <v>1419</v>
      </c>
      <c r="B177" s="80" t="s">
        <v>74</v>
      </c>
      <c r="C177" s="80" t="s">
        <v>1424</v>
      </c>
      <c r="D177" s="79" t="s">
        <v>1406</v>
      </c>
      <c r="E177" s="80" t="s">
        <v>1421</v>
      </c>
      <c r="F177" s="69">
        <v>19200.000000000015</v>
      </c>
      <c r="G177" s="306"/>
      <c r="I177"/>
    </row>
    <row r="178" spans="1:9">
      <c r="A178" s="80" t="s">
        <v>1419</v>
      </c>
      <c r="B178" s="80" t="s">
        <v>74</v>
      </c>
      <c r="C178" s="80" t="s">
        <v>1424</v>
      </c>
      <c r="D178" s="79" t="s">
        <v>1406</v>
      </c>
      <c r="E178" s="80" t="s">
        <v>30</v>
      </c>
      <c r="F178" s="69">
        <v>211200</v>
      </c>
      <c r="G178" s="306"/>
      <c r="I178"/>
    </row>
    <row r="179" spans="1:9" ht="16.5" customHeight="1">
      <c r="A179" s="80" t="s">
        <v>1419</v>
      </c>
      <c r="B179" s="80" t="s">
        <v>74</v>
      </c>
      <c r="C179" s="80" t="s">
        <v>1425</v>
      </c>
      <c r="D179" s="79" t="s">
        <v>1406</v>
      </c>
      <c r="E179" s="80" t="s">
        <v>1420</v>
      </c>
      <c r="F179" s="69">
        <v>192000</v>
      </c>
      <c r="G179" s="305"/>
      <c r="I179"/>
    </row>
    <row r="180" spans="1:9" ht="16.5" customHeight="1">
      <c r="A180" s="80" t="s">
        <v>1419</v>
      </c>
      <c r="B180" s="80" t="s">
        <v>74</v>
      </c>
      <c r="C180" s="80" t="s">
        <v>1425</v>
      </c>
      <c r="D180" s="79" t="s">
        <v>1406</v>
      </c>
      <c r="E180" s="80" t="s">
        <v>1421</v>
      </c>
      <c r="F180" s="69">
        <v>19200.000000000015</v>
      </c>
      <c r="G180" s="305"/>
      <c r="H180" s="34"/>
      <c r="I180" s="34"/>
    </row>
    <row r="181" spans="1:9" ht="16.5" customHeight="1">
      <c r="A181" s="80" t="s">
        <v>1419</v>
      </c>
      <c r="B181" s="80" t="s">
        <v>74</v>
      </c>
      <c r="C181" s="80" t="s">
        <v>1425</v>
      </c>
      <c r="D181" s="79" t="s">
        <v>1406</v>
      </c>
      <c r="E181" s="80" t="s">
        <v>30</v>
      </c>
      <c r="F181" s="69">
        <v>211200</v>
      </c>
      <c r="G181" s="305"/>
      <c r="H181" s="34"/>
      <c r="I181" s="34"/>
    </row>
    <row r="182" spans="1:9" ht="16.5" customHeight="1">
      <c r="A182" s="80" t="s">
        <v>1419</v>
      </c>
      <c r="B182" s="80" t="s">
        <v>74</v>
      </c>
      <c r="C182" s="80" t="s">
        <v>1426</v>
      </c>
      <c r="D182" s="79" t="s">
        <v>1406</v>
      </c>
      <c r="E182" s="80" t="s">
        <v>1420</v>
      </c>
      <c r="F182" s="69">
        <v>192000</v>
      </c>
      <c r="G182" s="305"/>
      <c r="H182" s="34"/>
      <c r="I182" s="34"/>
    </row>
    <row r="183" spans="1:9" ht="16.5" customHeight="1">
      <c r="A183" s="80" t="s">
        <v>1419</v>
      </c>
      <c r="B183" s="80" t="s">
        <v>74</v>
      </c>
      <c r="C183" s="80" t="s">
        <v>1426</v>
      </c>
      <c r="D183" s="79" t="s">
        <v>1406</v>
      </c>
      <c r="E183" s="80" t="s">
        <v>1421</v>
      </c>
      <c r="F183" s="69">
        <v>19200.000000000015</v>
      </c>
      <c r="G183" s="305"/>
      <c r="H183" s="34"/>
      <c r="I183" s="34"/>
    </row>
    <row r="184" spans="1:9" ht="16.5" customHeight="1">
      <c r="A184" s="80" t="s">
        <v>1419</v>
      </c>
      <c r="B184" s="80" t="s">
        <v>74</v>
      </c>
      <c r="C184" s="80" t="s">
        <v>1426</v>
      </c>
      <c r="D184" s="79" t="s">
        <v>1406</v>
      </c>
      <c r="E184" s="80" t="s">
        <v>30</v>
      </c>
      <c r="F184" s="69">
        <v>211200</v>
      </c>
      <c r="G184" s="305"/>
      <c r="H184" s="34"/>
      <c r="I184" s="34"/>
    </row>
    <row r="185" spans="1:9" ht="16.5" customHeight="1">
      <c r="A185" s="80" t="s">
        <v>1419</v>
      </c>
      <c r="B185" s="80" t="s">
        <v>74</v>
      </c>
      <c r="C185" s="80" t="s">
        <v>1427</v>
      </c>
      <c r="D185" s="79" t="s">
        <v>1406</v>
      </c>
      <c r="E185" s="80" t="s">
        <v>1420</v>
      </c>
      <c r="F185" s="69">
        <v>205000</v>
      </c>
      <c r="G185" s="305"/>
      <c r="H185" s="34"/>
      <c r="I185" s="34"/>
    </row>
    <row r="186" spans="1:9" ht="16.5" customHeight="1">
      <c r="A186" s="80" t="s">
        <v>1419</v>
      </c>
      <c r="B186" s="80" t="s">
        <v>74</v>
      </c>
      <c r="C186" s="80" t="s">
        <v>1427</v>
      </c>
      <c r="D186" s="79" t="s">
        <v>1406</v>
      </c>
      <c r="E186" s="80" t="s">
        <v>1421</v>
      </c>
      <c r="F186" s="69">
        <v>20500.000000000029</v>
      </c>
      <c r="G186" s="305"/>
      <c r="H186" s="34"/>
      <c r="I186" s="34"/>
    </row>
    <row r="187" spans="1:9" ht="16.5" customHeight="1">
      <c r="A187" s="80" t="s">
        <v>1419</v>
      </c>
      <c r="B187" s="80" t="s">
        <v>74</v>
      </c>
      <c r="C187" s="80" t="s">
        <v>1427</v>
      </c>
      <c r="D187" s="79" t="s">
        <v>1406</v>
      </c>
      <c r="E187" s="80" t="s">
        <v>30</v>
      </c>
      <c r="F187" s="69">
        <v>225500</v>
      </c>
      <c r="G187" s="305"/>
      <c r="H187" s="34"/>
      <c r="I187" s="34"/>
    </row>
    <row r="188" spans="1:9" ht="16.5" customHeight="1">
      <c r="A188" s="80" t="s">
        <v>1419</v>
      </c>
      <c r="B188" s="80" t="s">
        <v>1428</v>
      </c>
      <c r="C188" s="80" t="s">
        <v>1429</v>
      </c>
      <c r="D188" s="79" t="s">
        <v>1406</v>
      </c>
      <c r="E188" s="80" t="s">
        <v>1420</v>
      </c>
      <c r="F188" s="69">
        <v>275000</v>
      </c>
      <c r="G188" s="305"/>
      <c r="H188" s="34"/>
      <c r="I188" s="34"/>
    </row>
    <row r="189" spans="1:9" ht="16.5" customHeight="1">
      <c r="A189" s="80" t="s">
        <v>1419</v>
      </c>
      <c r="B189" s="80" t="s">
        <v>1428</v>
      </c>
      <c r="C189" s="80" t="s">
        <v>1429</v>
      </c>
      <c r="D189" s="79" t="s">
        <v>1406</v>
      </c>
      <c r="E189" s="80" t="s">
        <v>1421</v>
      </c>
      <c r="F189" s="69">
        <v>27500.000000000015</v>
      </c>
      <c r="G189" s="305"/>
      <c r="H189" s="34"/>
      <c r="I189" s="34"/>
    </row>
    <row r="190" spans="1:9" ht="16.5" customHeight="1">
      <c r="A190" s="80" t="s">
        <v>1419</v>
      </c>
      <c r="B190" s="80" t="s">
        <v>1428</v>
      </c>
      <c r="C190" s="80" t="s">
        <v>1429</v>
      </c>
      <c r="D190" s="79" t="s">
        <v>1406</v>
      </c>
      <c r="E190" s="80" t="s">
        <v>30</v>
      </c>
      <c r="F190" s="69">
        <v>302500</v>
      </c>
      <c r="G190" s="305"/>
      <c r="H190" s="34"/>
      <c r="I190" s="34"/>
    </row>
    <row r="191" spans="1:9" ht="16.5" customHeight="1">
      <c r="A191" s="80" t="s">
        <v>1419</v>
      </c>
      <c r="B191" s="80" t="s">
        <v>1430</v>
      </c>
      <c r="C191" s="80" t="s">
        <v>1431</v>
      </c>
      <c r="D191" s="79" t="s">
        <v>1406</v>
      </c>
      <c r="E191" s="80" t="s">
        <v>1420</v>
      </c>
      <c r="F191" s="69">
        <v>190000</v>
      </c>
      <c r="G191" s="305"/>
      <c r="H191" s="34"/>
      <c r="I191" s="34"/>
    </row>
    <row r="192" spans="1:9" ht="16.5" customHeight="1">
      <c r="A192" s="80" t="s">
        <v>1419</v>
      </c>
      <c r="B192" s="80" t="s">
        <v>1430</v>
      </c>
      <c r="C192" s="80" t="s">
        <v>1431</v>
      </c>
      <c r="D192" s="79" t="s">
        <v>1406</v>
      </c>
      <c r="E192" s="80" t="s">
        <v>1421</v>
      </c>
      <c r="F192" s="69">
        <v>19000.000000000015</v>
      </c>
      <c r="G192" s="305"/>
      <c r="H192" s="34"/>
      <c r="I192" s="34"/>
    </row>
    <row r="193" spans="1:9" ht="16.5" customHeight="1">
      <c r="A193" s="80" t="s">
        <v>1419</v>
      </c>
      <c r="B193" s="80" t="s">
        <v>1430</v>
      </c>
      <c r="C193" s="80" t="s">
        <v>1431</v>
      </c>
      <c r="D193" s="79" t="s">
        <v>1406</v>
      </c>
      <c r="E193" s="80" t="s">
        <v>30</v>
      </c>
      <c r="F193" s="668">
        <v>209000</v>
      </c>
      <c r="G193" s="305"/>
      <c r="H193" s="34"/>
      <c r="I193" s="34"/>
    </row>
    <row r="194" spans="1:9" ht="16.5" customHeight="1">
      <c r="A194" s="80" t="s">
        <v>1419</v>
      </c>
      <c r="B194" s="80" t="s">
        <v>1432</v>
      </c>
      <c r="C194" s="80" t="s">
        <v>1433</v>
      </c>
      <c r="D194" s="79" t="s">
        <v>1406</v>
      </c>
      <c r="E194" s="80" t="s">
        <v>1420</v>
      </c>
      <c r="F194" s="69">
        <v>275000</v>
      </c>
      <c r="G194" s="305"/>
      <c r="H194" s="34"/>
      <c r="I194" s="34"/>
    </row>
    <row r="195" spans="1:9" ht="16.5" customHeight="1">
      <c r="A195" s="80" t="s">
        <v>1419</v>
      </c>
      <c r="B195" s="80" t="s">
        <v>1432</v>
      </c>
      <c r="C195" s="80" t="s">
        <v>1433</v>
      </c>
      <c r="D195" s="79" t="s">
        <v>1406</v>
      </c>
      <c r="E195" s="80" t="s">
        <v>1421</v>
      </c>
      <c r="F195" s="69">
        <v>27500.000000000015</v>
      </c>
      <c r="G195" s="305"/>
      <c r="H195" s="34"/>
      <c r="I195" s="34"/>
    </row>
    <row r="196" spans="1:9" ht="16.5" customHeight="1">
      <c r="A196" s="80" t="s">
        <v>1419</v>
      </c>
      <c r="B196" s="80" t="s">
        <v>1432</v>
      </c>
      <c r="C196" s="80" t="s">
        <v>1433</v>
      </c>
      <c r="D196" s="79" t="s">
        <v>1406</v>
      </c>
      <c r="E196" s="80" t="s">
        <v>30</v>
      </c>
      <c r="F196" s="668">
        <v>302500</v>
      </c>
      <c r="G196" s="305"/>
      <c r="H196" s="34"/>
      <c r="I196" s="34"/>
    </row>
    <row r="197" spans="1:9" ht="16.5" customHeight="1">
      <c r="A197" s="80" t="s">
        <v>1419</v>
      </c>
      <c r="B197" s="80" t="s">
        <v>1432</v>
      </c>
      <c r="C197" s="80" t="s">
        <v>1434</v>
      </c>
      <c r="D197" s="79" t="s">
        <v>1406</v>
      </c>
      <c r="E197" s="80" t="s">
        <v>1420</v>
      </c>
      <c r="F197" s="69">
        <v>188000</v>
      </c>
      <c r="G197" s="305"/>
      <c r="H197" s="34"/>
      <c r="I197" s="34"/>
    </row>
    <row r="198" spans="1:9" ht="16.5" customHeight="1">
      <c r="A198" s="80" t="s">
        <v>1419</v>
      </c>
      <c r="B198" s="80" t="s">
        <v>1432</v>
      </c>
      <c r="C198" s="80" t="s">
        <v>1434</v>
      </c>
      <c r="D198" s="79" t="s">
        <v>1406</v>
      </c>
      <c r="E198" s="80" t="s">
        <v>1421</v>
      </c>
      <c r="F198" s="69">
        <v>18800.000000000015</v>
      </c>
      <c r="G198" s="305"/>
      <c r="H198" s="34"/>
      <c r="I198" s="34"/>
    </row>
    <row r="199" spans="1:9" ht="16.5" customHeight="1">
      <c r="A199" s="80" t="s">
        <v>1419</v>
      </c>
      <c r="B199" s="80" t="s">
        <v>1432</v>
      </c>
      <c r="C199" s="80" t="s">
        <v>1434</v>
      </c>
      <c r="D199" s="79" t="s">
        <v>1406</v>
      </c>
      <c r="E199" s="80" t="s">
        <v>30</v>
      </c>
      <c r="F199" s="668">
        <v>206800</v>
      </c>
      <c r="G199" s="305"/>
      <c r="H199" s="34"/>
      <c r="I199" s="34"/>
    </row>
    <row r="200" spans="1:9" ht="16.5" customHeight="1">
      <c r="A200" s="80" t="s">
        <v>1419</v>
      </c>
      <c r="B200" s="80" t="s">
        <v>73</v>
      </c>
      <c r="C200" s="80" t="s">
        <v>3270</v>
      </c>
      <c r="D200" s="79" t="s">
        <v>1407</v>
      </c>
      <c r="E200" s="80" t="s">
        <v>1420</v>
      </c>
      <c r="F200" s="69">
        <v>255000</v>
      </c>
      <c r="G200" s="305"/>
      <c r="H200" s="34"/>
      <c r="I200" s="34"/>
    </row>
    <row r="201" spans="1:9" ht="16.5" customHeight="1">
      <c r="A201" s="80" t="s">
        <v>1419</v>
      </c>
      <c r="B201" s="80" t="s">
        <v>73</v>
      </c>
      <c r="C201" s="80" t="s">
        <v>3270</v>
      </c>
      <c r="D201" s="79" t="s">
        <v>1407</v>
      </c>
      <c r="E201" s="80" t="s">
        <v>1421</v>
      </c>
      <c r="F201" s="69">
        <v>25500</v>
      </c>
      <c r="G201" s="305"/>
      <c r="H201" s="34"/>
      <c r="I201" s="34"/>
    </row>
    <row r="202" spans="1:9" ht="16.5" customHeight="1">
      <c r="A202" s="80" t="s">
        <v>1419</v>
      </c>
      <c r="B202" s="80" t="s">
        <v>73</v>
      </c>
      <c r="C202" s="80" t="s">
        <v>3270</v>
      </c>
      <c r="D202" s="79" t="s">
        <v>1407</v>
      </c>
      <c r="E202" s="80" t="s">
        <v>30</v>
      </c>
      <c r="F202" s="69">
        <v>280500</v>
      </c>
      <c r="G202" s="305"/>
      <c r="H202" s="34"/>
      <c r="I202" s="34"/>
    </row>
    <row r="203" spans="1:9" ht="16.5" customHeight="1">
      <c r="A203" s="80" t="s">
        <v>1419</v>
      </c>
      <c r="B203" s="80" t="s">
        <v>73</v>
      </c>
      <c r="C203" s="80" t="s">
        <v>1422</v>
      </c>
      <c r="D203" s="79" t="s">
        <v>1407</v>
      </c>
      <c r="E203" s="80" t="s">
        <v>1420</v>
      </c>
      <c r="F203" s="69">
        <v>172000</v>
      </c>
      <c r="G203" s="305"/>
      <c r="H203" s="34"/>
      <c r="I203" s="34"/>
    </row>
    <row r="204" spans="1:9" ht="16.5" customHeight="1">
      <c r="A204" s="80" t="s">
        <v>1419</v>
      </c>
      <c r="B204" s="80" t="s">
        <v>73</v>
      </c>
      <c r="C204" s="80" t="s">
        <v>1422</v>
      </c>
      <c r="D204" s="79" t="s">
        <v>1407</v>
      </c>
      <c r="E204" s="80" t="s">
        <v>1421</v>
      </c>
      <c r="F204" s="69">
        <v>17200</v>
      </c>
      <c r="G204" s="305"/>
      <c r="H204" s="34"/>
      <c r="I204" s="34"/>
    </row>
    <row r="205" spans="1:9" ht="16.5" customHeight="1">
      <c r="A205" s="80" t="s">
        <v>1419</v>
      </c>
      <c r="B205" s="80" t="s">
        <v>73</v>
      </c>
      <c r="C205" s="80" t="s">
        <v>1422</v>
      </c>
      <c r="D205" s="79" t="s">
        <v>1407</v>
      </c>
      <c r="E205" s="80" t="s">
        <v>30</v>
      </c>
      <c r="F205" s="69">
        <v>189200</v>
      </c>
      <c r="G205" s="305"/>
      <c r="H205" s="34"/>
      <c r="I205" s="34"/>
    </row>
    <row r="206" spans="1:9" ht="16.5" customHeight="1">
      <c r="A206" s="80" t="s">
        <v>1419</v>
      </c>
      <c r="B206" s="80" t="s">
        <v>74</v>
      </c>
      <c r="C206" s="80" t="s">
        <v>1423</v>
      </c>
      <c r="D206" s="79" t="s">
        <v>1407</v>
      </c>
      <c r="E206" s="80" t="s">
        <v>1420</v>
      </c>
      <c r="F206" s="69">
        <v>250000</v>
      </c>
      <c r="G206" s="305"/>
      <c r="H206" s="34"/>
      <c r="I206" s="34"/>
    </row>
    <row r="207" spans="1:9" ht="16.5" customHeight="1">
      <c r="A207" s="80" t="s">
        <v>1419</v>
      </c>
      <c r="B207" s="80" t="s">
        <v>74</v>
      </c>
      <c r="C207" s="80" t="s">
        <v>1423</v>
      </c>
      <c r="D207" s="79" t="s">
        <v>1407</v>
      </c>
      <c r="E207" s="80" t="s">
        <v>1421</v>
      </c>
      <c r="F207" s="69">
        <v>25000</v>
      </c>
      <c r="G207" s="305"/>
      <c r="H207" s="34"/>
      <c r="I207" s="34"/>
    </row>
    <row r="208" spans="1:9" ht="16.5" customHeight="1">
      <c r="A208" s="80" t="s">
        <v>1419</v>
      </c>
      <c r="B208" s="80" t="s">
        <v>74</v>
      </c>
      <c r="C208" s="80" t="s">
        <v>1423</v>
      </c>
      <c r="D208" s="79" t="s">
        <v>1407</v>
      </c>
      <c r="E208" s="80" t="s">
        <v>30</v>
      </c>
      <c r="F208" s="69">
        <v>275000</v>
      </c>
      <c r="G208" s="305"/>
      <c r="H208" s="34"/>
      <c r="I208" s="34"/>
    </row>
    <row r="209" spans="1:9">
      <c r="A209" s="80" t="s">
        <v>1419</v>
      </c>
      <c r="B209" s="80" t="s">
        <v>74</v>
      </c>
      <c r="C209" s="80" t="s">
        <v>1424</v>
      </c>
      <c r="D209" s="79" t="s">
        <v>1407</v>
      </c>
      <c r="E209" s="80" t="s">
        <v>1420</v>
      </c>
      <c r="F209" s="69">
        <v>172000</v>
      </c>
      <c r="G209" s="306"/>
      <c r="H209" s="34"/>
      <c r="I209" s="34"/>
    </row>
    <row r="210" spans="1:9">
      <c r="A210" s="80" t="s">
        <v>1419</v>
      </c>
      <c r="B210" s="80" t="s">
        <v>74</v>
      </c>
      <c r="C210" s="80" t="s">
        <v>1424</v>
      </c>
      <c r="D210" s="79" t="s">
        <v>1407</v>
      </c>
      <c r="E210" s="80" t="s">
        <v>1421</v>
      </c>
      <c r="F210" s="69">
        <v>17200</v>
      </c>
      <c r="G210" s="306"/>
      <c r="I210"/>
    </row>
    <row r="211" spans="1:9">
      <c r="A211" s="80" t="s">
        <v>1419</v>
      </c>
      <c r="B211" s="80" t="s">
        <v>74</v>
      </c>
      <c r="C211" s="80" t="s">
        <v>1424</v>
      </c>
      <c r="D211" s="79" t="s">
        <v>1407</v>
      </c>
      <c r="E211" s="80" t="s">
        <v>30</v>
      </c>
      <c r="F211" s="69">
        <v>189200</v>
      </c>
      <c r="G211" s="306"/>
      <c r="I211"/>
    </row>
    <row r="212" spans="1:9" ht="16.5" customHeight="1">
      <c r="A212" s="80" t="s">
        <v>1419</v>
      </c>
      <c r="B212" s="80" t="s">
        <v>74</v>
      </c>
      <c r="C212" s="80" t="s">
        <v>1425</v>
      </c>
      <c r="D212" s="79" t="s">
        <v>1407</v>
      </c>
      <c r="E212" s="80" t="s">
        <v>1420</v>
      </c>
      <c r="F212" s="69">
        <v>172000</v>
      </c>
      <c r="G212" s="305"/>
      <c r="I212"/>
    </row>
    <row r="213" spans="1:9" ht="16.5" customHeight="1">
      <c r="A213" s="80" t="s">
        <v>1419</v>
      </c>
      <c r="B213" s="80" t="s">
        <v>74</v>
      </c>
      <c r="C213" s="80" t="s">
        <v>1425</v>
      </c>
      <c r="D213" s="79" t="s">
        <v>1407</v>
      </c>
      <c r="E213" s="80" t="s">
        <v>1421</v>
      </c>
      <c r="F213" s="69">
        <v>17200</v>
      </c>
      <c r="G213" s="305"/>
      <c r="H213" s="34"/>
      <c r="I213" s="34"/>
    </row>
    <row r="214" spans="1:9" ht="16.5" customHeight="1">
      <c r="A214" s="80" t="s">
        <v>1419</v>
      </c>
      <c r="B214" s="80" t="s">
        <v>74</v>
      </c>
      <c r="C214" s="80" t="s">
        <v>1425</v>
      </c>
      <c r="D214" s="79" t="s">
        <v>1407</v>
      </c>
      <c r="E214" s="80" t="s">
        <v>30</v>
      </c>
      <c r="F214" s="69">
        <v>189200</v>
      </c>
      <c r="G214" s="305"/>
      <c r="H214" s="34"/>
      <c r="I214" s="34"/>
    </row>
    <row r="215" spans="1:9" ht="16.5" customHeight="1">
      <c r="A215" s="80" t="s">
        <v>1419</v>
      </c>
      <c r="B215" s="80" t="s">
        <v>74</v>
      </c>
      <c r="C215" s="80" t="s">
        <v>1426</v>
      </c>
      <c r="D215" s="79" t="s">
        <v>1407</v>
      </c>
      <c r="E215" s="80" t="s">
        <v>1420</v>
      </c>
      <c r="F215" s="69">
        <v>172000</v>
      </c>
      <c r="G215" s="305"/>
      <c r="H215" s="34"/>
      <c r="I215" s="34"/>
    </row>
    <row r="216" spans="1:9" ht="16.5" customHeight="1">
      <c r="A216" s="80" t="s">
        <v>1419</v>
      </c>
      <c r="B216" s="80" t="s">
        <v>74</v>
      </c>
      <c r="C216" s="80" t="s">
        <v>1426</v>
      </c>
      <c r="D216" s="79" t="s">
        <v>1407</v>
      </c>
      <c r="E216" s="80" t="s">
        <v>1421</v>
      </c>
      <c r="F216" s="69">
        <v>17200</v>
      </c>
      <c r="G216" s="305"/>
      <c r="H216" s="34"/>
      <c r="I216" s="34"/>
    </row>
    <row r="217" spans="1:9" ht="16.5" customHeight="1">
      <c r="A217" s="80" t="s">
        <v>1419</v>
      </c>
      <c r="B217" s="80" t="s">
        <v>74</v>
      </c>
      <c r="C217" s="80" t="s">
        <v>1426</v>
      </c>
      <c r="D217" s="79" t="s">
        <v>1407</v>
      </c>
      <c r="E217" s="80" t="s">
        <v>30</v>
      </c>
      <c r="F217" s="69">
        <v>189200</v>
      </c>
      <c r="G217" s="305"/>
      <c r="H217" s="34"/>
      <c r="I217" s="34"/>
    </row>
    <row r="218" spans="1:9" ht="16.5" customHeight="1">
      <c r="A218" s="80" t="s">
        <v>1419</v>
      </c>
      <c r="B218" s="80" t="s">
        <v>74</v>
      </c>
      <c r="C218" s="80" t="s">
        <v>1427</v>
      </c>
      <c r="D218" s="79" t="s">
        <v>1407</v>
      </c>
      <c r="E218" s="80" t="s">
        <v>1420</v>
      </c>
      <c r="F218" s="69">
        <v>185000</v>
      </c>
      <c r="G218" s="305"/>
      <c r="H218" s="34"/>
      <c r="I218" s="34"/>
    </row>
    <row r="219" spans="1:9" ht="16.5" customHeight="1">
      <c r="A219" s="80" t="s">
        <v>1419</v>
      </c>
      <c r="B219" s="80" t="s">
        <v>74</v>
      </c>
      <c r="C219" s="80" t="s">
        <v>1427</v>
      </c>
      <c r="D219" s="79" t="s">
        <v>1407</v>
      </c>
      <c r="E219" s="80" t="s">
        <v>1421</v>
      </c>
      <c r="F219" s="69">
        <v>18500.000000000015</v>
      </c>
      <c r="G219" s="305"/>
      <c r="H219" s="34"/>
      <c r="I219" s="34"/>
    </row>
    <row r="220" spans="1:9" ht="16.5" customHeight="1">
      <c r="A220" s="80" t="s">
        <v>1419</v>
      </c>
      <c r="B220" s="80" t="s">
        <v>74</v>
      </c>
      <c r="C220" s="80" t="s">
        <v>1427</v>
      </c>
      <c r="D220" s="79" t="s">
        <v>1407</v>
      </c>
      <c r="E220" s="80" t="s">
        <v>30</v>
      </c>
      <c r="F220" s="69">
        <v>203500</v>
      </c>
      <c r="G220" s="305"/>
      <c r="H220" s="34"/>
      <c r="I220" s="34"/>
    </row>
    <row r="221" spans="1:9" ht="16.5" customHeight="1">
      <c r="A221" s="80" t="s">
        <v>1419</v>
      </c>
      <c r="B221" s="80" t="s">
        <v>1428</v>
      </c>
      <c r="C221" s="80" t="s">
        <v>1429</v>
      </c>
      <c r="D221" s="79" t="s">
        <v>1407</v>
      </c>
      <c r="E221" s="80" t="s">
        <v>1420</v>
      </c>
      <c r="F221" s="69">
        <v>255000</v>
      </c>
      <c r="G221" s="305"/>
      <c r="H221" s="34"/>
      <c r="I221" s="34"/>
    </row>
    <row r="222" spans="1:9" ht="16.5" customHeight="1">
      <c r="A222" s="80" t="s">
        <v>1419</v>
      </c>
      <c r="B222" s="80" t="s">
        <v>1428</v>
      </c>
      <c r="C222" s="80" t="s">
        <v>1429</v>
      </c>
      <c r="D222" s="79" t="s">
        <v>1407</v>
      </c>
      <c r="E222" s="80" t="s">
        <v>1421</v>
      </c>
      <c r="F222" s="69">
        <v>25500</v>
      </c>
      <c r="G222" s="305"/>
      <c r="H222" s="34"/>
      <c r="I222" s="34"/>
    </row>
    <row r="223" spans="1:9" ht="16.5" customHeight="1">
      <c r="A223" s="80" t="s">
        <v>1419</v>
      </c>
      <c r="B223" s="80" t="s">
        <v>1428</v>
      </c>
      <c r="C223" s="80" t="s">
        <v>1429</v>
      </c>
      <c r="D223" s="79" t="s">
        <v>1407</v>
      </c>
      <c r="E223" s="80" t="s">
        <v>30</v>
      </c>
      <c r="F223" s="69">
        <v>280500</v>
      </c>
      <c r="G223" s="305"/>
      <c r="H223" s="34"/>
      <c r="I223" s="34"/>
    </row>
    <row r="224" spans="1:9" ht="16.5" customHeight="1">
      <c r="A224" s="80" t="s">
        <v>1419</v>
      </c>
      <c r="B224" s="80" t="s">
        <v>1430</v>
      </c>
      <c r="C224" s="80" t="s">
        <v>1431</v>
      </c>
      <c r="D224" s="79" t="s">
        <v>1407</v>
      </c>
      <c r="E224" s="80" t="s">
        <v>1420</v>
      </c>
      <c r="F224" s="69">
        <v>170000</v>
      </c>
      <c r="G224" s="305"/>
      <c r="H224" s="34"/>
      <c r="I224" s="34"/>
    </row>
    <row r="225" spans="1:9" ht="16.5" customHeight="1">
      <c r="A225" s="80" t="s">
        <v>1419</v>
      </c>
      <c r="B225" s="80" t="s">
        <v>1430</v>
      </c>
      <c r="C225" s="80" t="s">
        <v>1431</v>
      </c>
      <c r="D225" s="79" t="s">
        <v>1407</v>
      </c>
      <c r="E225" s="80" t="s">
        <v>1421</v>
      </c>
      <c r="F225" s="69">
        <v>17000</v>
      </c>
      <c r="G225" s="305"/>
      <c r="H225" s="34"/>
      <c r="I225" s="34"/>
    </row>
    <row r="226" spans="1:9" ht="16.5" customHeight="1">
      <c r="A226" s="80" t="s">
        <v>1419</v>
      </c>
      <c r="B226" s="80" t="s">
        <v>1430</v>
      </c>
      <c r="C226" s="80" t="s">
        <v>1431</v>
      </c>
      <c r="D226" s="79" t="s">
        <v>1407</v>
      </c>
      <c r="E226" s="80" t="s">
        <v>30</v>
      </c>
      <c r="F226" s="668">
        <v>187000</v>
      </c>
      <c r="G226" s="305"/>
      <c r="H226" s="34"/>
      <c r="I226" s="34"/>
    </row>
    <row r="227" spans="1:9" ht="16.5" customHeight="1">
      <c r="A227" s="80" t="s">
        <v>1419</v>
      </c>
      <c r="B227" s="80" t="s">
        <v>1432</v>
      </c>
      <c r="C227" s="80" t="s">
        <v>1433</v>
      </c>
      <c r="D227" s="79" t="s">
        <v>1407</v>
      </c>
      <c r="E227" s="80" t="s">
        <v>1420</v>
      </c>
      <c r="F227" s="69">
        <v>255000</v>
      </c>
      <c r="G227" s="305"/>
      <c r="H227" s="34"/>
      <c r="I227" s="34"/>
    </row>
    <row r="228" spans="1:9" ht="16.5" customHeight="1">
      <c r="A228" s="80" t="s">
        <v>1419</v>
      </c>
      <c r="B228" s="80" t="s">
        <v>1432</v>
      </c>
      <c r="C228" s="80" t="s">
        <v>1433</v>
      </c>
      <c r="D228" s="79" t="s">
        <v>1407</v>
      </c>
      <c r="E228" s="80" t="s">
        <v>1421</v>
      </c>
      <c r="F228" s="69">
        <v>25500</v>
      </c>
      <c r="G228" s="305"/>
      <c r="H228" s="34"/>
      <c r="I228" s="34"/>
    </row>
    <row r="229" spans="1:9" ht="16.5" customHeight="1">
      <c r="A229" s="80" t="s">
        <v>1419</v>
      </c>
      <c r="B229" s="80" t="s">
        <v>1432</v>
      </c>
      <c r="C229" s="80" t="s">
        <v>1433</v>
      </c>
      <c r="D229" s="79" t="s">
        <v>1407</v>
      </c>
      <c r="E229" s="80" t="s">
        <v>30</v>
      </c>
      <c r="F229" s="668">
        <v>280500</v>
      </c>
      <c r="G229" s="305"/>
      <c r="H229" s="34"/>
      <c r="I229" s="34"/>
    </row>
    <row r="230" spans="1:9" ht="16.5" customHeight="1">
      <c r="A230" s="80" t="s">
        <v>1419</v>
      </c>
      <c r="B230" s="80" t="s">
        <v>1432</v>
      </c>
      <c r="C230" s="80" t="s">
        <v>1434</v>
      </c>
      <c r="D230" s="79" t="s">
        <v>1407</v>
      </c>
      <c r="E230" s="80" t="s">
        <v>1420</v>
      </c>
      <c r="F230" s="69">
        <v>168000</v>
      </c>
      <c r="G230" s="305"/>
      <c r="H230" s="34"/>
      <c r="I230" s="34"/>
    </row>
    <row r="231" spans="1:9" ht="16.5" customHeight="1">
      <c r="A231" s="80" t="s">
        <v>1419</v>
      </c>
      <c r="B231" s="80" t="s">
        <v>1432</v>
      </c>
      <c r="C231" s="80" t="s">
        <v>1434</v>
      </c>
      <c r="D231" s="79" t="s">
        <v>1407</v>
      </c>
      <c r="E231" s="80" t="s">
        <v>1421</v>
      </c>
      <c r="F231" s="69">
        <v>16800</v>
      </c>
      <c r="G231" s="305"/>
      <c r="H231" s="34"/>
      <c r="I231" s="34"/>
    </row>
    <row r="232" spans="1:9" ht="16.5" customHeight="1">
      <c r="A232" s="80" t="s">
        <v>1419</v>
      </c>
      <c r="B232" s="80" t="s">
        <v>1432</v>
      </c>
      <c r="C232" s="80" t="s">
        <v>1434</v>
      </c>
      <c r="D232" s="79" t="s">
        <v>1407</v>
      </c>
      <c r="E232" s="80" t="s">
        <v>30</v>
      </c>
      <c r="F232" s="668">
        <v>184800</v>
      </c>
      <c r="G232" s="305"/>
      <c r="H232" s="34"/>
      <c r="I232" s="34"/>
    </row>
    <row r="233" spans="1:9" ht="16.5" customHeight="1">
      <c r="A233" s="80" t="s">
        <v>1419</v>
      </c>
      <c r="B233" s="80" t="s">
        <v>73</v>
      </c>
      <c r="C233" s="80" t="s">
        <v>3270</v>
      </c>
      <c r="D233" s="79" t="s">
        <v>1408</v>
      </c>
      <c r="E233" s="80" t="s">
        <v>1420</v>
      </c>
      <c r="F233" s="69">
        <v>260000</v>
      </c>
      <c r="G233" s="305"/>
      <c r="H233" s="34"/>
      <c r="I233" s="34"/>
    </row>
    <row r="234" spans="1:9" ht="16.5" customHeight="1">
      <c r="A234" s="80" t="s">
        <v>1419</v>
      </c>
      <c r="B234" s="80" t="s">
        <v>73</v>
      </c>
      <c r="C234" s="80" t="s">
        <v>3270</v>
      </c>
      <c r="D234" s="79" t="s">
        <v>1408</v>
      </c>
      <c r="E234" s="80" t="s">
        <v>1421</v>
      </c>
      <c r="F234" s="69">
        <v>26000.000000000015</v>
      </c>
      <c r="G234" s="305"/>
      <c r="H234" s="34"/>
      <c r="I234" s="34"/>
    </row>
    <row r="235" spans="1:9" ht="16.5" customHeight="1">
      <c r="A235" s="80" t="s">
        <v>1419</v>
      </c>
      <c r="B235" s="80" t="s">
        <v>73</v>
      </c>
      <c r="C235" s="80" t="s">
        <v>3270</v>
      </c>
      <c r="D235" s="79" t="s">
        <v>1408</v>
      </c>
      <c r="E235" s="80" t="s">
        <v>30</v>
      </c>
      <c r="F235" s="69">
        <v>286000</v>
      </c>
      <c r="G235" s="305"/>
      <c r="H235" s="34"/>
      <c r="I235" s="34"/>
    </row>
    <row r="236" spans="1:9" ht="16.5" customHeight="1">
      <c r="A236" s="80" t="s">
        <v>1419</v>
      </c>
      <c r="B236" s="80" t="s">
        <v>73</v>
      </c>
      <c r="C236" s="80" t="s">
        <v>1422</v>
      </c>
      <c r="D236" s="79" t="s">
        <v>1408</v>
      </c>
      <c r="E236" s="80" t="s">
        <v>1420</v>
      </c>
      <c r="F236" s="69">
        <v>177000</v>
      </c>
      <c r="G236" s="305"/>
      <c r="H236" s="34"/>
      <c r="I236" s="34"/>
    </row>
    <row r="237" spans="1:9" ht="16.5" customHeight="1">
      <c r="A237" s="80" t="s">
        <v>1419</v>
      </c>
      <c r="B237" s="80" t="s">
        <v>73</v>
      </c>
      <c r="C237" s="80" t="s">
        <v>1422</v>
      </c>
      <c r="D237" s="79" t="s">
        <v>1408</v>
      </c>
      <c r="E237" s="80" t="s">
        <v>1421</v>
      </c>
      <c r="F237" s="69">
        <v>17700.000000000015</v>
      </c>
      <c r="G237" s="305"/>
      <c r="H237" s="34"/>
      <c r="I237" s="34"/>
    </row>
    <row r="238" spans="1:9" ht="16.5" customHeight="1">
      <c r="A238" s="80" t="s">
        <v>1419</v>
      </c>
      <c r="B238" s="80" t="s">
        <v>73</v>
      </c>
      <c r="C238" s="80" t="s">
        <v>1422</v>
      </c>
      <c r="D238" s="79" t="s">
        <v>1408</v>
      </c>
      <c r="E238" s="80" t="s">
        <v>30</v>
      </c>
      <c r="F238" s="69">
        <v>194700</v>
      </c>
      <c r="G238" s="305"/>
      <c r="H238" s="34"/>
      <c r="I238" s="34"/>
    </row>
    <row r="239" spans="1:9" ht="16.5" customHeight="1">
      <c r="A239" s="80" t="s">
        <v>1419</v>
      </c>
      <c r="B239" s="80" t="s">
        <v>74</v>
      </c>
      <c r="C239" s="80" t="s">
        <v>1423</v>
      </c>
      <c r="D239" s="79" t="s">
        <v>1408</v>
      </c>
      <c r="E239" s="80" t="s">
        <v>1420</v>
      </c>
      <c r="F239" s="69">
        <v>255000</v>
      </c>
      <c r="G239" s="305"/>
      <c r="H239" s="34"/>
      <c r="I239" s="34"/>
    </row>
    <row r="240" spans="1:9" ht="16.5" customHeight="1">
      <c r="A240" s="80" t="s">
        <v>1419</v>
      </c>
      <c r="B240" s="80" t="s">
        <v>74</v>
      </c>
      <c r="C240" s="80" t="s">
        <v>1423</v>
      </c>
      <c r="D240" s="79" t="s">
        <v>1408</v>
      </c>
      <c r="E240" s="80" t="s">
        <v>1421</v>
      </c>
      <c r="F240" s="69">
        <v>25500.000000000015</v>
      </c>
      <c r="G240" s="305"/>
      <c r="H240" s="34"/>
      <c r="I240" s="34"/>
    </row>
    <row r="241" spans="1:9" ht="16.5" customHeight="1">
      <c r="A241" s="80" t="s">
        <v>1419</v>
      </c>
      <c r="B241" s="80" t="s">
        <v>74</v>
      </c>
      <c r="C241" s="80" t="s">
        <v>1423</v>
      </c>
      <c r="D241" s="79" t="s">
        <v>1408</v>
      </c>
      <c r="E241" s="80" t="s">
        <v>30</v>
      </c>
      <c r="F241" s="69">
        <v>280500</v>
      </c>
      <c r="G241" s="305"/>
      <c r="H241" s="34"/>
      <c r="I241" s="34"/>
    </row>
    <row r="242" spans="1:9">
      <c r="A242" s="80" t="s">
        <v>1419</v>
      </c>
      <c r="B242" s="80" t="s">
        <v>74</v>
      </c>
      <c r="C242" s="80" t="s">
        <v>1424</v>
      </c>
      <c r="D242" s="79" t="s">
        <v>1408</v>
      </c>
      <c r="E242" s="80" t="s">
        <v>1420</v>
      </c>
      <c r="F242" s="69">
        <v>177000</v>
      </c>
      <c r="G242" s="306"/>
      <c r="H242" s="34"/>
      <c r="I242" s="34"/>
    </row>
    <row r="243" spans="1:9">
      <c r="A243" s="80" t="s">
        <v>1419</v>
      </c>
      <c r="B243" s="80" t="s">
        <v>74</v>
      </c>
      <c r="C243" s="80" t="s">
        <v>1424</v>
      </c>
      <c r="D243" s="79" t="s">
        <v>1408</v>
      </c>
      <c r="E243" s="80" t="s">
        <v>1421</v>
      </c>
      <c r="F243" s="69">
        <v>17700.000000000015</v>
      </c>
      <c r="G243" s="306"/>
      <c r="I243"/>
    </row>
    <row r="244" spans="1:9">
      <c r="A244" s="80" t="s">
        <v>1419</v>
      </c>
      <c r="B244" s="80" t="s">
        <v>74</v>
      </c>
      <c r="C244" s="80" t="s">
        <v>1424</v>
      </c>
      <c r="D244" s="79" t="s">
        <v>1408</v>
      </c>
      <c r="E244" s="80" t="s">
        <v>30</v>
      </c>
      <c r="F244" s="69">
        <v>194700</v>
      </c>
      <c r="G244" s="306"/>
      <c r="I244"/>
    </row>
    <row r="245" spans="1:9" ht="16.5" customHeight="1">
      <c r="A245" s="80" t="s">
        <v>1419</v>
      </c>
      <c r="B245" s="80" t="s">
        <v>74</v>
      </c>
      <c r="C245" s="80" t="s">
        <v>1425</v>
      </c>
      <c r="D245" s="79" t="s">
        <v>1408</v>
      </c>
      <c r="E245" s="80" t="s">
        <v>1420</v>
      </c>
      <c r="F245" s="69">
        <v>177000</v>
      </c>
      <c r="G245" s="305"/>
      <c r="I245"/>
    </row>
    <row r="246" spans="1:9" ht="16.5" customHeight="1">
      <c r="A246" s="80" t="s">
        <v>1419</v>
      </c>
      <c r="B246" s="80" t="s">
        <v>74</v>
      </c>
      <c r="C246" s="80" t="s">
        <v>1425</v>
      </c>
      <c r="D246" s="79" t="s">
        <v>1408</v>
      </c>
      <c r="E246" s="80" t="s">
        <v>1421</v>
      </c>
      <c r="F246" s="69">
        <v>17700.000000000015</v>
      </c>
      <c r="G246" s="305"/>
      <c r="H246" s="34"/>
      <c r="I246" s="34"/>
    </row>
    <row r="247" spans="1:9" ht="16.5" customHeight="1">
      <c r="A247" s="80" t="s">
        <v>1419</v>
      </c>
      <c r="B247" s="80" t="s">
        <v>74</v>
      </c>
      <c r="C247" s="80" t="s">
        <v>1425</v>
      </c>
      <c r="D247" s="79" t="s">
        <v>1408</v>
      </c>
      <c r="E247" s="80" t="s">
        <v>30</v>
      </c>
      <c r="F247" s="69">
        <v>194700</v>
      </c>
      <c r="G247" s="305"/>
      <c r="H247" s="34"/>
      <c r="I247" s="34"/>
    </row>
    <row r="248" spans="1:9" ht="16.5" customHeight="1">
      <c r="A248" s="80" t="s">
        <v>1419</v>
      </c>
      <c r="B248" s="80" t="s">
        <v>74</v>
      </c>
      <c r="C248" s="80" t="s">
        <v>1426</v>
      </c>
      <c r="D248" s="79" t="s">
        <v>1408</v>
      </c>
      <c r="E248" s="80" t="s">
        <v>1420</v>
      </c>
      <c r="F248" s="69">
        <v>177000</v>
      </c>
      <c r="G248" s="305"/>
      <c r="H248" s="34"/>
      <c r="I248" s="34"/>
    </row>
    <row r="249" spans="1:9" ht="16.5" customHeight="1">
      <c r="A249" s="80" t="s">
        <v>1419</v>
      </c>
      <c r="B249" s="80" t="s">
        <v>74</v>
      </c>
      <c r="C249" s="80" t="s">
        <v>1426</v>
      </c>
      <c r="D249" s="79" t="s">
        <v>1408</v>
      </c>
      <c r="E249" s="80" t="s">
        <v>1421</v>
      </c>
      <c r="F249" s="69">
        <v>17700.000000000015</v>
      </c>
      <c r="G249" s="305"/>
      <c r="H249" s="34"/>
      <c r="I249" s="34"/>
    </row>
    <row r="250" spans="1:9" ht="16.5" customHeight="1">
      <c r="A250" s="80" t="s">
        <v>1419</v>
      </c>
      <c r="B250" s="80" t="s">
        <v>74</v>
      </c>
      <c r="C250" s="80" t="s">
        <v>1426</v>
      </c>
      <c r="D250" s="79" t="s">
        <v>1408</v>
      </c>
      <c r="E250" s="80" t="s">
        <v>30</v>
      </c>
      <c r="F250" s="69">
        <v>194700</v>
      </c>
      <c r="G250" s="305"/>
      <c r="H250" s="34"/>
      <c r="I250" s="34"/>
    </row>
    <row r="251" spans="1:9" ht="16.5" customHeight="1">
      <c r="A251" s="80" t="s">
        <v>1419</v>
      </c>
      <c r="B251" s="80" t="s">
        <v>74</v>
      </c>
      <c r="C251" s="80" t="s">
        <v>1427</v>
      </c>
      <c r="D251" s="79" t="s">
        <v>1408</v>
      </c>
      <c r="E251" s="80" t="s">
        <v>1420</v>
      </c>
      <c r="F251" s="69">
        <v>190000</v>
      </c>
      <c r="G251" s="305"/>
      <c r="H251" s="34"/>
      <c r="I251" s="34"/>
    </row>
    <row r="252" spans="1:9" ht="16.5" customHeight="1">
      <c r="A252" s="80" t="s">
        <v>1419</v>
      </c>
      <c r="B252" s="80" t="s">
        <v>74</v>
      </c>
      <c r="C252" s="80" t="s">
        <v>1427</v>
      </c>
      <c r="D252" s="79" t="s">
        <v>1408</v>
      </c>
      <c r="E252" s="80" t="s">
        <v>1421</v>
      </c>
      <c r="F252" s="69">
        <v>19000.000000000029</v>
      </c>
      <c r="G252" s="305"/>
      <c r="H252" s="34"/>
      <c r="I252" s="34"/>
    </row>
    <row r="253" spans="1:9" ht="16.5" customHeight="1">
      <c r="A253" s="80" t="s">
        <v>1419</v>
      </c>
      <c r="B253" s="80" t="s">
        <v>74</v>
      </c>
      <c r="C253" s="80" t="s">
        <v>1427</v>
      </c>
      <c r="D253" s="79" t="s">
        <v>1408</v>
      </c>
      <c r="E253" s="80" t="s">
        <v>30</v>
      </c>
      <c r="F253" s="69">
        <v>209000</v>
      </c>
      <c r="G253" s="305"/>
      <c r="H253" s="34"/>
      <c r="I253" s="34"/>
    </row>
    <row r="254" spans="1:9" ht="16.5" customHeight="1">
      <c r="A254" s="80" t="s">
        <v>1419</v>
      </c>
      <c r="B254" s="80" t="s">
        <v>1428</v>
      </c>
      <c r="C254" s="80" t="s">
        <v>1429</v>
      </c>
      <c r="D254" s="79" t="s">
        <v>1408</v>
      </c>
      <c r="E254" s="80" t="s">
        <v>1420</v>
      </c>
      <c r="F254" s="69">
        <v>260000</v>
      </c>
      <c r="G254" s="305"/>
      <c r="H254" s="34"/>
      <c r="I254" s="34"/>
    </row>
    <row r="255" spans="1:9" ht="16.5" customHeight="1">
      <c r="A255" s="80" t="s">
        <v>1419</v>
      </c>
      <c r="B255" s="80" t="s">
        <v>1428</v>
      </c>
      <c r="C255" s="80" t="s">
        <v>1429</v>
      </c>
      <c r="D255" s="79" t="s">
        <v>1408</v>
      </c>
      <c r="E255" s="80" t="s">
        <v>1421</v>
      </c>
      <c r="F255" s="69">
        <v>26000.000000000015</v>
      </c>
      <c r="G255" s="305"/>
      <c r="H255" s="34"/>
      <c r="I255" s="34"/>
    </row>
    <row r="256" spans="1:9" ht="16.5" customHeight="1">
      <c r="A256" s="80" t="s">
        <v>1419</v>
      </c>
      <c r="B256" s="80" t="s">
        <v>1428</v>
      </c>
      <c r="C256" s="80" t="s">
        <v>1429</v>
      </c>
      <c r="D256" s="79" t="s">
        <v>1408</v>
      </c>
      <c r="E256" s="80" t="s">
        <v>30</v>
      </c>
      <c r="F256" s="69">
        <v>286000</v>
      </c>
      <c r="G256" s="305"/>
      <c r="H256" s="34"/>
      <c r="I256" s="34"/>
    </row>
    <row r="257" spans="1:9" ht="16.5" customHeight="1">
      <c r="A257" s="80" t="s">
        <v>1419</v>
      </c>
      <c r="B257" s="80" t="s">
        <v>1430</v>
      </c>
      <c r="C257" s="80" t="s">
        <v>1431</v>
      </c>
      <c r="D257" s="79" t="s">
        <v>1408</v>
      </c>
      <c r="E257" s="80" t="s">
        <v>1420</v>
      </c>
      <c r="F257" s="69">
        <v>175000</v>
      </c>
      <c r="G257" s="305"/>
      <c r="H257" s="34"/>
      <c r="I257" s="34"/>
    </row>
    <row r="258" spans="1:9" ht="16.5" customHeight="1">
      <c r="A258" s="80" t="s">
        <v>1419</v>
      </c>
      <c r="B258" s="80" t="s">
        <v>1430</v>
      </c>
      <c r="C258" s="80" t="s">
        <v>1431</v>
      </c>
      <c r="D258" s="79" t="s">
        <v>1408</v>
      </c>
      <c r="E258" s="80" t="s">
        <v>1421</v>
      </c>
      <c r="F258" s="69">
        <v>17500.000000000015</v>
      </c>
      <c r="G258" s="305"/>
      <c r="H258" s="34"/>
      <c r="I258" s="34"/>
    </row>
    <row r="259" spans="1:9" ht="16.5" customHeight="1">
      <c r="A259" s="80" t="s">
        <v>1419</v>
      </c>
      <c r="B259" s="80" t="s">
        <v>1430</v>
      </c>
      <c r="C259" s="80" t="s">
        <v>1431</v>
      </c>
      <c r="D259" s="79" t="s">
        <v>1408</v>
      </c>
      <c r="E259" s="80" t="s">
        <v>30</v>
      </c>
      <c r="F259" s="668">
        <v>192500</v>
      </c>
      <c r="G259" s="305"/>
      <c r="H259" s="34"/>
      <c r="I259" s="34"/>
    </row>
    <row r="260" spans="1:9" ht="16.5" customHeight="1">
      <c r="A260" s="80" t="s">
        <v>1419</v>
      </c>
      <c r="B260" s="80" t="s">
        <v>1432</v>
      </c>
      <c r="C260" s="80" t="s">
        <v>1433</v>
      </c>
      <c r="D260" s="79" t="s">
        <v>1408</v>
      </c>
      <c r="E260" s="80" t="s">
        <v>1420</v>
      </c>
      <c r="F260" s="69">
        <v>260000</v>
      </c>
      <c r="G260" s="305"/>
      <c r="H260" s="34"/>
      <c r="I260" s="34"/>
    </row>
    <row r="261" spans="1:9" ht="16.5" customHeight="1">
      <c r="A261" s="80" t="s">
        <v>1419</v>
      </c>
      <c r="B261" s="80" t="s">
        <v>1432</v>
      </c>
      <c r="C261" s="80" t="s">
        <v>1433</v>
      </c>
      <c r="D261" s="79" t="s">
        <v>1408</v>
      </c>
      <c r="E261" s="80" t="s">
        <v>1421</v>
      </c>
      <c r="F261" s="69">
        <v>26000.000000000015</v>
      </c>
      <c r="G261" s="305"/>
      <c r="H261" s="34"/>
      <c r="I261" s="34"/>
    </row>
    <row r="262" spans="1:9" ht="16.5" customHeight="1">
      <c r="A262" s="80" t="s">
        <v>1419</v>
      </c>
      <c r="B262" s="80" t="s">
        <v>1432</v>
      </c>
      <c r="C262" s="80" t="s">
        <v>1433</v>
      </c>
      <c r="D262" s="79" t="s">
        <v>1408</v>
      </c>
      <c r="E262" s="80" t="s">
        <v>30</v>
      </c>
      <c r="F262" s="668">
        <v>286000</v>
      </c>
      <c r="G262" s="305"/>
      <c r="H262" s="34"/>
      <c r="I262" s="34"/>
    </row>
    <row r="263" spans="1:9" ht="16.5" customHeight="1">
      <c r="A263" s="80" t="s">
        <v>1419</v>
      </c>
      <c r="B263" s="80" t="s">
        <v>1432</v>
      </c>
      <c r="C263" s="80" t="s">
        <v>1434</v>
      </c>
      <c r="D263" s="79" t="s">
        <v>1408</v>
      </c>
      <c r="E263" s="80" t="s">
        <v>1420</v>
      </c>
      <c r="F263" s="69">
        <v>173000</v>
      </c>
      <c r="G263" s="305"/>
      <c r="H263" s="34"/>
      <c r="I263" s="34"/>
    </row>
    <row r="264" spans="1:9" ht="16.5" customHeight="1">
      <c r="A264" s="80" t="s">
        <v>1419</v>
      </c>
      <c r="B264" s="80" t="s">
        <v>1432</v>
      </c>
      <c r="C264" s="80" t="s">
        <v>1434</v>
      </c>
      <c r="D264" s="79" t="s">
        <v>1408</v>
      </c>
      <c r="E264" s="80" t="s">
        <v>1421</v>
      </c>
      <c r="F264" s="69">
        <v>17300.000000000015</v>
      </c>
      <c r="G264" s="305"/>
      <c r="H264" s="34"/>
      <c r="I264" s="34"/>
    </row>
    <row r="265" spans="1:9" ht="16.5" customHeight="1">
      <c r="A265" s="80" t="s">
        <v>1419</v>
      </c>
      <c r="B265" s="80" t="s">
        <v>1432</v>
      </c>
      <c r="C265" s="80" t="s">
        <v>1434</v>
      </c>
      <c r="D265" s="79" t="s">
        <v>1408</v>
      </c>
      <c r="E265" s="80" t="s">
        <v>30</v>
      </c>
      <c r="F265" s="668">
        <v>190300</v>
      </c>
      <c r="G265" s="305"/>
      <c r="H265" s="34"/>
      <c r="I265" s="34"/>
    </row>
    <row r="266" spans="1:9" ht="16.5" customHeight="1">
      <c r="A266" s="80" t="s">
        <v>1419</v>
      </c>
      <c r="B266" s="80" t="s">
        <v>73</v>
      </c>
      <c r="C266" s="80" t="s">
        <v>3270</v>
      </c>
      <c r="D266" s="79" t="s">
        <v>1409</v>
      </c>
      <c r="E266" s="80" t="s">
        <v>1420</v>
      </c>
      <c r="F266" s="69">
        <v>320000</v>
      </c>
      <c r="G266" s="305"/>
      <c r="H266" s="34"/>
      <c r="I266" s="34"/>
    </row>
    <row r="267" spans="1:9" ht="16.5" customHeight="1">
      <c r="A267" s="80" t="s">
        <v>1419</v>
      </c>
      <c r="B267" s="80" t="s">
        <v>73</v>
      </c>
      <c r="C267" s="80" t="s">
        <v>3270</v>
      </c>
      <c r="D267" s="79" t="s">
        <v>1409</v>
      </c>
      <c r="E267" s="80" t="s">
        <v>1421</v>
      </c>
      <c r="F267" s="69">
        <v>32000</v>
      </c>
      <c r="G267" s="305"/>
      <c r="H267" s="34"/>
      <c r="I267" s="34"/>
    </row>
    <row r="268" spans="1:9" ht="16.5" customHeight="1">
      <c r="A268" s="80" t="s">
        <v>1419</v>
      </c>
      <c r="B268" s="80" t="s">
        <v>73</v>
      </c>
      <c r="C268" s="80" t="s">
        <v>3270</v>
      </c>
      <c r="D268" s="79" t="s">
        <v>1409</v>
      </c>
      <c r="E268" s="80" t="s">
        <v>30</v>
      </c>
      <c r="F268" s="69">
        <v>352000</v>
      </c>
      <c r="G268" s="305"/>
      <c r="H268" s="34"/>
      <c r="I268" s="34"/>
    </row>
    <row r="269" spans="1:9" ht="16.5" customHeight="1">
      <c r="A269" s="80" t="s">
        <v>1419</v>
      </c>
      <c r="B269" s="80" t="s">
        <v>73</v>
      </c>
      <c r="C269" s="80" t="s">
        <v>1422</v>
      </c>
      <c r="D269" s="79" t="s">
        <v>1409</v>
      </c>
      <c r="E269" s="80" t="s">
        <v>1420</v>
      </c>
      <c r="F269" s="69">
        <v>237000</v>
      </c>
      <c r="G269" s="305"/>
      <c r="H269" s="34"/>
      <c r="I269" s="34"/>
    </row>
    <row r="270" spans="1:9" ht="16.5" customHeight="1">
      <c r="A270" s="80" t="s">
        <v>1419</v>
      </c>
      <c r="B270" s="80" t="s">
        <v>73</v>
      </c>
      <c r="C270" s="80" t="s">
        <v>1422</v>
      </c>
      <c r="D270" s="79" t="s">
        <v>1409</v>
      </c>
      <c r="E270" s="80" t="s">
        <v>1421</v>
      </c>
      <c r="F270" s="69">
        <v>23700</v>
      </c>
      <c r="G270" s="305"/>
      <c r="H270" s="34"/>
      <c r="I270" s="34"/>
    </row>
    <row r="271" spans="1:9" ht="16.5" customHeight="1">
      <c r="A271" s="80" t="s">
        <v>1419</v>
      </c>
      <c r="B271" s="80" t="s">
        <v>73</v>
      </c>
      <c r="C271" s="80" t="s">
        <v>1422</v>
      </c>
      <c r="D271" s="79" t="s">
        <v>1409</v>
      </c>
      <c r="E271" s="80" t="s">
        <v>30</v>
      </c>
      <c r="F271" s="69">
        <v>260700</v>
      </c>
      <c r="G271" s="305"/>
      <c r="H271" s="34"/>
      <c r="I271" s="34"/>
    </row>
    <row r="272" spans="1:9" ht="16.5" customHeight="1">
      <c r="A272" s="80" t="s">
        <v>1419</v>
      </c>
      <c r="B272" s="80" t="s">
        <v>74</v>
      </c>
      <c r="C272" s="80" t="s">
        <v>1423</v>
      </c>
      <c r="D272" s="79" t="s">
        <v>1409</v>
      </c>
      <c r="E272" s="80" t="s">
        <v>1420</v>
      </c>
      <c r="F272" s="69">
        <v>315000</v>
      </c>
      <c r="G272" s="305"/>
      <c r="H272" s="34"/>
      <c r="I272" s="34"/>
    </row>
    <row r="273" spans="1:9" ht="16.5" customHeight="1">
      <c r="A273" s="80" t="s">
        <v>1419</v>
      </c>
      <c r="B273" s="80" t="s">
        <v>74</v>
      </c>
      <c r="C273" s="80" t="s">
        <v>1423</v>
      </c>
      <c r="D273" s="79" t="s">
        <v>1409</v>
      </c>
      <c r="E273" s="80" t="s">
        <v>1421</v>
      </c>
      <c r="F273" s="69">
        <v>31500</v>
      </c>
      <c r="G273" s="305"/>
      <c r="H273" s="34"/>
      <c r="I273" s="34"/>
    </row>
    <row r="274" spans="1:9" ht="16.5" customHeight="1">
      <c r="A274" s="80" t="s">
        <v>1419</v>
      </c>
      <c r="B274" s="80" t="s">
        <v>74</v>
      </c>
      <c r="C274" s="80" t="s">
        <v>1423</v>
      </c>
      <c r="D274" s="79" t="s">
        <v>1409</v>
      </c>
      <c r="E274" s="80" t="s">
        <v>30</v>
      </c>
      <c r="F274" s="69">
        <v>346500</v>
      </c>
      <c r="G274" s="305"/>
      <c r="H274" s="34"/>
      <c r="I274" s="34"/>
    </row>
    <row r="275" spans="1:9">
      <c r="A275" s="80" t="s">
        <v>1419</v>
      </c>
      <c r="B275" s="80" t="s">
        <v>74</v>
      </c>
      <c r="C275" s="80" t="s">
        <v>1424</v>
      </c>
      <c r="D275" s="79" t="s">
        <v>1409</v>
      </c>
      <c r="E275" s="80" t="s">
        <v>1420</v>
      </c>
      <c r="F275" s="69">
        <v>237000</v>
      </c>
      <c r="G275" s="306"/>
      <c r="H275" s="34"/>
      <c r="I275" s="34"/>
    </row>
    <row r="276" spans="1:9">
      <c r="A276" s="80" t="s">
        <v>1419</v>
      </c>
      <c r="B276" s="80" t="s">
        <v>74</v>
      </c>
      <c r="C276" s="80" t="s">
        <v>1424</v>
      </c>
      <c r="D276" s="79" t="s">
        <v>1409</v>
      </c>
      <c r="E276" s="80" t="s">
        <v>1421</v>
      </c>
      <c r="F276" s="69">
        <v>23700</v>
      </c>
      <c r="I276"/>
    </row>
    <row r="277" spans="1:9">
      <c r="A277" s="80" t="s">
        <v>1419</v>
      </c>
      <c r="B277" s="80" t="s">
        <v>74</v>
      </c>
      <c r="C277" s="80" t="s">
        <v>1424</v>
      </c>
      <c r="D277" s="79" t="s">
        <v>1409</v>
      </c>
      <c r="E277" s="80" t="s">
        <v>30</v>
      </c>
      <c r="F277" s="69">
        <v>260700</v>
      </c>
    </row>
    <row r="278" spans="1:9">
      <c r="A278" s="80" t="s">
        <v>1419</v>
      </c>
      <c r="B278" s="80" t="s">
        <v>74</v>
      </c>
      <c r="C278" s="80" t="s">
        <v>1425</v>
      </c>
      <c r="D278" s="79" t="s">
        <v>1409</v>
      </c>
      <c r="E278" s="80" t="s">
        <v>1420</v>
      </c>
      <c r="F278" s="69">
        <v>237000</v>
      </c>
    </row>
    <row r="279" spans="1:9">
      <c r="A279" s="80" t="s">
        <v>1419</v>
      </c>
      <c r="B279" s="80" t="s">
        <v>74</v>
      </c>
      <c r="C279" s="80" t="s">
        <v>1425</v>
      </c>
      <c r="D279" s="79" t="s">
        <v>1409</v>
      </c>
      <c r="E279" s="80" t="s">
        <v>1421</v>
      </c>
      <c r="F279" s="69">
        <v>23700</v>
      </c>
    </row>
    <row r="280" spans="1:9">
      <c r="A280" s="80" t="s">
        <v>1419</v>
      </c>
      <c r="B280" s="80" t="s">
        <v>74</v>
      </c>
      <c r="C280" s="80" t="s">
        <v>1425</v>
      </c>
      <c r="D280" s="79" t="s">
        <v>1409</v>
      </c>
      <c r="E280" s="80" t="s">
        <v>30</v>
      </c>
      <c r="F280" s="69">
        <v>260700</v>
      </c>
    </row>
    <row r="281" spans="1:9">
      <c r="A281" s="80" t="s">
        <v>1419</v>
      </c>
      <c r="B281" s="80" t="s">
        <v>74</v>
      </c>
      <c r="C281" s="80" t="s">
        <v>1426</v>
      </c>
      <c r="D281" s="79" t="s">
        <v>1409</v>
      </c>
      <c r="E281" s="80" t="s">
        <v>1420</v>
      </c>
      <c r="F281" s="69">
        <v>237000</v>
      </c>
    </row>
    <row r="282" spans="1:9">
      <c r="A282" s="80" t="s">
        <v>1419</v>
      </c>
      <c r="B282" s="80" t="s">
        <v>74</v>
      </c>
      <c r="C282" s="80" t="s">
        <v>1426</v>
      </c>
      <c r="D282" s="79" t="s">
        <v>1409</v>
      </c>
      <c r="E282" s="80" t="s">
        <v>1421</v>
      </c>
      <c r="F282" s="69">
        <v>23700</v>
      </c>
    </row>
    <row r="283" spans="1:9">
      <c r="A283" s="80" t="s">
        <v>1419</v>
      </c>
      <c r="B283" s="80" t="s">
        <v>74</v>
      </c>
      <c r="C283" s="80" t="s">
        <v>1426</v>
      </c>
      <c r="D283" s="79" t="s">
        <v>1409</v>
      </c>
      <c r="E283" s="80" t="s">
        <v>30</v>
      </c>
      <c r="F283" s="69">
        <v>260700</v>
      </c>
    </row>
    <row r="284" spans="1:9">
      <c r="A284" s="80" t="s">
        <v>1419</v>
      </c>
      <c r="B284" s="80" t="s">
        <v>74</v>
      </c>
      <c r="C284" s="80" t="s">
        <v>1427</v>
      </c>
      <c r="D284" s="79" t="s">
        <v>1409</v>
      </c>
      <c r="E284" s="80" t="s">
        <v>1420</v>
      </c>
      <c r="F284" s="69">
        <v>250000</v>
      </c>
    </row>
    <row r="285" spans="1:9">
      <c r="A285" s="80" t="s">
        <v>1419</v>
      </c>
      <c r="B285" s="80" t="s">
        <v>74</v>
      </c>
      <c r="C285" s="80" t="s">
        <v>1427</v>
      </c>
      <c r="D285" s="79" t="s">
        <v>1409</v>
      </c>
      <c r="E285" s="80" t="s">
        <v>1421</v>
      </c>
      <c r="F285" s="69">
        <v>25000.000000000015</v>
      </c>
    </row>
    <row r="286" spans="1:9">
      <c r="A286" s="80" t="s">
        <v>1419</v>
      </c>
      <c r="B286" s="80" t="s">
        <v>74</v>
      </c>
      <c r="C286" s="80" t="s">
        <v>1427</v>
      </c>
      <c r="D286" s="79" t="s">
        <v>1409</v>
      </c>
      <c r="E286" s="80" t="s">
        <v>30</v>
      </c>
      <c r="F286" s="69">
        <v>275000</v>
      </c>
    </row>
    <row r="287" spans="1:9">
      <c r="A287" s="80" t="s">
        <v>1419</v>
      </c>
      <c r="B287" s="80" t="s">
        <v>1428</v>
      </c>
      <c r="C287" s="80" t="s">
        <v>1429</v>
      </c>
      <c r="D287" s="79" t="s">
        <v>1409</v>
      </c>
      <c r="E287" s="80" t="s">
        <v>1420</v>
      </c>
      <c r="F287" s="69">
        <v>320000</v>
      </c>
    </row>
    <row r="288" spans="1:9">
      <c r="A288" s="80" t="s">
        <v>1419</v>
      </c>
      <c r="B288" s="80" t="s">
        <v>1428</v>
      </c>
      <c r="C288" s="80" t="s">
        <v>1429</v>
      </c>
      <c r="D288" s="79" t="s">
        <v>1409</v>
      </c>
      <c r="E288" s="80" t="s">
        <v>1421</v>
      </c>
      <c r="F288" s="69">
        <v>32000</v>
      </c>
    </row>
    <row r="289" spans="1:6">
      <c r="A289" s="80" t="s">
        <v>1419</v>
      </c>
      <c r="B289" s="80" t="s">
        <v>1428</v>
      </c>
      <c r="C289" s="80" t="s">
        <v>1429</v>
      </c>
      <c r="D289" s="79" t="s">
        <v>1409</v>
      </c>
      <c r="E289" s="80" t="s">
        <v>30</v>
      </c>
      <c r="F289" s="69">
        <v>352000</v>
      </c>
    </row>
    <row r="290" spans="1:6">
      <c r="A290" s="80" t="s">
        <v>1419</v>
      </c>
      <c r="B290" s="80" t="s">
        <v>1430</v>
      </c>
      <c r="C290" s="80" t="s">
        <v>1431</v>
      </c>
      <c r="D290" s="79" t="s">
        <v>1409</v>
      </c>
      <c r="E290" s="80" t="s">
        <v>1420</v>
      </c>
      <c r="F290" s="69">
        <v>235000</v>
      </c>
    </row>
    <row r="291" spans="1:6">
      <c r="A291" s="80" t="s">
        <v>1419</v>
      </c>
      <c r="B291" s="80" t="s">
        <v>1430</v>
      </c>
      <c r="C291" s="80" t="s">
        <v>1431</v>
      </c>
      <c r="D291" s="79" t="s">
        <v>1409</v>
      </c>
      <c r="E291" s="80" t="s">
        <v>1421</v>
      </c>
      <c r="F291" s="69">
        <v>23500</v>
      </c>
    </row>
    <row r="292" spans="1:6" ht="17.25">
      <c r="A292" s="80" t="s">
        <v>1419</v>
      </c>
      <c r="B292" s="80" t="s">
        <v>1430</v>
      </c>
      <c r="C292" s="80" t="s">
        <v>1431</v>
      </c>
      <c r="D292" s="79" t="s">
        <v>1409</v>
      </c>
      <c r="E292" s="80" t="s">
        <v>30</v>
      </c>
      <c r="F292" s="668">
        <v>258500</v>
      </c>
    </row>
    <row r="293" spans="1:6">
      <c r="A293" s="80" t="s">
        <v>1419</v>
      </c>
      <c r="B293" s="80" t="s">
        <v>1432</v>
      </c>
      <c r="C293" s="80" t="s">
        <v>1433</v>
      </c>
      <c r="D293" s="79" t="s">
        <v>1409</v>
      </c>
      <c r="E293" s="80" t="s">
        <v>1420</v>
      </c>
      <c r="F293" s="69">
        <v>320000</v>
      </c>
    </row>
    <row r="294" spans="1:6">
      <c r="A294" s="80" t="s">
        <v>1419</v>
      </c>
      <c r="B294" s="80" t="s">
        <v>1432</v>
      </c>
      <c r="C294" s="80" t="s">
        <v>1433</v>
      </c>
      <c r="D294" s="79" t="s">
        <v>1409</v>
      </c>
      <c r="E294" s="80" t="s">
        <v>1421</v>
      </c>
      <c r="F294" s="69">
        <v>32000</v>
      </c>
    </row>
    <row r="295" spans="1:6" ht="17.25">
      <c r="A295" s="80" t="s">
        <v>1419</v>
      </c>
      <c r="B295" s="80" t="s">
        <v>1432</v>
      </c>
      <c r="C295" s="80" t="s">
        <v>1433</v>
      </c>
      <c r="D295" s="79" t="s">
        <v>1409</v>
      </c>
      <c r="E295" s="80" t="s">
        <v>30</v>
      </c>
      <c r="F295" s="668">
        <v>352000</v>
      </c>
    </row>
    <row r="296" spans="1:6">
      <c r="A296" s="80" t="s">
        <v>1419</v>
      </c>
      <c r="B296" s="80" t="s">
        <v>1432</v>
      </c>
      <c r="C296" s="80" t="s">
        <v>1434</v>
      </c>
      <c r="D296" s="79" t="s">
        <v>1409</v>
      </c>
      <c r="E296" s="80" t="s">
        <v>1420</v>
      </c>
      <c r="F296" s="69">
        <v>233000</v>
      </c>
    </row>
    <row r="297" spans="1:6">
      <c r="A297" s="80" t="s">
        <v>1419</v>
      </c>
      <c r="B297" s="80" t="s">
        <v>1432</v>
      </c>
      <c r="C297" s="80" t="s">
        <v>1434</v>
      </c>
      <c r="D297" s="79" t="s">
        <v>1409</v>
      </c>
      <c r="E297" s="80" t="s">
        <v>1421</v>
      </c>
      <c r="F297" s="69">
        <v>23300</v>
      </c>
    </row>
    <row r="298" spans="1:6" ht="17.25">
      <c r="A298" s="80" t="s">
        <v>1419</v>
      </c>
      <c r="B298" s="80" t="s">
        <v>1432</v>
      </c>
      <c r="C298" s="80" t="s">
        <v>1434</v>
      </c>
      <c r="D298" s="79" t="s">
        <v>1409</v>
      </c>
      <c r="E298" s="80" t="s">
        <v>30</v>
      </c>
      <c r="F298" s="668">
        <v>256300</v>
      </c>
    </row>
    <row r="299" spans="1:6">
      <c r="A299" s="80" t="s">
        <v>1419</v>
      </c>
      <c r="B299" s="80" t="s">
        <v>73</v>
      </c>
      <c r="C299" s="80" t="s">
        <v>3270</v>
      </c>
      <c r="D299" s="79" t="s">
        <v>1410</v>
      </c>
      <c r="E299" s="80" t="s">
        <v>1420</v>
      </c>
      <c r="F299" s="69">
        <v>337000</v>
      </c>
    </row>
    <row r="300" spans="1:6">
      <c r="A300" s="80" t="s">
        <v>1419</v>
      </c>
      <c r="B300" s="80" t="s">
        <v>73</v>
      </c>
      <c r="C300" s="80" t="s">
        <v>3270</v>
      </c>
      <c r="D300" s="79" t="s">
        <v>1410</v>
      </c>
      <c r="E300" s="80" t="s">
        <v>1421</v>
      </c>
      <c r="F300" s="69">
        <v>33700.000000000029</v>
      </c>
    </row>
    <row r="301" spans="1:6">
      <c r="A301" s="80" t="s">
        <v>1419</v>
      </c>
      <c r="B301" s="80" t="s">
        <v>73</v>
      </c>
      <c r="C301" s="80" t="s">
        <v>3270</v>
      </c>
      <c r="D301" s="79" t="s">
        <v>1410</v>
      </c>
      <c r="E301" s="80" t="s">
        <v>30</v>
      </c>
      <c r="F301" s="69">
        <v>370700</v>
      </c>
    </row>
    <row r="302" spans="1:6">
      <c r="A302" s="80" t="s">
        <v>1419</v>
      </c>
      <c r="B302" s="80" t="s">
        <v>73</v>
      </c>
      <c r="C302" s="80" t="s">
        <v>1422</v>
      </c>
      <c r="D302" s="79" t="s">
        <v>1410</v>
      </c>
      <c r="E302" s="80" t="s">
        <v>1420</v>
      </c>
      <c r="F302" s="69">
        <v>254000</v>
      </c>
    </row>
    <row r="303" spans="1:6">
      <c r="A303" s="80" t="s">
        <v>1419</v>
      </c>
      <c r="B303" s="80" t="s">
        <v>73</v>
      </c>
      <c r="C303" s="80" t="s">
        <v>1422</v>
      </c>
      <c r="D303" s="79" t="s">
        <v>1410</v>
      </c>
      <c r="E303" s="80" t="s">
        <v>1421</v>
      </c>
      <c r="F303" s="69">
        <v>25400.000000000029</v>
      </c>
    </row>
    <row r="304" spans="1:6">
      <c r="A304" s="80" t="s">
        <v>1419</v>
      </c>
      <c r="B304" s="80" t="s">
        <v>73</v>
      </c>
      <c r="C304" s="80" t="s">
        <v>1422</v>
      </c>
      <c r="D304" s="79" t="s">
        <v>1410</v>
      </c>
      <c r="E304" s="80" t="s">
        <v>30</v>
      </c>
      <c r="F304" s="69">
        <v>279400</v>
      </c>
    </row>
    <row r="305" spans="1:6">
      <c r="A305" s="80" t="s">
        <v>1419</v>
      </c>
      <c r="B305" s="80" t="s">
        <v>74</v>
      </c>
      <c r="C305" s="80" t="s">
        <v>1423</v>
      </c>
      <c r="D305" s="79" t="s">
        <v>1410</v>
      </c>
      <c r="E305" s="80" t="s">
        <v>1420</v>
      </c>
      <c r="F305" s="69">
        <v>332000</v>
      </c>
    </row>
    <row r="306" spans="1:6">
      <c r="A306" s="80" t="s">
        <v>1419</v>
      </c>
      <c r="B306" s="80" t="s">
        <v>74</v>
      </c>
      <c r="C306" s="80" t="s">
        <v>1423</v>
      </c>
      <c r="D306" s="79" t="s">
        <v>1410</v>
      </c>
      <c r="E306" s="80" t="s">
        <v>1421</v>
      </c>
      <c r="F306" s="69">
        <v>33200.000000000029</v>
      </c>
    </row>
    <row r="307" spans="1:6">
      <c r="A307" s="80" t="s">
        <v>1419</v>
      </c>
      <c r="B307" s="80" t="s">
        <v>74</v>
      </c>
      <c r="C307" s="80" t="s">
        <v>1423</v>
      </c>
      <c r="D307" s="79" t="s">
        <v>1410</v>
      </c>
      <c r="E307" s="80" t="s">
        <v>30</v>
      </c>
      <c r="F307" s="69">
        <v>365200</v>
      </c>
    </row>
    <row r="308" spans="1:6">
      <c r="A308" s="80" t="s">
        <v>1419</v>
      </c>
      <c r="B308" s="80" t="s">
        <v>74</v>
      </c>
      <c r="C308" s="80" t="s">
        <v>1424</v>
      </c>
      <c r="D308" s="79" t="s">
        <v>1410</v>
      </c>
      <c r="E308" s="80" t="s">
        <v>1420</v>
      </c>
      <c r="F308" s="69">
        <v>254000</v>
      </c>
    </row>
    <row r="309" spans="1:6">
      <c r="A309" s="80" t="s">
        <v>1419</v>
      </c>
      <c r="B309" s="80" t="s">
        <v>74</v>
      </c>
      <c r="C309" s="80" t="s">
        <v>1424</v>
      </c>
      <c r="D309" s="79" t="s">
        <v>1410</v>
      </c>
      <c r="E309" s="80" t="s">
        <v>1421</v>
      </c>
      <c r="F309" s="69">
        <v>25400.000000000029</v>
      </c>
    </row>
    <row r="310" spans="1:6">
      <c r="A310" s="80" t="s">
        <v>1419</v>
      </c>
      <c r="B310" s="80" t="s">
        <v>74</v>
      </c>
      <c r="C310" s="80" t="s">
        <v>1424</v>
      </c>
      <c r="D310" s="79" t="s">
        <v>1410</v>
      </c>
      <c r="E310" s="80" t="s">
        <v>30</v>
      </c>
      <c r="F310" s="69">
        <v>279400</v>
      </c>
    </row>
    <row r="311" spans="1:6">
      <c r="A311" s="80" t="s">
        <v>1419</v>
      </c>
      <c r="B311" s="80" t="s">
        <v>74</v>
      </c>
      <c r="C311" s="80" t="s">
        <v>1425</v>
      </c>
      <c r="D311" s="79" t="s">
        <v>1410</v>
      </c>
      <c r="E311" s="80" t="s">
        <v>1420</v>
      </c>
      <c r="F311" s="69">
        <v>254000</v>
      </c>
    </row>
    <row r="312" spans="1:6">
      <c r="A312" s="80" t="s">
        <v>1419</v>
      </c>
      <c r="B312" s="80" t="s">
        <v>74</v>
      </c>
      <c r="C312" s="80" t="s">
        <v>1425</v>
      </c>
      <c r="D312" s="79" t="s">
        <v>1410</v>
      </c>
      <c r="E312" s="80" t="s">
        <v>1421</v>
      </c>
      <c r="F312" s="69">
        <v>25400.000000000029</v>
      </c>
    </row>
    <row r="313" spans="1:6">
      <c r="A313" s="80" t="s">
        <v>1419</v>
      </c>
      <c r="B313" s="80" t="s">
        <v>74</v>
      </c>
      <c r="C313" s="80" t="s">
        <v>1425</v>
      </c>
      <c r="D313" s="79" t="s">
        <v>1410</v>
      </c>
      <c r="E313" s="80" t="s">
        <v>30</v>
      </c>
      <c r="F313" s="69">
        <v>279400</v>
      </c>
    </row>
    <row r="314" spans="1:6">
      <c r="A314" s="80" t="s">
        <v>1419</v>
      </c>
      <c r="B314" s="80" t="s">
        <v>74</v>
      </c>
      <c r="C314" s="80" t="s">
        <v>1426</v>
      </c>
      <c r="D314" s="79" t="s">
        <v>1410</v>
      </c>
      <c r="E314" s="80" t="s">
        <v>1420</v>
      </c>
      <c r="F314" s="69">
        <v>254000</v>
      </c>
    </row>
    <row r="315" spans="1:6">
      <c r="A315" s="80" t="s">
        <v>1419</v>
      </c>
      <c r="B315" s="80" t="s">
        <v>74</v>
      </c>
      <c r="C315" s="80" t="s">
        <v>1426</v>
      </c>
      <c r="D315" s="79" t="s">
        <v>1410</v>
      </c>
      <c r="E315" s="80" t="s">
        <v>1421</v>
      </c>
      <c r="F315" s="69">
        <v>25400.000000000029</v>
      </c>
    </row>
    <row r="316" spans="1:6">
      <c r="A316" s="80" t="s">
        <v>1419</v>
      </c>
      <c r="B316" s="80" t="s">
        <v>74</v>
      </c>
      <c r="C316" s="80" t="s">
        <v>1426</v>
      </c>
      <c r="D316" s="79" t="s">
        <v>1410</v>
      </c>
      <c r="E316" s="80" t="s">
        <v>30</v>
      </c>
      <c r="F316" s="69">
        <v>279400</v>
      </c>
    </row>
    <row r="317" spans="1:6">
      <c r="A317" s="80" t="s">
        <v>1419</v>
      </c>
      <c r="B317" s="80" t="s">
        <v>74</v>
      </c>
      <c r="C317" s="80" t="s">
        <v>1427</v>
      </c>
      <c r="D317" s="79" t="s">
        <v>1410</v>
      </c>
      <c r="E317" s="80" t="s">
        <v>1420</v>
      </c>
      <c r="F317" s="69">
        <v>267000</v>
      </c>
    </row>
    <row r="318" spans="1:6">
      <c r="A318" s="80" t="s">
        <v>1419</v>
      </c>
      <c r="B318" s="80" t="s">
        <v>74</v>
      </c>
      <c r="C318" s="80" t="s">
        <v>1427</v>
      </c>
      <c r="D318" s="79" t="s">
        <v>1410</v>
      </c>
      <c r="E318" s="80" t="s">
        <v>1421</v>
      </c>
      <c r="F318" s="69">
        <v>26700.000000000044</v>
      </c>
    </row>
    <row r="319" spans="1:6">
      <c r="A319" s="80" t="s">
        <v>1419</v>
      </c>
      <c r="B319" s="80" t="s">
        <v>74</v>
      </c>
      <c r="C319" s="80" t="s">
        <v>1427</v>
      </c>
      <c r="D319" s="79" t="s">
        <v>1410</v>
      </c>
      <c r="E319" s="80" t="s">
        <v>30</v>
      </c>
      <c r="F319" s="69">
        <v>293700.00000000006</v>
      </c>
    </row>
    <row r="320" spans="1:6">
      <c r="A320" s="80" t="s">
        <v>1419</v>
      </c>
      <c r="B320" s="80" t="s">
        <v>1428</v>
      </c>
      <c r="C320" s="80" t="s">
        <v>1429</v>
      </c>
      <c r="D320" s="79" t="s">
        <v>1410</v>
      </c>
      <c r="E320" s="80" t="s">
        <v>1420</v>
      </c>
      <c r="F320" s="69">
        <v>337000</v>
      </c>
    </row>
    <row r="321" spans="1:6">
      <c r="A321" s="80" t="s">
        <v>1419</v>
      </c>
      <c r="B321" s="80" t="s">
        <v>1428</v>
      </c>
      <c r="C321" s="80" t="s">
        <v>1429</v>
      </c>
      <c r="D321" s="79" t="s">
        <v>1410</v>
      </c>
      <c r="E321" s="80" t="s">
        <v>1421</v>
      </c>
      <c r="F321" s="69">
        <v>33700.000000000029</v>
      </c>
    </row>
    <row r="322" spans="1:6">
      <c r="A322" s="80" t="s">
        <v>1419</v>
      </c>
      <c r="B322" s="80" t="s">
        <v>1428</v>
      </c>
      <c r="C322" s="80" t="s">
        <v>1429</v>
      </c>
      <c r="D322" s="79" t="s">
        <v>1410</v>
      </c>
      <c r="E322" s="80" t="s">
        <v>30</v>
      </c>
      <c r="F322" s="69">
        <v>370700</v>
      </c>
    </row>
    <row r="323" spans="1:6">
      <c r="A323" s="80" t="s">
        <v>1419</v>
      </c>
      <c r="B323" s="80" t="s">
        <v>1430</v>
      </c>
      <c r="C323" s="80" t="s">
        <v>1431</v>
      </c>
      <c r="D323" s="79" t="s">
        <v>1410</v>
      </c>
      <c r="E323" s="80" t="s">
        <v>1420</v>
      </c>
      <c r="F323" s="69">
        <v>252000</v>
      </c>
    </row>
    <row r="324" spans="1:6">
      <c r="A324" s="80" t="s">
        <v>1419</v>
      </c>
      <c r="B324" s="80" t="s">
        <v>1430</v>
      </c>
      <c r="C324" s="80" t="s">
        <v>1431</v>
      </c>
      <c r="D324" s="79" t="s">
        <v>1410</v>
      </c>
      <c r="E324" s="80" t="s">
        <v>1421</v>
      </c>
      <c r="F324" s="69">
        <v>25200.000000000029</v>
      </c>
    </row>
    <row r="325" spans="1:6" ht="17.25">
      <c r="A325" s="80" t="s">
        <v>1419</v>
      </c>
      <c r="B325" s="80" t="s">
        <v>1430</v>
      </c>
      <c r="C325" s="80" t="s">
        <v>1431</v>
      </c>
      <c r="D325" s="79" t="s">
        <v>1410</v>
      </c>
      <c r="E325" s="80" t="s">
        <v>30</v>
      </c>
      <c r="F325" s="668">
        <v>277200</v>
      </c>
    </row>
    <row r="326" spans="1:6">
      <c r="A326" s="80" t="s">
        <v>1419</v>
      </c>
      <c r="B326" s="80" t="s">
        <v>1432</v>
      </c>
      <c r="C326" s="80" t="s">
        <v>1433</v>
      </c>
      <c r="D326" s="79" t="s">
        <v>1410</v>
      </c>
      <c r="E326" s="80" t="s">
        <v>1420</v>
      </c>
      <c r="F326" s="69">
        <v>337000</v>
      </c>
    </row>
    <row r="327" spans="1:6">
      <c r="A327" s="80" t="s">
        <v>1419</v>
      </c>
      <c r="B327" s="80" t="s">
        <v>1432</v>
      </c>
      <c r="C327" s="80" t="s">
        <v>1433</v>
      </c>
      <c r="D327" s="79" t="s">
        <v>1410</v>
      </c>
      <c r="E327" s="80" t="s">
        <v>1421</v>
      </c>
      <c r="F327" s="69">
        <v>33700.000000000029</v>
      </c>
    </row>
    <row r="328" spans="1:6" ht="17.25">
      <c r="A328" s="80" t="s">
        <v>1419</v>
      </c>
      <c r="B328" s="80" t="s">
        <v>1432</v>
      </c>
      <c r="C328" s="80" t="s">
        <v>1433</v>
      </c>
      <c r="D328" s="79" t="s">
        <v>1410</v>
      </c>
      <c r="E328" s="80" t="s">
        <v>30</v>
      </c>
      <c r="F328" s="668">
        <v>370700</v>
      </c>
    </row>
    <row r="329" spans="1:6">
      <c r="A329" s="80" t="s">
        <v>1419</v>
      </c>
      <c r="B329" s="80" t="s">
        <v>1432</v>
      </c>
      <c r="C329" s="80" t="s">
        <v>1434</v>
      </c>
      <c r="D329" s="79" t="s">
        <v>1410</v>
      </c>
      <c r="E329" s="80" t="s">
        <v>1420</v>
      </c>
      <c r="F329" s="69">
        <v>250000</v>
      </c>
    </row>
    <row r="330" spans="1:6">
      <c r="A330" s="80" t="s">
        <v>1419</v>
      </c>
      <c r="B330" s="80" t="s">
        <v>1432</v>
      </c>
      <c r="C330" s="80" t="s">
        <v>1434</v>
      </c>
      <c r="D330" s="79" t="s">
        <v>1410</v>
      </c>
      <c r="E330" s="80" t="s">
        <v>1421</v>
      </c>
      <c r="F330" s="69">
        <v>25000.000000000029</v>
      </c>
    </row>
    <row r="331" spans="1:6" ht="17.25">
      <c r="A331" s="80" t="s">
        <v>1419</v>
      </c>
      <c r="B331" s="80" t="s">
        <v>1432</v>
      </c>
      <c r="C331" s="80" t="s">
        <v>1434</v>
      </c>
      <c r="D331" s="79" t="s">
        <v>1410</v>
      </c>
      <c r="E331" s="80" t="s">
        <v>30</v>
      </c>
      <c r="F331" s="668">
        <v>275000</v>
      </c>
    </row>
    <row r="332" spans="1:6">
      <c r="A332" s="80" t="s">
        <v>1419</v>
      </c>
      <c r="B332" s="80" t="s">
        <v>73</v>
      </c>
      <c r="C332" s="80" t="s">
        <v>3270</v>
      </c>
      <c r="D332" s="79" t="s">
        <v>1411</v>
      </c>
      <c r="E332" s="80" t="s">
        <v>1420</v>
      </c>
      <c r="F332" s="69">
        <v>305000</v>
      </c>
    </row>
    <row r="333" spans="1:6">
      <c r="A333" s="80" t="s">
        <v>1419</v>
      </c>
      <c r="B333" s="80" t="s">
        <v>73</v>
      </c>
      <c r="C333" s="80" t="s">
        <v>3270</v>
      </c>
      <c r="D333" s="79" t="s">
        <v>1411</v>
      </c>
      <c r="E333" s="80" t="s">
        <v>1421</v>
      </c>
      <c r="F333" s="69">
        <v>30500</v>
      </c>
    </row>
    <row r="334" spans="1:6">
      <c r="A334" s="80" t="s">
        <v>1419</v>
      </c>
      <c r="B334" s="80" t="s">
        <v>73</v>
      </c>
      <c r="C334" s="80" t="s">
        <v>3270</v>
      </c>
      <c r="D334" s="79" t="s">
        <v>1411</v>
      </c>
      <c r="E334" s="80" t="s">
        <v>30</v>
      </c>
      <c r="F334" s="69">
        <v>335500</v>
      </c>
    </row>
    <row r="335" spans="1:6">
      <c r="A335" s="80" t="s">
        <v>1419</v>
      </c>
      <c r="B335" s="80" t="s">
        <v>73</v>
      </c>
      <c r="C335" s="80" t="s">
        <v>1422</v>
      </c>
      <c r="D335" s="79" t="s">
        <v>1411</v>
      </c>
      <c r="E335" s="80" t="s">
        <v>1420</v>
      </c>
      <c r="F335" s="69">
        <v>222000</v>
      </c>
    </row>
    <row r="336" spans="1:6">
      <c r="A336" s="80" t="s">
        <v>1419</v>
      </c>
      <c r="B336" s="80" t="s">
        <v>73</v>
      </c>
      <c r="C336" s="80" t="s">
        <v>1422</v>
      </c>
      <c r="D336" s="79" t="s">
        <v>1411</v>
      </c>
      <c r="E336" s="80" t="s">
        <v>1421</v>
      </c>
      <c r="F336" s="69">
        <v>22200</v>
      </c>
    </row>
    <row r="337" spans="1:6">
      <c r="A337" s="80" t="s">
        <v>1419</v>
      </c>
      <c r="B337" s="80" t="s">
        <v>73</v>
      </c>
      <c r="C337" s="80" t="s">
        <v>1422</v>
      </c>
      <c r="D337" s="79" t="s">
        <v>1411</v>
      </c>
      <c r="E337" s="80" t="s">
        <v>30</v>
      </c>
      <c r="F337" s="69">
        <v>244200</v>
      </c>
    </row>
    <row r="338" spans="1:6">
      <c r="A338" s="80" t="s">
        <v>1419</v>
      </c>
      <c r="B338" s="80" t="s">
        <v>74</v>
      </c>
      <c r="C338" s="80" t="s">
        <v>1423</v>
      </c>
      <c r="D338" s="79" t="s">
        <v>1411</v>
      </c>
      <c r="E338" s="80" t="s">
        <v>1420</v>
      </c>
      <c r="F338" s="69">
        <v>300000</v>
      </c>
    </row>
    <row r="339" spans="1:6">
      <c r="A339" s="80" t="s">
        <v>1419</v>
      </c>
      <c r="B339" s="80" t="s">
        <v>74</v>
      </c>
      <c r="C339" s="80" t="s">
        <v>1423</v>
      </c>
      <c r="D339" s="79" t="s">
        <v>1411</v>
      </c>
      <c r="E339" s="80" t="s">
        <v>1421</v>
      </c>
      <c r="F339" s="69">
        <v>30000</v>
      </c>
    </row>
    <row r="340" spans="1:6">
      <c r="A340" s="80" t="s">
        <v>1419</v>
      </c>
      <c r="B340" s="80" t="s">
        <v>74</v>
      </c>
      <c r="C340" s="80" t="s">
        <v>1423</v>
      </c>
      <c r="D340" s="79" t="s">
        <v>1411</v>
      </c>
      <c r="E340" s="80" t="s">
        <v>30</v>
      </c>
      <c r="F340" s="69">
        <v>330000</v>
      </c>
    </row>
    <row r="341" spans="1:6">
      <c r="A341" s="80" t="s">
        <v>1419</v>
      </c>
      <c r="B341" s="80" t="s">
        <v>74</v>
      </c>
      <c r="C341" s="80" t="s">
        <v>1424</v>
      </c>
      <c r="D341" s="79" t="s">
        <v>1411</v>
      </c>
      <c r="E341" s="80" t="s">
        <v>1420</v>
      </c>
      <c r="F341" s="69">
        <v>222000</v>
      </c>
    </row>
    <row r="342" spans="1:6">
      <c r="A342" s="80" t="s">
        <v>1419</v>
      </c>
      <c r="B342" s="80" t="s">
        <v>74</v>
      </c>
      <c r="C342" s="80" t="s">
        <v>1424</v>
      </c>
      <c r="D342" s="79" t="s">
        <v>1411</v>
      </c>
      <c r="E342" s="80" t="s">
        <v>1421</v>
      </c>
      <c r="F342" s="69">
        <v>22200</v>
      </c>
    </row>
    <row r="343" spans="1:6">
      <c r="A343" s="80" t="s">
        <v>1419</v>
      </c>
      <c r="B343" s="80" t="s">
        <v>74</v>
      </c>
      <c r="C343" s="80" t="s">
        <v>1424</v>
      </c>
      <c r="D343" s="79" t="s">
        <v>1411</v>
      </c>
      <c r="E343" s="80" t="s">
        <v>30</v>
      </c>
      <c r="F343" s="69">
        <v>244200</v>
      </c>
    </row>
    <row r="344" spans="1:6">
      <c r="A344" s="80" t="s">
        <v>1419</v>
      </c>
      <c r="B344" s="80" t="s">
        <v>74</v>
      </c>
      <c r="C344" s="80" t="s">
        <v>1425</v>
      </c>
      <c r="D344" s="79" t="s">
        <v>1411</v>
      </c>
      <c r="E344" s="80" t="s">
        <v>1420</v>
      </c>
      <c r="F344" s="69">
        <v>222000</v>
      </c>
    </row>
    <row r="345" spans="1:6">
      <c r="A345" s="80" t="s">
        <v>1419</v>
      </c>
      <c r="B345" s="80" t="s">
        <v>74</v>
      </c>
      <c r="C345" s="80" t="s">
        <v>1425</v>
      </c>
      <c r="D345" s="79" t="s">
        <v>1411</v>
      </c>
      <c r="E345" s="80" t="s">
        <v>1421</v>
      </c>
      <c r="F345" s="69">
        <v>22200</v>
      </c>
    </row>
    <row r="346" spans="1:6">
      <c r="A346" s="80" t="s">
        <v>1419</v>
      </c>
      <c r="B346" s="80" t="s">
        <v>74</v>
      </c>
      <c r="C346" s="80" t="s">
        <v>1425</v>
      </c>
      <c r="D346" s="79" t="s">
        <v>1411</v>
      </c>
      <c r="E346" s="80" t="s">
        <v>30</v>
      </c>
      <c r="F346" s="69">
        <v>244200</v>
      </c>
    </row>
    <row r="347" spans="1:6">
      <c r="A347" s="80" t="s">
        <v>1419</v>
      </c>
      <c r="B347" s="80" t="s">
        <v>74</v>
      </c>
      <c r="C347" s="80" t="s">
        <v>1426</v>
      </c>
      <c r="D347" s="79" t="s">
        <v>1411</v>
      </c>
      <c r="E347" s="80" t="s">
        <v>1420</v>
      </c>
      <c r="F347" s="69">
        <v>222000</v>
      </c>
    </row>
    <row r="348" spans="1:6">
      <c r="A348" s="80" t="s">
        <v>1419</v>
      </c>
      <c r="B348" s="80" t="s">
        <v>74</v>
      </c>
      <c r="C348" s="80" t="s">
        <v>1426</v>
      </c>
      <c r="D348" s="79" t="s">
        <v>1411</v>
      </c>
      <c r="E348" s="80" t="s">
        <v>1421</v>
      </c>
      <c r="F348" s="69">
        <v>22200</v>
      </c>
    </row>
    <row r="349" spans="1:6">
      <c r="A349" s="80" t="s">
        <v>1419</v>
      </c>
      <c r="B349" s="80" t="s">
        <v>74</v>
      </c>
      <c r="C349" s="80" t="s">
        <v>1426</v>
      </c>
      <c r="D349" s="79" t="s">
        <v>1411</v>
      </c>
      <c r="E349" s="80" t="s">
        <v>30</v>
      </c>
      <c r="F349" s="69">
        <v>244200</v>
      </c>
    </row>
    <row r="350" spans="1:6">
      <c r="A350" s="80" t="s">
        <v>1419</v>
      </c>
      <c r="B350" s="80" t="s">
        <v>74</v>
      </c>
      <c r="C350" s="80" t="s">
        <v>1427</v>
      </c>
      <c r="D350" s="79" t="s">
        <v>1411</v>
      </c>
      <c r="E350" s="80" t="s">
        <v>1420</v>
      </c>
      <c r="F350" s="69">
        <v>235000</v>
      </c>
    </row>
    <row r="351" spans="1:6">
      <c r="A351" s="80" t="s">
        <v>1419</v>
      </c>
      <c r="B351" s="80" t="s">
        <v>74</v>
      </c>
      <c r="C351" s="80" t="s">
        <v>1427</v>
      </c>
      <c r="D351" s="79" t="s">
        <v>1411</v>
      </c>
      <c r="E351" s="80" t="s">
        <v>1421</v>
      </c>
      <c r="F351" s="69">
        <v>23500.000000000015</v>
      </c>
    </row>
    <row r="352" spans="1:6">
      <c r="A352" s="80" t="s">
        <v>1419</v>
      </c>
      <c r="B352" s="80" t="s">
        <v>74</v>
      </c>
      <c r="C352" s="80" t="s">
        <v>1427</v>
      </c>
      <c r="D352" s="79" t="s">
        <v>1411</v>
      </c>
      <c r="E352" s="80" t="s">
        <v>30</v>
      </c>
      <c r="F352" s="69">
        <v>258500</v>
      </c>
    </row>
    <row r="353" spans="1:6">
      <c r="A353" s="80" t="s">
        <v>1419</v>
      </c>
      <c r="B353" s="80" t="s">
        <v>1428</v>
      </c>
      <c r="C353" s="80" t="s">
        <v>1429</v>
      </c>
      <c r="D353" s="79" t="s">
        <v>1411</v>
      </c>
      <c r="E353" s="80" t="s">
        <v>1420</v>
      </c>
      <c r="F353" s="69">
        <v>305000</v>
      </c>
    </row>
    <row r="354" spans="1:6">
      <c r="A354" s="80" t="s">
        <v>1419</v>
      </c>
      <c r="B354" s="80" t="s">
        <v>1428</v>
      </c>
      <c r="C354" s="80" t="s">
        <v>1429</v>
      </c>
      <c r="D354" s="79" t="s">
        <v>1411</v>
      </c>
      <c r="E354" s="80" t="s">
        <v>1421</v>
      </c>
      <c r="F354" s="69">
        <v>30500</v>
      </c>
    </row>
    <row r="355" spans="1:6">
      <c r="A355" s="80" t="s">
        <v>1419</v>
      </c>
      <c r="B355" s="80" t="s">
        <v>1428</v>
      </c>
      <c r="C355" s="80" t="s">
        <v>1429</v>
      </c>
      <c r="D355" s="79" t="s">
        <v>1411</v>
      </c>
      <c r="E355" s="80" t="s">
        <v>30</v>
      </c>
      <c r="F355" s="69">
        <v>335500</v>
      </c>
    </row>
    <row r="356" spans="1:6">
      <c r="A356" s="80" t="s">
        <v>1419</v>
      </c>
      <c r="B356" s="80" t="s">
        <v>1430</v>
      </c>
      <c r="C356" s="80" t="s">
        <v>1431</v>
      </c>
      <c r="D356" s="79" t="s">
        <v>1411</v>
      </c>
      <c r="E356" s="80" t="s">
        <v>1420</v>
      </c>
      <c r="F356" s="69">
        <v>220000</v>
      </c>
    </row>
    <row r="357" spans="1:6">
      <c r="A357" s="80" t="s">
        <v>1419</v>
      </c>
      <c r="B357" s="80" t="s">
        <v>1430</v>
      </c>
      <c r="C357" s="80" t="s">
        <v>1431</v>
      </c>
      <c r="D357" s="79" t="s">
        <v>1411</v>
      </c>
      <c r="E357" s="80" t="s">
        <v>1421</v>
      </c>
      <c r="F357" s="69">
        <v>22000</v>
      </c>
    </row>
    <row r="358" spans="1:6" ht="17.25">
      <c r="A358" s="80" t="s">
        <v>1419</v>
      </c>
      <c r="B358" s="80" t="s">
        <v>1430</v>
      </c>
      <c r="C358" s="80" t="s">
        <v>1431</v>
      </c>
      <c r="D358" s="79" t="s">
        <v>1411</v>
      </c>
      <c r="E358" s="80" t="s">
        <v>30</v>
      </c>
      <c r="F358" s="668">
        <v>242000</v>
      </c>
    </row>
    <row r="359" spans="1:6">
      <c r="A359" s="80" t="s">
        <v>1419</v>
      </c>
      <c r="B359" s="80" t="s">
        <v>1432</v>
      </c>
      <c r="C359" s="80" t="s">
        <v>1433</v>
      </c>
      <c r="D359" s="79" t="s">
        <v>1411</v>
      </c>
      <c r="E359" s="80" t="s">
        <v>1420</v>
      </c>
      <c r="F359" s="69">
        <v>305000</v>
      </c>
    </row>
    <row r="360" spans="1:6">
      <c r="A360" s="80" t="s">
        <v>1419</v>
      </c>
      <c r="B360" s="80" t="s">
        <v>1432</v>
      </c>
      <c r="C360" s="80" t="s">
        <v>1433</v>
      </c>
      <c r="D360" s="79" t="s">
        <v>1411</v>
      </c>
      <c r="E360" s="80" t="s">
        <v>1421</v>
      </c>
      <c r="F360" s="69">
        <v>30500</v>
      </c>
    </row>
    <row r="361" spans="1:6" ht="17.25">
      <c r="A361" s="80" t="s">
        <v>1419</v>
      </c>
      <c r="B361" s="80" t="s">
        <v>1432</v>
      </c>
      <c r="C361" s="80" t="s">
        <v>1433</v>
      </c>
      <c r="D361" s="79" t="s">
        <v>1411</v>
      </c>
      <c r="E361" s="80" t="s">
        <v>30</v>
      </c>
      <c r="F361" s="668">
        <v>335500</v>
      </c>
    </row>
    <row r="362" spans="1:6">
      <c r="A362" s="80" t="s">
        <v>1419</v>
      </c>
      <c r="B362" s="80" t="s">
        <v>1432</v>
      </c>
      <c r="C362" s="80" t="s">
        <v>1434</v>
      </c>
      <c r="D362" s="79" t="s">
        <v>1411</v>
      </c>
      <c r="E362" s="80" t="s">
        <v>1420</v>
      </c>
      <c r="F362" s="69">
        <v>218000</v>
      </c>
    </row>
    <row r="363" spans="1:6">
      <c r="A363" s="80" t="s">
        <v>1419</v>
      </c>
      <c r="B363" s="80" t="s">
        <v>1432</v>
      </c>
      <c r="C363" s="80" t="s">
        <v>1434</v>
      </c>
      <c r="D363" s="79" t="s">
        <v>1411</v>
      </c>
      <c r="E363" s="80" t="s">
        <v>1421</v>
      </c>
      <c r="F363" s="69">
        <v>21800</v>
      </c>
    </row>
    <row r="364" spans="1:6" ht="17.25">
      <c r="A364" s="80" t="s">
        <v>1419</v>
      </c>
      <c r="B364" s="80" t="s">
        <v>1432</v>
      </c>
      <c r="C364" s="80" t="s">
        <v>1434</v>
      </c>
      <c r="D364" s="79" t="s">
        <v>1411</v>
      </c>
      <c r="E364" s="80" t="s">
        <v>30</v>
      </c>
      <c r="F364" s="668">
        <v>239800</v>
      </c>
    </row>
    <row r="365" spans="1:6">
      <c r="A365" s="80" t="s">
        <v>1419</v>
      </c>
      <c r="B365" s="80" t="s">
        <v>73</v>
      </c>
      <c r="C365" s="80" t="s">
        <v>3270</v>
      </c>
      <c r="D365" s="79" t="s">
        <v>1412</v>
      </c>
      <c r="E365" s="80" t="s">
        <v>1420</v>
      </c>
      <c r="F365" s="69">
        <v>337000</v>
      </c>
    </row>
    <row r="366" spans="1:6">
      <c r="A366" s="80" t="s">
        <v>1419</v>
      </c>
      <c r="B366" s="80" t="s">
        <v>73</v>
      </c>
      <c r="C366" s="80" t="s">
        <v>3270</v>
      </c>
      <c r="D366" s="79" t="s">
        <v>1412</v>
      </c>
      <c r="E366" s="80" t="s">
        <v>1421</v>
      </c>
      <c r="F366" s="69">
        <v>33700.000000000029</v>
      </c>
    </row>
    <row r="367" spans="1:6">
      <c r="A367" s="80" t="s">
        <v>1419</v>
      </c>
      <c r="B367" s="80" t="s">
        <v>73</v>
      </c>
      <c r="C367" s="80" t="s">
        <v>3270</v>
      </c>
      <c r="D367" s="79" t="s">
        <v>1412</v>
      </c>
      <c r="E367" s="80" t="s">
        <v>30</v>
      </c>
      <c r="F367" s="69">
        <v>370700</v>
      </c>
    </row>
    <row r="368" spans="1:6">
      <c r="A368" s="80" t="s">
        <v>1419</v>
      </c>
      <c r="B368" s="80" t="s">
        <v>73</v>
      </c>
      <c r="C368" s="80" t="s">
        <v>1422</v>
      </c>
      <c r="D368" s="79" t="s">
        <v>1412</v>
      </c>
      <c r="E368" s="80" t="s">
        <v>1420</v>
      </c>
      <c r="F368" s="69">
        <v>254000</v>
      </c>
    </row>
    <row r="369" spans="1:6">
      <c r="A369" s="80" t="s">
        <v>1419</v>
      </c>
      <c r="B369" s="80" t="s">
        <v>73</v>
      </c>
      <c r="C369" s="80" t="s">
        <v>1422</v>
      </c>
      <c r="D369" s="79" t="s">
        <v>1412</v>
      </c>
      <c r="E369" s="80" t="s">
        <v>1421</v>
      </c>
      <c r="F369" s="69">
        <v>25400.000000000029</v>
      </c>
    </row>
    <row r="370" spans="1:6">
      <c r="A370" s="80" t="s">
        <v>1419</v>
      </c>
      <c r="B370" s="80" t="s">
        <v>73</v>
      </c>
      <c r="C370" s="80" t="s">
        <v>1422</v>
      </c>
      <c r="D370" s="79" t="s">
        <v>1412</v>
      </c>
      <c r="E370" s="80" t="s">
        <v>30</v>
      </c>
      <c r="F370" s="69">
        <v>279400</v>
      </c>
    </row>
    <row r="371" spans="1:6">
      <c r="A371" s="80" t="s">
        <v>1419</v>
      </c>
      <c r="B371" s="80" t="s">
        <v>74</v>
      </c>
      <c r="C371" s="80" t="s">
        <v>1423</v>
      </c>
      <c r="D371" s="79" t="s">
        <v>1412</v>
      </c>
      <c r="E371" s="80" t="s">
        <v>1420</v>
      </c>
      <c r="F371" s="69">
        <v>332000</v>
      </c>
    </row>
    <row r="372" spans="1:6">
      <c r="A372" s="80" t="s">
        <v>1419</v>
      </c>
      <c r="B372" s="80" t="s">
        <v>74</v>
      </c>
      <c r="C372" s="80" t="s">
        <v>1423</v>
      </c>
      <c r="D372" s="79" t="s">
        <v>1412</v>
      </c>
      <c r="E372" s="80" t="s">
        <v>1421</v>
      </c>
      <c r="F372" s="69">
        <v>33200.000000000029</v>
      </c>
    </row>
    <row r="373" spans="1:6">
      <c r="A373" s="80" t="s">
        <v>1419</v>
      </c>
      <c r="B373" s="80" t="s">
        <v>74</v>
      </c>
      <c r="C373" s="80" t="s">
        <v>1423</v>
      </c>
      <c r="D373" s="79" t="s">
        <v>1412</v>
      </c>
      <c r="E373" s="80" t="s">
        <v>30</v>
      </c>
      <c r="F373" s="69">
        <v>365200</v>
      </c>
    </row>
    <row r="374" spans="1:6">
      <c r="A374" s="80" t="s">
        <v>1419</v>
      </c>
      <c r="B374" s="80" t="s">
        <v>74</v>
      </c>
      <c r="C374" s="80" t="s">
        <v>1424</v>
      </c>
      <c r="D374" s="79" t="s">
        <v>1412</v>
      </c>
      <c r="E374" s="80" t="s">
        <v>1420</v>
      </c>
      <c r="F374" s="69">
        <v>254000</v>
      </c>
    </row>
    <row r="375" spans="1:6">
      <c r="A375" s="80" t="s">
        <v>1419</v>
      </c>
      <c r="B375" s="80" t="s">
        <v>74</v>
      </c>
      <c r="C375" s="80" t="s">
        <v>1424</v>
      </c>
      <c r="D375" s="79" t="s">
        <v>1412</v>
      </c>
      <c r="E375" s="80" t="s">
        <v>1421</v>
      </c>
      <c r="F375" s="69">
        <v>25400.000000000029</v>
      </c>
    </row>
    <row r="376" spans="1:6">
      <c r="A376" s="80" t="s">
        <v>1419</v>
      </c>
      <c r="B376" s="80" t="s">
        <v>74</v>
      </c>
      <c r="C376" s="80" t="s">
        <v>1424</v>
      </c>
      <c r="D376" s="79" t="s">
        <v>1412</v>
      </c>
      <c r="E376" s="80" t="s">
        <v>30</v>
      </c>
      <c r="F376" s="69">
        <v>279400</v>
      </c>
    </row>
    <row r="377" spans="1:6">
      <c r="A377" s="80" t="s">
        <v>1419</v>
      </c>
      <c r="B377" s="80" t="s">
        <v>74</v>
      </c>
      <c r="C377" s="80" t="s">
        <v>1425</v>
      </c>
      <c r="D377" s="79" t="s">
        <v>1412</v>
      </c>
      <c r="E377" s="80" t="s">
        <v>1420</v>
      </c>
      <c r="F377" s="69">
        <v>254000</v>
      </c>
    </row>
    <row r="378" spans="1:6">
      <c r="A378" s="80" t="s">
        <v>1419</v>
      </c>
      <c r="B378" s="80" t="s">
        <v>74</v>
      </c>
      <c r="C378" s="80" t="s">
        <v>1425</v>
      </c>
      <c r="D378" s="79" t="s">
        <v>1412</v>
      </c>
      <c r="E378" s="80" t="s">
        <v>1421</v>
      </c>
      <c r="F378" s="69">
        <v>25400.000000000029</v>
      </c>
    </row>
    <row r="379" spans="1:6">
      <c r="A379" s="80" t="s">
        <v>1419</v>
      </c>
      <c r="B379" s="80" t="s">
        <v>74</v>
      </c>
      <c r="C379" s="80" t="s">
        <v>1425</v>
      </c>
      <c r="D379" s="79" t="s">
        <v>1412</v>
      </c>
      <c r="E379" s="80" t="s">
        <v>30</v>
      </c>
      <c r="F379" s="69">
        <v>279400</v>
      </c>
    </row>
    <row r="380" spans="1:6">
      <c r="A380" s="80" t="s">
        <v>1419</v>
      </c>
      <c r="B380" s="80" t="s">
        <v>74</v>
      </c>
      <c r="C380" s="80" t="s">
        <v>1426</v>
      </c>
      <c r="D380" s="79" t="s">
        <v>1412</v>
      </c>
      <c r="E380" s="80" t="s">
        <v>1420</v>
      </c>
      <c r="F380" s="69">
        <v>254000</v>
      </c>
    </row>
    <row r="381" spans="1:6">
      <c r="A381" s="80" t="s">
        <v>1419</v>
      </c>
      <c r="B381" s="80" t="s">
        <v>74</v>
      </c>
      <c r="C381" s="80" t="s">
        <v>1426</v>
      </c>
      <c r="D381" s="79" t="s">
        <v>1412</v>
      </c>
      <c r="E381" s="80" t="s">
        <v>1421</v>
      </c>
      <c r="F381" s="69">
        <v>25400.000000000029</v>
      </c>
    </row>
    <row r="382" spans="1:6">
      <c r="A382" s="80" t="s">
        <v>1419</v>
      </c>
      <c r="B382" s="80" t="s">
        <v>74</v>
      </c>
      <c r="C382" s="80" t="s">
        <v>1426</v>
      </c>
      <c r="D382" s="79" t="s">
        <v>1412</v>
      </c>
      <c r="E382" s="80" t="s">
        <v>30</v>
      </c>
      <c r="F382" s="69">
        <v>279400</v>
      </c>
    </row>
    <row r="383" spans="1:6">
      <c r="A383" s="80" t="s">
        <v>1419</v>
      </c>
      <c r="B383" s="80" t="s">
        <v>74</v>
      </c>
      <c r="C383" s="80" t="s">
        <v>1427</v>
      </c>
      <c r="D383" s="79" t="s">
        <v>1412</v>
      </c>
      <c r="E383" s="80" t="s">
        <v>1420</v>
      </c>
      <c r="F383" s="69">
        <v>267000</v>
      </c>
    </row>
    <row r="384" spans="1:6">
      <c r="A384" s="80" t="s">
        <v>1419</v>
      </c>
      <c r="B384" s="80" t="s">
        <v>74</v>
      </c>
      <c r="C384" s="80" t="s">
        <v>1427</v>
      </c>
      <c r="D384" s="79" t="s">
        <v>1412</v>
      </c>
      <c r="E384" s="80" t="s">
        <v>1421</v>
      </c>
      <c r="F384" s="69">
        <v>26700.000000000044</v>
      </c>
    </row>
    <row r="385" spans="1:6">
      <c r="A385" s="80" t="s">
        <v>1419</v>
      </c>
      <c r="B385" s="80" t="s">
        <v>74</v>
      </c>
      <c r="C385" s="80" t="s">
        <v>1427</v>
      </c>
      <c r="D385" s="79" t="s">
        <v>1412</v>
      </c>
      <c r="E385" s="80" t="s">
        <v>30</v>
      </c>
      <c r="F385" s="69">
        <v>293700.00000000006</v>
      </c>
    </row>
    <row r="386" spans="1:6">
      <c r="A386" s="80" t="s">
        <v>1419</v>
      </c>
      <c r="B386" s="80" t="s">
        <v>1428</v>
      </c>
      <c r="C386" s="80" t="s">
        <v>1429</v>
      </c>
      <c r="D386" s="79" t="s">
        <v>1412</v>
      </c>
      <c r="E386" s="80" t="s">
        <v>1420</v>
      </c>
      <c r="F386" s="69">
        <v>337000</v>
      </c>
    </row>
    <row r="387" spans="1:6">
      <c r="A387" s="80" t="s">
        <v>1419</v>
      </c>
      <c r="B387" s="80" t="s">
        <v>1428</v>
      </c>
      <c r="C387" s="80" t="s">
        <v>1429</v>
      </c>
      <c r="D387" s="79" t="s">
        <v>1412</v>
      </c>
      <c r="E387" s="80" t="s">
        <v>1421</v>
      </c>
      <c r="F387" s="69">
        <v>33700.000000000029</v>
      </c>
    </row>
    <row r="388" spans="1:6">
      <c r="A388" s="80" t="s">
        <v>1419</v>
      </c>
      <c r="B388" s="80" t="s">
        <v>1428</v>
      </c>
      <c r="C388" s="80" t="s">
        <v>1429</v>
      </c>
      <c r="D388" s="79" t="s">
        <v>1412</v>
      </c>
      <c r="E388" s="80" t="s">
        <v>30</v>
      </c>
      <c r="F388" s="69">
        <v>370700</v>
      </c>
    </row>
    <row r="389" spans="1:6">
      <c r="A389" s="80" t="s">
        <v>1419</v>
      </c>
      <c r="B389" s="80" t="s">
        <v>1430</v>
      </c>
      <c r="C389" s="80" t="s">
        <v>1431</v>
      </c>
      <c r="D389" s="79" t="s">
        <v>1412</v>
      </c>
      <c r="E389" s="80" t="s">
        <v>1420</v>
      </c>
      <c r="F389" s="69">
        <v>252000</v>
      </c>
    </row>
    <row r="390" spans="1:6">
      <c r="A390" s="80" t="s">
        <v>1419</v>
      </c>
      <c r="B390" s="80" t="s">
        <v>1430</v>
      </c>
      <c r="C390" s="80" t="s">
        <v>1431</v>
      </c>
      <c r="D390" s="79" t="s">
        <v>1412</v>
      </c>
      <c r="E390" s="80" t="s">
        <v>1421</v>
      </c>
      <c r="F390" s="69">
        <v>25200.000000000029</v>
      </c>
    </row>
    <row r="391" spans="1:6" ht="17.25">
      <c r="A391" s="80" t="s">
        <v>1419</v>
      </c>
      <c r="B391" s="80" t="s">
        <v>1430</v>
      </c>
      <c r="C391" s="80" t="s">
        <v>1431</v>
      </c>
      <c r="D391" s="79" t="s">
        <v>1412</v>
      </c>
      <c r="E391" s="80" t="s">
        <v>30</v>
      </c>
      <c r="F391" s="668">
        <v>277200</v>
      </c>
    </row>
    <row r="392" spans="1:6">
      <c r="A392" s="80" t="s">
        <v>1419</v>
      </c>
      <c r="B392" s="80" t="s">
        <v>1432</v>
      </c>
      <c r="C392" s="80" t="s">
        <v>1433</v>
      </c>
      <c r="D392" s="79" t="s">
        <v>1412</v>
      </c>
      <c r="E392" s="80" t="s">
        <v>1420</v>
      </c>
      <c r="F392" s="69">
        <v>337000</v>
      </c>
    </row>
    <row r="393" spans="1:6">
      <c r="A393" s="80" t="s">
        <v>1419</v>
      </c>
      <c r="B393" s="80" t="s">
        <v>1432</v>
      </c>
      <c r="C393" s="80" t="s">
        <v>1433</v>
      </c>
      <c r="D393" s="79" t="s">
        <v>1412</v>
      </c>
      <c r="E393" s="80" t="s">
        <v>1421</v>
      </c>
      <c r="F393" s="69">
        <v>33700.000000000029</v>
      </c>
    </row>
    <row r="394" spans="1:6" ht="17.25">
      <c r="A394" s="80" t="s">
        <v>1419</v>
      </c>
      <c r="B394" s="80" t="s">
        <v>1432</v>
      </c>
      <c r="C394" s="80" t="s">
        <v>1433</v>
      </c>
      <c r="D394" s="79" t="s">
        <v>1412</v>
      </c>
      <c r="E394" s="80" t="s">
        <v>30</v>
      </c>
      <c r="F394" s="668">
        <v>370700</v>
      </c>
    </row>
    <row r="395" spans="1:6">
      <c r="A395" s="80" t="s">
        <v>1419</v>
      </c>
      <c r="B395" s="80" t="s">
        <v>1432</v>
      </c>
      <c r="C395" s="80" t="s">
        <v>1434</v>
      </c>
      <c r="D395" s="79" t="s">
        <v>1412</v>
      </c>
      <c r="E395" s="80" t="s">
        <v>1420</v>
      </c>
      <c r="F395" s="69">
        <v>250000</v>
      </c>
    </row>
    <row r="396" spans="1:6">
      <c r="A396" s="80" t="s">
        <v>1419</v>
      </c>
      <c r="B396" s="80" t="s">
        <v>1432</v>
      </c>
      <c r="C396" s="80" t="s">
        <v>1434</v>
      </c>
      <c r="D396" s="79" t="s">
        <v>1412</v>
      </c>
      <c r="E396" s="80" t="s">
        <v>1421</v>
      </c>
      <c r="F396" s="69">
        <v>25000.000000000029</v>
      </c>
    </row>
    <row r="397" spans="1:6" ht="17.25">
      <c r="A397" s="80" t="s">
        <v>1419</v>
      </c>
      <c r="B397" s="80" t="s">
        <v>1432</v>
      </c>
      <c r="C397" s="80" t="s">
        <v>1434</v>
      </c>
      <c r="D397" s="79" t="s">
        <v>1412</v>
      </c>
      <c r="E397" s="80" t="s">
        <v>30</v>
      </c>
      <c r="F397" s="668">
        <v>275000</v>
      </c>
    </row>
    <row r="398" spans="1:6">
      <c r="A398" s="80" t="s">
        <v>1419</v>
      </c>
      <c r="B398" s="80" t="s">
        <v>73</v>
      </c>
      <c r="C398" s="80" t="s">
        <v>3270</v>
      </c>
      <c r="D398" s="79" t="s">
        <v>1413</v>
      </c>
      <c r="E398" s="80" t="s">
        <v>1420</v>
      </c>
      <c r="F398" s="69">
        <v>330000</v>
      </c>
    </row>
    <row r="399" spans="1:6">
      <c r="A399" s="80" t="s">
        <v>1419</v>
      </c>
      <c r="B399" s="80" t="s">
        <v>73</v>
      </c>
      <c r="C399" s="80" t="s">
        <v>3270</v>
      </c>
      <c r="D399" s="79" t="s">
        <v>1413</v>
      </c>
      <c r="E399" s="80" t="s">
        <v>1421</v>
      </c>
      <c r="F399" s="69">
        <v>33000.000000000029</v>
      </c>
    </row>
    <row r="400" spans="1:6">
      <c r="A400" s="80" t="s">
        <v>1419</v>
      </c>
      <c r="B400" s="80" t="s">
        <v>73</v>
      </c>
      <c r="C400" s="80" t="s">
        <v>3270</v>
      </c>
      <c r="D400" s="79" t="s">
        <v>1413</v>
      </c>
      <c r="E400" s="80" t="s">
        <v>30</v>
      </c>
      <c r="F400" s="69">
        <v>363000</v>
      </c>
    </row>
    <row r="401" spans="1:6">
      <c r="A401" s="80" t="s">
        <v>1419</v>
      </c>
      <c r="B401" s="80" t="s">
        <v>73</v>
      </c>
      <c r="C401" s="80" t="s">
        <v>1422</v>
      </c>
      <c r="D401" s="79" t="s">
        <v>1413</v>
      </c>
      <c r="E401" s="80" t="s">
        <v>1420</v>
      </c>
      <c r="F401" s="69">
        <v>247000</v>
      </c>
    </row>
    <row r="402" spans="1:6">
      <c r="A402" s="80" t="s">
        <v>1419</v>
      </c>
      <c r="B402" s="80" t="s">
        <v>73</v>
      </c>
      <c r="C402" s="80" t="s">
        <v>1422</v>
      </c>
      <c r="D402" s="79" t="s">
        <v>1413</v>
      </c>
      <c r="E402" s="80" t="s">
        <v>1421</v>
      </c>
      <c r="F402" s="69">
        <v>24700.000000000029</v>
      </c>
    </row>
    <row r="403" spans="1:6">
      <c r="A403" s="80" t="s">
        <v>1419</v>
      </c>
      <c r="B403" s="80" t="s">
        <v>73</v>
      </c>
      <c r="C403" s="80" t="s">
        <v>1422</v>
      </c>
      <c r="D403" s="79" t="s">
        <v>1413</v>
      </c>
      <c r="E403" s="80" t="s">
        <v>30</v>
      </c>
      <c r="F403" s="69">
        <v>271700</v>
      </c>
    </row>
    <row r="404" spans="1:6">
      <c r="A404" s="80" t="s">
        <v>1419</v>
      </c>
      <c r="B404" s="80" t="s">
        <v>74</v>
      </c>
      <c r="C404" s="80" t="s">
        <v>1423</v>
      </c>
      <c r="D404" s="79" t="s">
        <v>1413</v>
      </c>
      <c r="E404" s="80" t="s">
        <v>1420</v>
      </c>
      <c r="F404" s="69">
        <v>325000</v>
      </c>
    </row>
    <row r="405" spans="1:6">
      <c r="A405" s="80" t="s">
        <v>1419</v>
      </c>
      <c r="B405" s="80" t="s">
        <v>74</v>
      </c>
      <c r="C405" s="80" t="s">
        <v>1423</v>
      </c>
      <c r="D405" s="79" t="s">
        <v>1413</v>
      </c>
      <c r="E405" s="80" t="s">
        <v>1421</v>
      </c>
      <c r="F405" s="69">
        <v>32500.000000000029</v>
      </c>
    </row>
    <row r="406" spans="1:6">
      <c r="A406" s="80" t="s">
        <v>1419</v>
      </c>
      <c r="B406" s="80" t="s">
        <v>74</v>
      </c>
      <c r="C406" s="80" t="s">
        <v>1423</v>
      </c>
      <c r="D406" s="79" t="s">
        <v>1413</v>
      </c>
      <c r="E406" s="80" t="s">
        <v>30</v>
      </c>
      <c r="F406" s="69">
        <v>357500</v>
      </c>
    </row>
    <row r="407" spans="1:6">
      <c r="A407" s="80" t="s">
        <v>1419</v>
      </c>
      <c r="B407" s="80" t="s">
        <v>74</v>
      </c>
      <c r="C407" s="80" t="s">
        <v>1424</v>
      </c>
      <c r="D407" s="79" t="s">
        <v>1413</v>
      </c>
      <c r="E407" s="80" t="s">
        <v>1420</v>
      </c>
      <c r="F407" s="69">
        <v>247000</v>
      </c>
    </row>
    <row r="408" spans="1:6">
      <c r="A408" s="80" t="s">
        <v>1419</v>
      </c>
      <c r="B408" s="80" t="s">
        <v>74</v>
      </c>
      <c r="C408" s="80" t="s">
        <v>1424</v>
      </c>
      <c r="D408" s="79" t="s">
        <v>1413</v>
      </c>
      <c r="E408" s="80" t="s">
        <v>1421</v>
      </c>
      <c r="F408" s="69">
        <v>24700.000000000029</v>
      </c>
    </row>
    <row r="409" spans="1:6">
      <c r="A409" s="80" t="s">
        <v>1419</v>
      </c>
      <c r="B409" s="80" t="s">
        <v>74</v>
      </c>
      <c r="C409" s="80" t="s">
        <v>1424</v>
      </c>
      <c r="D409" s="79" t="s">
        <v>1413</v>
      </c>
      <c r="E409" s="80" t="s">
        <v>30</v>
      </c>
      <c r="F409" s="69">
        <v>271700</v>
      </c>
    </row>
    <row r="410" spans="1:6">
      <c r="A410" s="80" t="s">
        <v>1419</v>
      </c>
      <c r="B410" s="80" t="s">
        <v>74</v>
      </c>
      <c r="C410" s="80" t="s">
        <v>1425</v>
      </c>
      <c r="D410" s="79" t="s">
        <v>1413</v>
      </c>
      <c r="E410" s="80" t="s">
        <v>1420</v>
      </c>
      <c r="F410" s="69">
        <v>247000</v>
      </c>
    </row>
    <row r="411" spans="1:6">
      <c r="A411" s="80" t="s">
        <v>1419</v>
      </c>
      <c r="B411" s="80" t="s">
        <v>74</v>
      </c>
      <c r="C411" s="80" t="s">
        <v>1425</v>
      </c>
      <c r="D411" s="79" t="s">
        <v>1413</v>
      </c>
      <c r="E411" s="80" t="s">
        <v>1421</v>
      </c>
      <c r="F411" s="69">
        <v>24700.000000000029</v>
      </c>
    </row>
    <row r="412" spans="1:6">
      <c r="A412" s="80" t="s">
        <v>1419</v>
      </c>
      <c r="B412" s="80" t="s">
        <v>74</v>
      </c>
      <c r="C412" s="80" t="s">
        <v>1425</v>
      </c>
      <c r="D412" s="79" t="s">
        <v>1413</v>
      </c>
      <c r="E412" s="80" t="s">
        <v>30</v>
      </c>
      <c r="F412" s="69">
        <v>271700</v>
      </c>
    </row>
    <row r="413" spans="1:6">
      <c r="A413" s="80" t="s">
        <v>1419</v>
      </c>
      <c r="B413" s="80" t="s">
        <v>74</v>
      </c>
      <c r="C413" s="80" t="s">
        <v>1426</v>
      </c>
      <c r="D413" s="79" t="s">
        <v>1413</v>
      </c>
      <c r="E413" s="80" t="s">
        <v>1420</v>
      </c>
      <c r="F413" s="69">
        <v>247000</v>
      </c>
    </row>
    <row r="414" spans="1:6">
      <c r="A414" s="80" t="s">
        <v>1419</v>
      </c>
      <c r="B414" s="80" t="s">
        <v>74</v>
      </c>
      <c r="C414" s="80" t="s">
        <v>1426</v>
      </c>
      <c r="D414" s="79" t="s">
        <v>1413</v>
      </c>
      <c r="E414" s="80" t="s">
        <v>1421</v>
      </c>
      <c r="F414" s="69">
        <v>24700.000000000029</v>
      </c>
    </row>
    <row r="415" spans="1:6">
      <c r="A415" s="80" t="s">
        <v>1419</v>
      </c>
      <c r="B415" s="80" t="s">
        <v>74</v>
      </c>
      <c r="C415" s="80" t="s">
        <v>1426</v>
      </c>
      <c r="D415" s="79" t="s">
        <v>1413</v>
      </c>
      <c r="E415" s="80" t="s">
        <v>30</v>
      </c>
      <c r="F415" s="69">
        <v>271700</v>
      </c>
    </row>
    <row r="416" spans="1:6">
      <c r="A416" s="80" t="s">
        <v>1419</v>
      </c>
      <c r="B416" s="80" t="s">
        <v>74</v>
      </c>
      <c r="C416" s="80" t="s">
        <v>1427</v>
      </c>
      <c r="D416" s="79" t="s">
        <v>1413</v>
      </c>
      <c r="E416" s="80" t="s">
        <v>1420</v>
      </c>
      <c r="F416" s="69">
        <v>260000</v>
      </c>
    </row>
    <row r="417" spans="1:6">
      <c r="A417" s="80" t="s">
        <v>1419</v>
      </c>
      <c r="B417" s="80" t="s">
        <v>74</v>
      </c>
      <c r="C417" s="80" t="s">
        <v>1427</v>
      </c>
      <c r="D417" s="79" t="s">
        <v>1413</v>
      </c>
      <c r="E417" s="80" t="s">
        <v>1421</v>
      </c>
      <c r="F417" s="69">
        <v>26000.000000000044</v>
      </c>
    </row>
    <row r="418" spans="1:6">
      <c r="A418" s="80" t="s">
        <v>1419</v>
      </c>
      <c r="B418" s="80" t="s">
        <v>74</v>
      </c>
      <c r="C418" s="80" t="s">
        <v>1427</v>
      </c>
      <c r="D418" s="79" t="s">
        <v>1413</v>
      </c>
      <c r="E418" s="80" t="s">
        <v>30</v>
      </c>
      <c r="F418" s="69">
        <v>286000.00000000006</v>
      </c>
    </row>
    <row r="419" spans="1:6">
      <c r="A419" s="80" t="s">
        <v>1419</v>
      </c>
      <c r="B419" s="80" t="s">
        <v>1428</v>
      </c>
      <c r="C419" s="80" t="s">
        <v>1429</v>
      </c>
      <c r="D419" s="79" t="s">
        <v>1413</v>
      </c>
      <c r="E419" s="80" t="s">
        <v>1420</v>
      </c>
      <c r="F419" s="69">
        <v>330000</v>
      </c>
    </row>
    <row r="420" spans="1:6">
      <c r="A420" s="80" t="s">
        <v>1419</v>
      </c>
      <c r="B420" s="80" t="s">
        <v>1428</v>
      </c>
      <c r="C420" s="80" t="s">
        <v>1429</v>
      </c>
      <c r="D420" s="79" t="s">
        <v>1413</v>
      </c>
      <c r="E420" s="80" t="s">
        <v>1421</v>
      </c>
      <c r="F420" s="69">
        <v>33000.000000000029</v>
      </c>
    </row>
    <row r="421" spans="1:6">
      <c r="A421" s="80" t="s">
        <v>1419</v>
      </c>
      <c r="B421" s="80" t="s">
        <v>1428</v>
      </c>
      <c r="C421" s="80" t="s">
        <v>1429</v>
      </c>
      <c r="D421" s="79" t="s">
        <v>1413</v>
      </c>
      <c r="E421" s="80" t="s">
        <v>30</v>
      </c>
      <c r="F421" s="69">
        <v>363000</v>
      </c>
    </row>
    <row r="422" spans="1:6">
      <c r="A422" s="80" t="s">
        <v>1419</v>
      </c>
      <c r="B422" s="80" t="s">
        <v>1430</v>
      </c>
      <c r="C422" s="80" t="s">
        <v>1431</v>
      </c>
      <c r="D422" s="79" t="s">
        <v>1413</v>
      </c>
      <c r="E422" s="80" t="s">
        <v>1420</v>
      </c>
      <c r="F422" s="69">
        <v>245000</v>
      </c>
    </row>
    <row r="423" spans="1:6">
      <c r="A423" s="80" t="s">
        <v>1419</v>
      </c>
      <c r="B423" s="80" t="s">
        <v>1430</v>
      </c>
      <c r="C423" s="80" t="s">
        <v>1431</v>
      </c>
      <c r="D423" s="79" t="s">
        <v>1413</v>
      </c>
      <c r="E423" s="80" t="s">
        <v>1421</v>
      </c>
      <c r="F423" s="69">
        <v>24500.000000000029</v>
      </c>
    </row>
    <row r="424" spans="1:6" ht="17.25">
      <c r="A424" s="80" t="s">
        <v>1419</v>
      </c>
      <c r="B424" s="80" t="s">
        <v>1430</v>
      </c>
      <c r="C424" s="80" t="s">
        <v>1431</v>
      </c>
      <c r="D424" s="79" t="s">
        <v>1413</v>
      </c>
      <c r="E424" s="80" t="s">
        <v>30</v>
      </c>
      <c r="F424" s="668">
        <v>269500</v>
      </c>
    </row>
    <row r="425" spans="1:6">
      <c r="A425" s="80" t="s">
        <v>1419</v>
      </c>
      <c r="B425" s="80" t="s">
        <v>1432</v>
      </c>
      <c r="C425" s="80" t="s">
        <v>1433</v>
      </c>
      <c r="D425" s="79" t="s">
        <v>1413</v>
      </c>
      <c r="E425" s="80" t="s">
        <v>1420</v>
      </c>
      <c r="F425" s="69">
        <v>330000</v>
      </c>
    </row>
    <row r="426" spans="1:6">
      <c r="A426" s="80" t="s">
        <v>1419</v>
      </c>
      <c r="B426" s="80" t="s">
        <v>1432</v>
      </c>
      <c r="C426" s="80" t="s">
        <v>1433</v>
      </c>
      <c r="D426" s="79" t="s">
        <v>1413</v>
      </c>
      <c r="E426" s="80" t="s">
        <v>1421</v>
      </c>
      <c r="F426" s="69">
        <v>33000.000000000029</v>
      </c>
    </row>
    <row r="427" spans="1:6" ht="17.25">
      <c r="A427" s="80" t="s">
        <v>1419</v>
      </c>
      <c r="B427" s="80" t="s">
        <v>1432</v>
      </c>
      <c r="C427" s="80" t="s">
        <v>1433</v>
      </c>
      <c r="D427" s="79" t="s">
        <v>1413</v>
      </c>
      <c r="E427" s="80" t="s">
        <v>30</v>
      </c>
      <c r="F427" s="668">
        <v>363000</v>
      </c>
    </row>
    <row r="428" spans="1:6">
      <c r="A428" s="80" t="s">
        <v>1419</v>
      </c>
      <c r="B428" s="80" t="s">
        <v>1432</v>
      </c>
      <c r="C428" s="80" t="s">
        <v>1434</v>
      </c>
      <c r="D428" s="79" t="s">
        <v>1413</v>
      </c>
      <c r="E428" s="80" t="s">
        <v>1420</v>
      </c>
      <c r="F428" s="69">
        <v>243000</v>
      </c>
    </row>
    <row r="429" spans="1:6">
      <c r="A429" s="80" t="s">
        <v>1419</v>
      </c>
      <c r="B429" s="80" t="s">
        <v>1432</v>
      </c>
      <c r="C429" s="80" t="s">
        <v>1434</v>
      </c>
      <c r="D429" s="79" t="s">
        <v>1413</v>
      </c>
      <c r="E429" s="80" t="s">
        <v>1421</v>
      </c>
      <c r="F429" s="69">
        <v>24300.000000000029</v>
      </c>
    </row>
    <row r="430" spans="1:6" ht="17.25">
      <c r="A430" s="80" t="s">
        <v>1419</v>
      </c>
      <c r="B430" s="80" t="s">
        <v>1432</v>
      </c>
      <c r="C430" s="80" t="s">
        <v>1434</v>
      </c>
      <c r="D430" s="79" t="s">
        <v>1413</v>
      </c>
      <c r="E430" s="80" t="s">
        <v>30</v>
      </c>
      <c r="F430" s="668">
        <v>267300</v>
      </c>
    </row>
    <row r="431" spans="1:6">
      <c r="A431" s="80" t="s">
        <v>1419</v>
      </c>
      <c r="B431" s="80" t="s">
        <v>73</v>
      </c>
      <c r="C431" s="80" t="s">
        <v>3270</v>
      </c>
      <c r="D431" s="79" t="s">
        <v>1414</v>
      </c>
      <c r="E431" s="80" t="s">
        <v>1420</v>
      </c>
      <c r="F431" s="69">
        <v>337000</v>
      </c>
    </row>
    <row r="432" spans="1:6">
      <c r="A432" s="80" t="s">
        <v>1419</v>
      </c>
      <c r="B432" s="80" t="s">
        <v>73</v>
      </c>
      <c r="C432" s="80" t="s">
        <v>3270</v>
      </c>
      <c r="D432" s="79" t="s">
        <v>1414</v>
      </c>
      <c r="E432" s="80" t="s">
        <v>1421</v>
      </c>
      <c r="F432" s="69">
        <v>33700.000000000029</v>
      </c>
    </row>
    <row r="433" spans="1:6">
      <c r="A433" s="80" t="s">
        <v>1419</v>
      </c>
      <c r="B433" s="80" t="s">
        <v>73</v>
      </c>
      <c r="C433" s="80" t="s">
        <v>3270</v>
      </c>
      <c r="D433" s="79" t="s">
        <v>1414</v>
      </c>
      <c r="E433" s="80" t="s">
        <v>30</v>
      </c>
      <c r="F433" s="69">
        <v>370700</v>
      </c>
    </row>
    <row r="434" spans="1:6">
      <c r="A434" s="80" t="s">
        <v>1419</v>
      </c>
      <c r="B434" s="80" t="s">
        <v>73</v>
      </c>
      <c r="C434" s="80" t="s">
        <v>1422</v>
      </c>
      <c r="D434" s="79" t="s">
        <v>1414</v>
      </c>
      <c r="E434" s="80" t="s">
        <v>1420</v>
      </c>
      <c r="F434" s="69">
        <v>254000</v>
      </c>
    </row>
    <row r="435" spans="1:6">
      <c r="A435" s="80" t="s">
        <v>1419</v>
      </c>
      <c r="B435" s="80" t="s">
        <v>73</v>
      </c>
      <c r="C435" s="80" t="s">
        <v>1422</v>
      </c>
      <c r="D435" s="79" t="s">
        <v>1414</v>
      </c>
      <c r="E435" s="80" t="s">
        <v>1421</v>
      </c>
      <c r="F435" s="69">
        <v>25400.000000000029</v>
      </c>
    </row>
    <row r="436" spans="1:6">
      <c r="A436" s="80" t="s">
        <v>1419</v>
      </c>
      <c r="B436" s="80" t="s">
        <v>73</v>
      </c>
      <c r="C436" s="80" t="s">
        <v>1422</v>
      </c>
      <c r="D436" s="79" t="s">
        <v>1414</v>
      </c>
      <c r="E436" s="80" t="s">
        <v>30</v>
      </c>
      <c r="F436" s="69">
        <v>279400</v>
      </c>
    </row>
    <row r="437" spans="1:6">
      <c r="A437" s="80" t="s">
        <v>1419</v>
      </c>
      <c r="B437" s="80" t="s">
        <v>74</v>
      </c>
      <c r="C437" s="80" t="s">
        <v>1423</v>
      </c>
      <c r="D437" s="79" t="s">
        <v>1414</v>
      </c>
      <c r="E437" s="80" t="s">
        <v>1420</v>
      </c>
      <c r="F437" s="69">
        <v>332000</v>
      </c>
    </row>
    <row r="438" spans="1:6">
      <c r="A438" s="80" t="s">
        <v>1419</v>
      </c>
      <c r="B438" s="80" t="s">
        <v>74</v>
      </c>
      <c r="C438" s="80" t="s">
        <v>1423</v>
      </c>
      <c r="D438" s="79" t="s">
        <v>1414</v>
      </c>
      <c r="E438" s="80" t="s">
        <v>1421</v>
      </c>
      <c r="F438" s="69">
        <v>33200.000000000029</v>
      </c>
    </row>
    <row r="439" spans="1:6">
      <c r="A439" s="80" t="s">
        <v>1419</v>
      </c>
      <c r="B439" s="80" t="s">
        <v>74</v>
      </c>
      <c r="C439" s="80" t="s">
        <v>1423</v>
      </c>
      <c r="D439" s="79" t="s">
        <v>1414</v>
      </c>
      <c r="E439" s="80" t="s">
        <v>30</v>
      </c>
      <c r="F439" s="69">
        <v>365200</v>
      </c>
    </row>
    <row r="440" spans="1:6">
      <c r="A440" s="80" t="s">
        <v>1419</v>
      </c>
      <c r="B440" s="80" t="s">
        <v>74</v>
      </c>
      <c r="C440" s="80" t="s">
        <v>1424</v>
      </c>
      <c r="D440" s="79" t="s">
        <v>1414</v>
      </c>
      <c r="E440" s="80" t="s">
        <v>1420</v>
      </c>
      <c r="F440" s="69">
        <v>254000</v>
      </c>
    </row>
    <row r="441" spans="1:6">
      <c r="A441" s="80" t="s">
        <v>1419</v>
      </c>
      <c r="B441" s="80" t="s">
        <v>74</v>
      </c>
      <c r="C441" s="80" t="s">
        <v>1424</v>
      </c>
      <c r="D441" s="79" t="s">
        <v>1414</v>
      </c>
      <c r="E441" s="80" t="s">
        <v>1421</v>
      </c>
      <c r="F441" s="69">
        <v>25400.000000000029</v>
      </c>
    </row>
    <row r="442" spans="1:6">
      <c r="A442" s="80" t="s">
        <v>1419</v>
      </c>
      <c r="B442" s="80" t="s">
        <v>74</v>
      </c>
      <c r="C442" s="80" t="s">
        <v>1424</v>
      </c>
      <c r="D442" s="79" t="s">
        <v>1414</v>
      </c>
      <c r="E442" s="80" t="s">
        <v>30</v>
      </c>
      <c r="F442" s="69">
        <v>279400</v>
      </c>
    </row>
    <row r="443" spans="1:6">
      <c r="A443" s="80" t="s">
        <v>1419</v>
      </c>
      <c r="B443" s="80" t="s">
        <v>74</v>
      </c>
      <c r="C443" s="80" t="s">
        <v>1425</v>
      </c>
      <c r="D443" s="79" t="s">
        <v>1414</v>
      </c>
      <c r="E443" s="80" t="s">
        <v>1420</v>
      </c>
      <c r="F443" s="69">
        <v>254000</v>
      </c>
    </row>
    <row r="444" spans="1:6">
      <c r="A444" s="80" t="s">
        <v>1419</v>
      </c>
      <c r="B444" s="80" t="s">
        <v>74</v>
      </c>
      <c r="C444" s="80" t="s">
        <v>1425</v>
      </c>
      <c r="D444" s="79" t="s">
        <v>1414</v>
      </c>
      <c r="E444" s="80" t="s">
        <v>1421</v>
      </c>
      <c r="F444" s="69">
        <v>25400.000000000029</v>
      </c>
    </row>
    <row r="445" spans="1:6">
      <c r="A445" s="80" t="s">
        <v>1419</v>
      </c>
      <c r="B445" s="80" t="s">
        <v>74</v>
      </c>
      <c r="C445" s="80" t="s">
        <v>1425</v>
      </c>
      <c r="D445" s="79" t="s">
        <v>1414</v>
      </c>
      <c r="E445" s="80" t="s">
        <v>30</v>
      </c>
      <c r="F445" s="69">
        <v>279400</v>
      </c>
    </row>
    <row r="446" spans="1:6">
      <c r="A446" s="80" t="s">
        <v>1419</v>
      </c>
      <c r="B446" s="80" t="s">
        <v>74</v>
      </c>
      <c r="C446" s="80" t="s">
        <v>1426</v>
      </c>
      <c r="D446" s="79" t="s">
        <v>1414</v>
      </c>
      <c r="E446" s="80" t="s">
        <v>1420</v>
      </c>
      <c r="F446" s="69">
        <v>254000</v>
      </c>
    </row>
    <row r="447" spans="1:6">
      <c r="A447" s="80" t="s">
        <v>1419</v>
      </c>
      <c r="B447" s="80" t="s">
        <v>74</v>
      </c>
      <c r="C447" s="80" t="s">
        <v>1426</v>
      </c>
      <c r="D447" s="79" t="s">
        <v>1414</v>
      </c>
      <c r="E447" s="80" t="s">
        <v>1421</v>
      </c>
      <c r="F447" s="69">
        <v>25400.000000000029</v>
      </c>
    </row>
    <row r="448" spans="1:6">
      <c r="A448" s="80" t="s">
        <v>1419</v>
      </c>
      <c r="B448" s="80" t="s">
        <v>74</v>
      </c>
      <c r="C448" s="80" t="s">
        <v>1426</v>
      </c>
      <c r="D448" s="79" t="s">
        <v>1414</v>
      </c>
      <c r="E448" s="80" t="s">
        <v>30</v>
      </c>
      <c r="F448" s="69">
        <v>279400</v>
      </c>
    </row>
    <row r="449" spans="1:7">
      <c r="A449" s="80" t="s">
        <v>1419</v>
      </c>
      <c r="B449" s="80" t="s">
        <v>74</v>
      </c>
      <c r="C449" s="80" t="s">
        <v>1427</v>
      </c>
      <c r="D449" s="79" t="s">
        <v>1414</v>
      </c>
      <c r="E449" s="80" t="s">
        <v>1420</v>
      </c>
      <c r="F449" s="69">
        <v>267000</v>
      </c>
    </row>
    <row r="450" spans="1:7">
      <c r="A450" s="80" t="s">
        <v>1419</v>
      </c>
      <c r="B450" s="80" t="s">
        <v>74</v>
      </c>
      <c r="C450" s="80" t="s">
        <v>1427</v>
      </c>
      <c r="D450" s="79" t="s">
        <v>1414</v>
      </c>
      <c r="E450" s="80" t="s">
        <v>1421</v>
      </c>
      <c r="F450" s="69">
        <v>26700.000000000044</v>
      </c>
    </row>
    <row r="451" spans="1:7">
      <c r="A451" s="80" t="s">
        <v>1419</v>
      </c>
      <c r="B451" s="80" t="s">
        <v>74</v>
      </c>
      <c r="C451" s="80" t="s">
        <v>1427</v>
      </c>
      <c r="D451" s="79" t="s">
        <v>1414</v>
      </c>
      <c r="E451" s="80" t="s">
        <v>30</v>
      </c>
      <c r="F451" s="69">
        <v>293700.00000000006</v>
      </c>
    </row>
    <row r="452" spans="1:7">
      <c r="A452" s="80" t="s">
        <v>1419</v>
      </c>
      <c r="B452" s="80" t="s">
        <v>1428</v>
      </c>
      <c r="C452" s="80" t="s">
        <v>1429</v>
      </c>
      <c r="D452" s="79" t="s">
        <v>1414</v>
      </c>
      <c r="E452" s="80" t="s">
        <v>1420</v>
      </c>
      <c r="F452" s="69">
        <v>337000</v>
      </c>
    </row>
    <row r="453" spans="1:7">
      <c r="A453" s="80" t="s">
        <v>1419</v>
      </c>
      <c r="B453" s="80" t="s">
        <v>1428</v>
      </c>
      <c r="C453" s="80" t="s">
        <v>1429</v>
      </c>
      <c r="D453" s="79" t="s">
        <v>1414</v>
      </c>
      <c r="E453" s="80" t="s">
        <v>1421</v>
      </c>
      <c r="F453" s="69">
        <v>33700.000000000029</v>
      </c>
    </row>
    <row r="454" spans="1:7">
      <c r="A454" s="80" t="s">
        <v>1419</v>
      </c>
      <c r="B454" s="80" t="s">
        <v>1428</v>
      </c>
      <c r="C454" s="80" t="s">
        <v>1429</v>
      </c>
      <c r="D454" s="79" t="s">
        <v>1414</v>
      </c>
      <c r="E454" s="80" t="s">
        <v>30</v>
      </c>
      <c r="F454" s="69">
        <v>370700</v>
      </c>
    </row>
    <row r="455" spans="1:7">
      <c r="A455" s="80" t="s">
        <v>1419</v>
      </c>
      <c r="B455" s="80" t="s">
        <v>1430</v>
      </c>
      <c r="C455" s="80" t="s">
        <v>1431</v>
      </c>
      <c r="D455" s="79" t="s">
        <v>1414</v>
      </c>
      <c r="E455" s="80" t="s">
        <v>1420</v>
      </c>
      <c r="F455" s="69">
        <v>252000</v>
      </c>
    </row>
    <row r="456" spans="1:7">
      <c r="A456" s="80" t="s">
        <v>1419</v>
      </c>
      <c r="B456" s="80" t="s">
        <v>1430</v>
      </c>
      <c r="C456" s="80" t="s">
        <v>1431</v>
      </c>
      <c r="D456" s="79" t="s">
        <v>1414</v>
      </c>
      <c r="E456" s="80" t="s">
        <v>1421</v>
      </c>
      <c r="F456" s="69">
        <v>25200.000000000029</v>
      </c>
    </row>
    <row r="457" spans="1:7" ht="17.25">
      <c r="A457" s="80" t="s">
        <v>1419</v>
      </c>
      <c r="B457" s="80" t="s">
        <v>1430</v>
      </c>
      <c r="C457" s="80" t="s">
        <v>1431</v>
      </c>
      <c r="D457" s="79" t="s">
        <v>1414</v>
      </c>
      <c r="E457" s="80" t="s">
        <v>30</v>
      </c>
      <c r="F457" s="668">
        <v>277200</v>
      </c>
    </row>
    <row r="458" spans="1:7">
      <c r="A458" s="80" t="s">
        <v>1419</v>
      </c>
      <c r="B458" s="80" t="s">
        <v>1432</v>
      </c>
      <c r="C458" s="80" t="s">
        <v>1433</v>
      </c>
      <c r="D458" s="79" t="s">
        <v>1414</v>
      </c>
      <c r="E458" s="80" t="s">
        <v>1420</v>
      </c>
      <c r="F458" s="69">
        <v>337000</v>
      </c>
    </row>
    <row r="459" spans="1:7">
      <c r="A459" s="80" t="s">
        <v>1419</v>
      </c>
      <c r="B459" s="80" t="s">
        <v>1432</v>
      </c>
      <c r="C459" s="80" t="s">
        <v>1433</v>
      </c>
      <c r="D459" s="79" t="s">
        <v>1414</v>
      </c>
      <c r="E459" s="80" t="s">
        <v>1421</v>
      </c>
      <c r="F459" s="69">
        <v>33700.000000000029</v>
      </c>
    </row>
    <row r="460" spans="1:7" ht="17.25">
      <c r="A460" s="80" t="s">
        <v>1419</v>
      </c>
      <c r="B460" s="80" t="s">
        <v>1432</v>
      </c>
      <c r="C460" s="80" t="s">
        <v>1433</v>
      </c>
      <c r="D460" s="79" t="s">
        <v>1414</v>
      </c>
      <c r="E460" s="80" t="s">
        <v>30</v>
      </c>
      <c r="F460" s="668">
        <v>370700</v>
      </c>
    </row>
    <row r="461" spans="1:7">
      <c r="A461" s="80" t="s">
        <v>1419</v>
      </c>
      <c r="B461" s="80" t="s">
        <v>1432</v>
      </c>
      <c r="C461" s="80" t="s">
        <v>1434</v>
      </c>
      <c r="D461" s="79" t="s">
        <v>1414</v>
      </c>
      <c r="E461" s="80" t="s">
        <v>1420</v>
      </c>
      <c r="F461" s="69">
        <v>250000</v>
      </c>
    </row>
    <row r="462" spans="1:7">
      <c r="A462" s="80" t="s">
        <v>1419</v>
      </c>
      <c r="B462" s="80" t="s">
        <v>1432</v>
      </c>
      <c r="C462" s="80" t="s">
        <v>1434</v>
      </c>
      <c r="D462" s="79" t="s">
        <v>1414</v>
      </c>
      <c r="E462" s="80" t="s">
        <v>1421</v>
      </c>
      <c r="F462" s="69">
        <v>25000.000000000029</v>
      </c>
    </row>
    <row r="463" spans="1:7" ht="17.25">
      <c r="A463" s="80" t="s">
        <v>1419</v>
      </c>
      <c r="B463" s="80" t="s">
        <v>1432</v>
      </c>
      <c r="C463" s="80" t="s">
        <v>1434</v>
      </c>
      <c r="D463" s="79" t="s">
        <v>1414</v>
      </c>
      <c r="E463" s="80" t="s">
        <v>30</v>
      </c>
      <c r="F463" s="668">
        <v>275000</v>
      </c>
    </row>
    <row r="464" spans="1:7">
      <c r="A464" s="702" t="s">
        <v>1419</v>
      </c>
      <c r="B464" s="703" t="s">
        <v>40</v>
      </c>
      <c r="C464" s="704" t="s">
        <v>3270</v>
      </c>
      <c r="D464" s="705" t="s">
        <v>3443</v>
      </c>
      <c r="E464" s="703" t="s">
        <v>1</v>
      </c>
      <c r="F464" s="706">
        <v>260000</v>
      </c>
      <c r="G464" s="238"/>
    </row>
    <row r="465" spans="1:10">
      <c r="A465" s="702" t="s">
        <v>1419</v>
      </c>
      <c r="B465" s="703" t="s">
        <v>40</v>
      </c>
      <c r="C465" s="704" t="s">
        <v>3270</v>
      </c>
      <c r="D465" s="705" t="s">
        <v>3443</v>
      </c>
      <c r="E465" s="703" t="s">
        <v>2174</v>
      </c>
      <c r="F465" s="706">
        <v>26000</v>
      </c>
      <c r="G465" s="238"/>
      <c r="H465" s="238"/>
    </row>
    <row r="466" spans="1:10">
      <c r="A466" s="702" t="s">
        <v>1419</v>
      </c>
      <c r="B466" s="702" t="s">
        <v>40</v>
      </c>
      <c r="C466" s="704" t="s">
        <v>3270</v>
      </c>
      <c r="D466" s="705" t="s">
        <v>3443</v>
      </c>
      <c r="E466" s="703" t="s">
        <v>1734</v>
      </c>
      <c r="F466" s="706">
        <v>286000</v>
      </c>
      <c r="G466" s="238"/>
      <c r="H466" s="238"/>
    </row>
    <row r="467" spans="1:10">
      <c r="A467" s="702" t="s">
        <v>1419</v>
      </c>
      <c r="B467" s="703" t="s">
        <v>40</v>
      </c>
      <c r="C467" s="704" t="s">
        <v>1422</v>
      </c>
      <c r="D467" s="705" t="s">
        <v>3443</v>
      </c>
      <c r="E467" s="703" t="s">
        <v>1</v>
      </c>
      <c r="F467" s="706">
        <v>177000</v>
      </c>
      <c r="G467" s="238"/>
      <c r="H467" s="238"/>
    </row>
    <row r="468" spans="1:10">
      <c r="A468" s="702" t="s">
        <v>1419</v>
      </c>
      <c r="B468" s="703" t="s">
        <v>40</v>
      </c>
      <c r="C468" s="704" t="s">
        <v>1422</v>
      </c>
      <c r="D468" s="705" t="s">
        <v>3443</v>
      </c>
      <c r="E468" s="703" t="s">
        <v>2174</v>
      </c>
      <c r="F468" s="706">
        <v>17700</v>
      </c>
      <c r="G468" s="238"/>
      <c r="H468" s="238"/>
    </row>
    <row r="469" spans="1:10">
      <c r="A469" s="702" t="s">
        <v>1419</v>
      </c>
      <c r="B469" s="703" t="s">
        <v>40</v>
      </c>
      <c r="C469" s="704" t="s">
        <v>1422</v>
      </c>
      <c r="D469" s="705" t="s">
        <v>3443</v>
      </c>
      <c r="E469" s="703" t="s">
        <v>1734</v>
      </c>
      <c r="F469" s="706">
        <v>194700</v>
      </c>
      <c r="G469" s="238"/>
      <c r="H469" s="238"/>
    </row>
    <row r="470" spans="1:10">
      <c r="A470" s="702" t="s">
        <v>1419</v>
      </c>
      <c r="B470" s="703" t="s">
        <v>54</v>
      </c>
      <c r="C470" s="704" t="s">
        <v>1423</v>
      </c>
      <c r="D470" s="705" t="s">
        <v>3443</v>
      </c>
      <c r="E470" s="703" t="s">
        <v>1</v>
      </c>
      <c r="F470" s="706">
        <v>255000</v>
      </c>
      <c r="G470" s="238"/>
      <c r="H470" s="238"/>
    </row>
    <row r="471" spans="1:10">
      <c r="A471" s="702" t="s">
        <v>1419</v>
      </c>
      <c r="B471" s="703" t="s">
        <v>54</v>
      </c>
      <c r="C471" s="704" t="s">
        <v>1423</v>
      </c>
      <c r="D471" s="705" t="s">
        <v>3443</v>
      </c>
      <c r="E471" s="703" t="s">
        <v>2174</v>
      </c>
      <c r="F471" s="706">
        <v>25500</v>
      </c>
      <c r="G471" s="238"/>
      <c r="H471" s="238"/>
    </row>
    <row r="472" spans="1:10">
      <c r="A472" s="702" t="s">
        <v>1419</v>
      </c>
      <c r="B472" s="703" t="s">
        <v>54</v>
      </c>
      <c r="C472" s="704" t="s">
        <v>1423</v>
      </c>
      <c r="D472" s="705" t="s">
        <v>3443</v>
      </c>
      <c r="E472" s="703" t="s">
        <v>1734</v>
      </c>
      <c r="F472" s="706">
        <v>280500</v>
      </c>
      <c r="G472" s="238"/>
      <c r="H472" s="238"/>
    </row>
    <row r="473" spans="1:10">
      <c r="A473" s="702" t="s">
        <v>1419</v>
      </c>
      <c r="B473" s="703" t="s">
        <v>54</v>
      </c>
      <c r="C473" s="704" t="s">
        <v>1424</v>
      </c>
      <c r="D473" s="705" t="s">
        <v>3443</v>
      </c>
      <c r="E473" s="703" t="s">
        <v>1</v>
      </c>
      <c r="F473" s="706">
        <v>177000</v>
      </c>
      <c r="G473" s="238"/>
      <c r="H473" s="238"/>
    </row>
    <row r="474" spans="1:10">
      <c r="A474" s="702" t="s">
        <v>1419</v>
      </c>
      <c r="B474" s="703" t="s">
        <v>54</v>
      </c>
      <c r="C474" s="704" t="s">
        <v>1424</v>
      </c>
      <c r="D474" s="705" t="s">
        <v>3443</v>
      </c>
      <c r="E474" s="703" t="s">
        <v>2174</v>
      </c>
      <c r="F474" s="706">
        <v>17700</v>
      </c>
      <c r="G474" s="238"/>
      <c r="H474" s="238"/>
      <c r="I474"/>
      <c r="J474"/>
    </row>
    <row r="475" spans="1:10">
      <c r="A475" s="702" t="s">
        <v>1419</v>
      </c>
      <c r="B475" s="703" t="s">
        <v>54</v>
      </c>
      <c r="C475" s="704" t="s">
        <v>1424</v>
      </c>
      <c r="D475" s="705" t="s">
        <v>3443</v>
      </c>
      <c r="E475" s="703" t="s">
        <v>1734</v>
      </c>
      <c r="F475" s="706">
        <v>194700</v>
      </c>
      <c r="G475" s="238"/>
      <c r="H475" s="238"/>
      <c r="I475"/>
      <c r="J475"/>
    </row>
    <row r="476" spans="1:10">
      <c r="A476" s="702" t="s">
        <v>1419</v>
      </c>
      <c r="B476" s="703" t="s">
        <v>54</v>
      </c>
      <c r="C476" s="704" t="s">
        <v>1425</v>
      </c>
      <c r="D476" s="705" t="s">
        <v>3443</v>
      </c>
      <c r="E476" s="703" t="s">
        <v>1</v>
      </c>
      <c r="F476" s="706">
        <v>177000</v>
      </c>
      <c r="G476" s="238"/>
      <c r="H476" s="238"/>
      <c r="I476"/>
      <c r="J476"/>
    </row>
    <row r="477" spans="1:10">
      <c r="A477" s="702" t="s">
        <v>1419</v>
      </c>
      <c r="B477" s="703" t="s">
        <v>54</v>
      </c>
      <c r="C477" s="704" t="s">
        <v>1425</v>
      </c>
      <c r="D477" s="705" t="s">
        <v>3443</v>
      </c>
      <c r="E477" s="703" t="s">
        <v>2174</v>
      </c>
      <c r="F477" s="706">
        <v>17700</v>
      </c>
      <c r="G477" s="238"/>
      <c r="H477" s="238"/>
      <c r="I477"/>
      <c r="J477"/>
    </row>
    <row r="478" spans="1:10">
      <c r="A478" s="702" t="s">
        <v>1419</v>
      </c>
      <c r="B478" s="703" t="s">
        <v>54</v>
      </c>
      <c r="C478" s="704" t="s">
        <v>1425</v>
      </c>
      <c r="D478" s="705" t="s">
        <v>3443</v>
      </c>
      <c r="E478" s="703" t="s">
        <v>1734</v>
      </c>
      <c r="F478" s="706">
        <v>194700</v>
      </c>
      <c r="G478" s="238"/>
      <c r="H478" s="238"/>
      <c r="I478"/>
      <c r="J478"/>
    </row>
    <row r="479" spans="1:10">
      <c r="A479" s="702" t="s">
        <v>1419</v>
      </c>
      <c r="B479" s="703" t="s">
        <v>54</v>
      </c>
      <c r="C479" s="704" t="s">
        <v>1426</v>
      </c>
      <c r="D479" s="705" t="s">
        <v>3443</v>
      </c>
      <c r="E479" s="703" t="s">
        <v>1</v>
      </c>
      <c r="F479" s="706">
        <v>177000</v>
      </c>
      <c r="G479" s="238"/>
      <c r="H479" s="238"/>
      <c r="I479"/>
      <c r="J479"/>
    </row>
    <row r="480" spans="1:10">
      <c r="A480" s="702" t="s">
        <v>1419</v>
      </c>
      <c r="B480" s="703" t="s">
        <v>54</v>
      </c>
      <c r="C480" s="704" t="s">
        <v>1426</v>
      </c>
      <c r="D480" s="705" t="s">
        <v>3443</v>
      </c>
      <c r="E480" s="703" t="s">
        <v>2174</v>
      </c>
      <c r="F480" s="706">
        <v>17700</v>
      </c>
      <c r="G480" s="238"/>
      <c r="H480" s="238"/>
      <c r="I480"/>
      <c r="J480"/>
    </row>
    <row r="481" spans="1:10">
      <c r="A481" s="702" t="s">
        <v>1419</v>
      </c>
      <c r="B481" s="703" t="s">
        <v>54</v>
      </c>
      <c r="C481" s="704" t="s">
        <v>1426</v>
      </c>
      <c r="D481" s="705" t="s">
        <v>3443</v>
      </c>
      <c r="E481" s="703" t="s">
        <v>1734</v>
      </c>
      <c r="F481" s="706">
        <v>194700</v>
      </c>
      <c r="G481" s="238"/>
      <c r="H481" s="238"/>
      <c r="I481"/>
      <c r="J481"/>
    </row>
    <row r="482" spans="1:10">
      <c r="A482" s="702" t="s">
        <v>1419</v>
      </c>
      <c r="B482" s="703" t="s">
        <v>54</v>
      </c>
      <c r="C482" s="704" t="s">
        <v>1427</v>
      </c>
      <c r="D482" s="705" t="s">
        <v>3443</v>
      </c>
      <c r="E482" s="703" t="s">
        <v>1</v>
      </c>
      <c r="F482" s="706">
        <v>190000</v>
      </c>
      <c r="G482" s="238"/>
      <c r="H482" s="238"/>
      <c r="I482"/>
      <c r="J482"/>
    </row>
    <row r="483" spans="1:10">
      <c r="A483" s="702" t="s">
        <v>1419</v>
      </c>
      <c r="B483" s="703" t="s">
        <v>54</v>
      </c>
      <c r="C483" s="704" t="s">
        <v>1427</v>
      </c>
      <c r="D483" s="705" t="s">
        <v>3443</v>
      </c>
      <c r="E483" s="703" t="s">
        <v>2174</v>
      </c>
      <c r="F483" s="706">
        <v>19000</v>
      </c>
      <c r="G483" s="238"/>
      <c r="H483" s="238"/>
      <c r="I483"/>
      <c r="J483"/>
    </row>
    <row r="484" spans="1:10">
      <c r="A484" s="702" t="s">
        <v>1419</v>
      </c>
      <c r="B484" s="703" t="s">
        <v>54</v>
      </c>
      <c r="C484" s="704" t="s">
        <v>1427</v>
      </c>
      <c r="D484" s="705" t="s">
        <v>3443</v>
      </c>
      <c r="E484" s="703" t="s">
        <v>1734</v>
      </c>
      <c r="F484" s="706">
        <v>209000</v>
      </c>
      <c r="G484" s="238"/>
      <c r="H484" s="238"/>
      <c r="I484"/>
      <c r="J484"/>
    </row>
    <row r="485" spans="1:10">
      <c r="A485" s="702" t="s">
        <v>1419</v>
      </c>
      <c r="B485" s="703" t="s">
        <v>296</v>
      </c>
      <c r="C485" s="704" t="s">
        <v>1429</v>
      </c>
      <c r="D485" s="705" t="s">
        <v>3443</v>
      </c>
      <c r="E485" s="703" t="s">
        <v>1</v>
      </c>
      <c r="F485" s="706">
        <v>260000</v>
      </c>
      <c r="G485" s="238"/>
      <c r="H485" s="238"/>
      <c r="I485"/>
      <c r="J485"/>
    </row>
    <row r="486" spans="1:10">
      <c r="A486" s="702" t="s">
        <v>1419</v>
      </c>
      <c r="B486" s="703" t="s">
        <v>296</v>
      </c>
      <c r="C486" s="704" t="s">
        <v>1429</v>
      </c>
      <c r="D486" s="705" t="s">
        <v>3443</v>
      </c>
      <c r="E486" s="703" t="s">
        <v>2174</v>
      </c>
      <c r="F486" s="706">
        <v>26000</v>
      </c>
      <c r="G486" s="238"/>
      <c r="H486" s="238"/>
      <c r="I486"/>
      <c r="J486"/>
    </row>
    <row r="487" spans="1:10">
      <c r="A487" s="702" t="s">
        <v>1419</v>
      </c>
      <c r="B487" s="703" t="s">
        <v>296</v>
      </c>
      <c r="C487" s="704" t="s">
        <v>1429</v>
      </c>
      <c r="D487" s="705" t="s">
        <v>3443</v>
      </c>
      <c r="E487" s="703" t="s">
        <v>1734</v>
      </c>
      <c r="F487" s="706">
        <v>286000</v>
      </c>
      <c r="G487" s="238"/>
      <c r="H487" s="238"/>
      <c r="I487"/>
      <c r="J487"/>
    </row>
    <row r="488" spans="1:10">
      <c r="A488" s="702" t="s">
        <v>1419</v>
      </c>
      <c r="B488" s="703" t="s">
        <v>556</v>
      </c>
      <c r="C488" s="704" t="s">
        <v>1431</v>
      </c>
      <c r="D488" s="705" t="s">
        <v>3443</v>
      </c>
      <c r="E488" s="703" t="s">
        <v>1</v>
      </c>
      <c r="F488" s="706">
        <v>175000</v>
      </c>
      <c r="G488" s="238"/>
      <c r="H488" s="238"/>
      <c r="I488"/>
      <c r="J488"/>
    </row>
    <row r="489" spans="1:10">
      <c r="A489" s="702" t="s">
        <v>1419</v>
      </c>
      <c r="B489" s="703" t="s">
        <v>556</v>
      </c>
      <c r="C489" s="704" t="s">
        <v>1431</v>
      </c>
      <c r="D489" s="705" t="s">
        <v>3443</v>
      </c>
      <c r="E489" s="703" t="s">
        <v>2174</v>
      </c>
      <c r="F489" s="706">
        <v>17500</v>
      </c>
      <c r="G489" s="238"/>
      <c r="H489" s="238"/>
      <c r="I489"/>
      <c r="J489"/>
    </row>
    <row r="490" spans="1:10" ht="17.25">
      <c r="A490" s="702" t="s">
        <v>1419</v>
      </c>
      <c r="B490" s="703" t="s">
        <v>556</v>
      </c>
      <c r="C490" s="704" t="s">
        <v>1431</v>
      </c>
      <c r="D490" s="705" t="s">
        <v>3443</v>
      </c>
      <c r="E490" s="703" t="s">
        <v>1734</v>
      </c>
      <c r="F490" s="707">
        <v>192500</v>
      </c>
      <c r="G490" s="238"/>
      <c r="H490" s="238"/>
      <c r="I490"/>
      <c r="J490"/>
    </row>
    <row r="491" spans="1:10">
      <c r="A491" s="702" t="s">
        <v>1419</v>
      </c>
      <c r="B491" s="703" t="s">
        <v>2639</v>
      </c>
      <c r="C491" s="704" t="s">
        <v>1433</v>
      </c>
      <c r="D491" s="705" t="s">
        <v>3443</v>
      </c>
      <c r="E491" s="703" t="s">
        <v>1</v>
      </c>
      <c r="F491" s="706">
        <v>260000</v>
      </c>
      <c r="G491" s="238"/>
      <c r="H491" s="238"/>
      <c r="I491"/>
      <c r="J491"/>
    </row>
    <row r="492" spans="1:10">
      <c r="A492" s="702" t="s">
        <v>1419</v>
      </c>
      <c r="B492" s="703" t="s">
        <v>2639</v>
      </c>
      <c r="C492" s="704" t="s">
        <v>1433</v>
      </c>
      <c r="D492" s="705" t="s">
        <v>3443</v>
      </c>
      <c r="E492" s="703" t="s">
        <v>2174</v>
      </c>
      <c r="F492" s="706">
        <v>26000</v>
      </c>
      <c r="G492" s="238"/>
      <c r="H492" s="238"/>
      <c r="I492"/>
      <c r="J492"/>
    </row>
    <row r="493" spans="1:10" ht="17.25">
      <c r="A493" s="702" t="s">
        <v>1419</v>
      </c>
      <c r="B493" s="703" t="s">
        <v>2639</v>
      </c>
      <c r="C493" s="704" t="s">
        <v>1433</v>
      </c>
      <c r="D493" s="705" t="s">
        <v>3443</v>
      </c>
      <c r="E493" s="703" t="s">
        <v>1734</v>
      </c>
      <c r="F493" s="707">
        <v>286000</v>
      </c>
      <c r="G493" s="238"/>
      <c r="H493" s="238"/>
      <c r="I493"/>
      <c r="J493"/>
    </row>
    <row r="494" spans="1:10">
      <c r="A494" s="702" t="s">
        <v>1419</v>
      </c>
      <c r="B494" s="703" t="s">
        <v>2639</v>
      </c>
      <c r="C494" s="704" t="s">
        <v>1434</v>
      </c>
      <c r="D494" s="705" t="s">
        <v>3443</v>
      </c>
      <c r="E494" s="703" t="s">
        <v>1</v>
      </c>
      <c r="F494" s="706">
        <v>173000</v>
      </c>
      <c r="G494" s="238"/>
      <c r="H494" s="238"/>
      <c r="I494"/>
      <c r="J494"/>
    </row>
    <row r="495" spans="1:10">
      <c r="A495" s="702" t="s">
        <v>1419</v>
      </c>
      <c r="B495" s="703" t="s">
        <v>2639</v>
      </c>
      <c r="C495" s="704" t="s">
        <v>1434</v>
      </c>
      <c r="D495" s="705" t="s">
        <v>3443</v>
      </c>
      <c r="E495" s="703" t="s">
        <v>2174</v>
      </c>
      <c r="F495" s="706">
        <v>17300</v>
      </c>
      <c r="G495" s="238"/>
      <c r="H495" s="238"/>
      <c r="I495"/>
      <c r="J495"/>
    </row>
    <row r="496" spans="1:10" ht="17.25">
      <c r="A496" s="702" t="s">
        <v>1419</v>
      </c>
      <c r="B496" s="703" t="s">
        <v>2639</v>
      </c>
      <c r="C496" s="704" t="s">
        <v>1434</v>
      </c>
      <c r="D496" s="705" t="s">
        <v>3443</v>
      </c>
      <c r="E496" s="703" t="s">
        <v>1734</v>
      </c>
      <c r="F496" s="707">
        <v>190300</v>
      </c>
      <c r="G496" s="238"/>
      <c r="H496" s="238"/>
      <c r="I496"/>
      <c r="J496"/>
    </row>
    <row r="497" spans="1:10">
      <c r="A497" s="702" t="s">
        <v>1419</v>
      </c>
      <c r="B497" s="703" t="s">
        <v>40</v>
      </c>
      <c r="C497" s="704" t="s">
        <v>3270</v>
      </c>
      <c r="D497" s="705" t="s">
        <v>3441</v>
      </c>
      <c r="E497" s="703" t="s">
        <v>1</v>
      </c>
      <c r="F497" s="706">
        <v>315000</v>
      </c>
      <c r="G497" s="238"/>
      <c r="H497" s="238"/>
      <c r="I497"/>
      <c r="J497"/>
    </row>
    <row r="498" spans="1:10">
      <c r="A498" s="702" t="s">
        <v>1419</v>
      </c>
      <c r="B498" s="703" t="s">
        <v>40</v>
      </c>
      <c r="C498" s="704" t="s">
        <v>3270</v>
      </c>
      <c r="D498" s="705" t="s">
        <v>3441</v>
      </c>
      <c r="E498" s="703" t="s">
        <v>2174</v>
      </c>
      <c r="F498" s="706">
        <v>31500</v>
      </c>
      <c r="G498" s="238"/>
      <c r="H498" s="238"/>
      <c r="I498"/>
      <c r="J498"/>
    </row>
    <row r="499" spans="1:10">
      <c r="A499" s="702" t="s">
        <v>1419</v>
      </c>
      <c r="B499" s="702" t="s">
        <v>40</v>
      </c>
      <c r="C499" s="704" t="s">
        <v>3270</v>
      </c>
      <c r="D499" s="705" t="s">
        <v>3441</v>
      </c>
      <c r="E499" s="703" t="s">
        <v>1734</v>
      </c>
      <c r="F499" s="706">
        <v>346500</v>
      </c>
      <c r="G499" s="238"/>
      <c r="H499" s="238"/>
      <c r="I499"/>
      <c r="J499"/>
    </row>
    <row r="500" spans="1:10">
      <c r="A500" s="702" t="s">
        <v>1419</v>
      </c>
      <c r="B500" s="703" t="s">
        <v>40</v>
      </c>
      <c r="C500" s="704" t="s">
        <v>1422</v>
      </c>
      <c r="D500" s="705" t="s">
        <v>3441</v>
      </c>
      <c r="E500" s="703" t="s">
        <v>1</v>
      </c>
      <c r="F500" s="706">
        <v>232000</v>
      </c>
      <c r="G500" s="238"/>
      <c r="H500" s="238"/>
      <c r="I500"/>
      <c r="J500"/>
    </row>
    <row r="501" spans="1:10">
      <c r="A501" s="702" t="s">
        <v>1419</v>
      </c>
      <c r="B501" s="703" t="s">
        <v>40</v>
      </c>
      <c r="C501" s="704" t="s">
        <v>1422</v>
      </c>
      <c r="D501" s="705" t="s">
        <v>3441</v>
      </c>
      <c r="E501" s="703" t="s">
        <v>2174</v>
      </c>
      <c r="F501" s="706">
        <v>23200</v>
      </c>
      <c r="G501" s="238"/>
      <c r="H501" s="238"/>
      <c r="I501"/>
      <c r="J501"/>
    </row>
    <row r="502" spans="1:10">
      <c r="A502" s="702" t="s">
        <v>1419</v>
      </c>
      <c r="B502" s="703" t="s">
        <v>40</v>
      </c>
      <c r="C502" s="704" t="s">
        <v>1422</v>
      </c>
      <c r="D502" s="705" t="s">
        <v>3441</v>
      </c>
      <c r="E502" s="703" t="s">
        <v>1734</v>
      </c>
      <c r="F502" s="706">
        <v>255200</v>
      </c>
      <c r="G502" s="238"/>
      <c r="H502" s="238"/>
      <c r="I502"/>
      <c r="J502"/>
    </row>
    <row r="503" spans="1:10">
      <c r="A503" s="702" t="s">
        <v>1419</v>
      </c>
      <c r="B503" s="703" t="s">
        <v>54</v>
      </c>
      <c r="C503" s="704" t="s">
        <v>1423</v>
      </c>
      <c r="D503" s="705" t="s">
        <v>3441</v>
      </c>
      <c r="E503" s="703" t="s">
        <v>1</v>
      </c>
      <c r="F503" s="706">
        <v>310000</v>
      </c>
      <c r="G503" s="238"/>
      <c r="H503" s="238"/>
      <c r="I503"/>
      <c r="J503"/>
    </row>
    <row r="504" spans="1:10">
      <c r="A504" s="702" t="s">
        <v>1419</v>
      </c>
      <c r="B504" s="703" t="s">
        <v>54</v>
      </c>
      <c r="C504" s="704" t="s">
        <v>1423</v>
      </c>
      <c r="D504" s="705" t="s">
        <v>3441</v>
      </c>
      <c r="E504" s="703" t="s">
        <v>2174</v>
      </c>
      <c r="F504" s="706">
        <v>31000</v>
      </c>
      <c r="G504" s="238"/>
      <c r="H504" s="238"/>
      <c r="I504"/>
      <c r="J504"/>
    </row>
    <row r="505" spans="1:10">
      <c r="A505" s="702" t="s">
        <v>1419</v>
      </c>
      <c r="B505" s="703" t="s">
        <v>54</v>
      </c>
      <c r="C505" s="704" t="s">
        <v>1423</v>
      </c>
      <c r="D505" s="705" t="s">
        <v>3441</v>
      </c>
      <c r="E505" s="703" t="s">
        <v>1734</v>
      </c>
      <c r="F505" s="706">
        <v>341000</v>
      </c>
      <c r="G505" s="238"/>
      <c r="H505" s="238"/>
      <c r="I505"/>
      <c r="J505"/>
    </row>
    <row r="506" spans="1:10">
      <c r="A506" s="702" t="s">
        <v>1419</v>
      </c>
      <c r="B506" s="703" t="s">
        <v>54</v>
      </c>
      <c r="C506" s="704" t="s">
        <v>1424</v>
      </c>
      <c r="D506" s="705" t="s">
        <v>3441</v>
      </c>
      <c r="E506" s="703" t="s">
        <v>1</v>
      </c>
      <c r="F506" s="706">
        <v>232000</v>
      </c>
      <c r="G506" s="238"/>
      <c r="H506" s="238"/>
      <c r="I506"/>
      <c r="J506"/>
    </row>
    <row r="507" spans="1:10">
      <c r="A507" s="702" t="s">
        <v>1419</v>
      </c>
      <c r="B507" s="703" t="s">
        <v>54</v>
      </c>
      <c r="C507" s="704" t="s">
        <v>1424</v>
      </c>
      <c r="D507" s="705" t="s">
        <v>3441</v>
      </c>
      <c r="E507" s="703" t="s">
        <v>2174</v>
      </c>
      <c r="F507" s="706">
        <v>23200</v>
      </c>
      <c r="G507" s="238"/>
      <c r="H507" s="238"/>
      <c r="I507"/>
      <c r="J507"/>
    </row>
    <row r="508" spans="1:10">
      <c r="A508" s="702" t="s">
        <v>1419</v>
      </c>
      <c r="B508" s="703" t="s">
        <v>54</v>
      </c>
      <c r="C508" s="704" t="s">
        <v>1424</v>
      </c>
      <c r="D508" s="705" t="s">
        <v>3441</v>
      </c>
      <c r="E508" s="703" t="s">
        <v>1734</v>
      </c>
      <c r="F508" s="706">
        <v>255200</v>
      </c>
      <c r="G508" s="238"/>
      <c r="H508" s="238"/>
      <c r="I508"/>
      <c r="J508"/>
    </row>
    <row r="509" spans="1:10">
      <c r="A509" s="702" t="s">
        <v>1419</v>
      </c>
      <c r="B509" s="703" t="s">
        <v>54</v>
      </c>
      <c r="C509" s="704" t="s">
        <v>1425</v>
      </c>
      <c r="D509" s="705" t="s">
        <v>3441</v>
      </c>
      <c r="E509" s="703" t="s">
        <v>1</v>
      </c>
      <c r="F509" s="706">
        <v>232000</v>
      </c>
      <c r="H509" s="238"/>
      <c r="I509"/>
      <c r="J509"/>
    </row>
    <row r="510" spans="1:10">
      <c r="A510" s="702" t="s">
        <v>1419</v>
      </c>
      <c r="B510" s="703" t="s">
        <v>54</v>
      </c>
      <c r="C510" s="704" t="s">
        <v>1425</v>
      </c>
      <c r="D510" s="705" t="s">
        <v>3441</v>
      </c>
      <c r="E510" s="703" t="s">
        <v>2174</v>
      </c>
      <c r="F510" s="706">
        <v>23200</v>
      </c>
      <c r="H510" s="238"/>
      <c r="I510"/>
      <c r="J510"/>
    </row>
    <row r="511" spans="1:10">
      <c r="A511" s="702" t="s">
        <v>1419</v>
      </c>
      <c r="B511" s="703" t="s">
        <v>54</v>
      </c>
      <c r="C511" s="704" t="s">
        <v>1425</v>
      </c>
      <c r="D511" s="705" t="s">
        <v>3441</v>
      </c>
      <c r="E511" s="703" t="s">
        <v>1734</v>
      </c>
      <c r="F511" s="706">
        <v>255200</v>
      </c>
      <c r="H511" s="238"/>
      <c r="I511"/>
      <c r="J511"/>
    </row>
    <row r="512" spans="1:10">
      <c r="A512" s="702" t="s">
        <v>1419</v>
      </c>
      <c r="B512" s="703" t="s">
        <v>54</v>
      </c>
      <c r="C512" s="704" t="s">
        <v>1426</v>
      </c>
      <c r="D512" s="705" t="s">
        <v>3441</v>
      </c>
      <c r="E512" s="703" t="s">
        <v>1</v>
      </c>
      <c r="F512" s="706">
        <v>232000</v>
      </c>
      <c r="H512" s="238"/>
      <c r="I512"/>
      <c r="J512"/>
    </row>
    <row r="513" spans="1:10">
      <c r="A513" s="702" t="s">
        <v>1419</v>
      </c>
      <c r="B513" s="703" t="s">
        <v>54</v>
      </c>
      <c r="C513" s="704" t="s">
        <v>1426</v>
      </c>
      <c r="D513" s="705" t="s">
        <v>3441</v>
      </c>
      <c r="E513" s="703" t="s">
        <v>2174</v>
      </c>
      <c r="F513" s="706">
        <v>23200</v>
      </c>
      <c r="H513" s="238"/>
      <c r="I513"/>
      <c r="J513"/>
    </row>
    <row r="514" spans="1:10">
      <c r="A514" s="702" t="s">
        <v>1419</v>
      </c>
      <c r="B514" s="703" t="s">
        <v>54</v>
      </c>
      <c r="C514" s="704" t="s">
        <v>1426</v>
      </c>
      <c r="D514" s="705" t="s">
        <v>3441</v>
      </c>
      <c r="E514" s="703" t="s">
        <v>1734</v>
      </c>
      <c r="F514" s="706">
        <v>255200</v>
      </c>
      <c r="H514" s="238"/>
      <c r="I514"/>
      <c r="J514"/>
    </row>
    <row r="515" spans="1:10">
      <c r="A515" s="702" t="s">
        <v>1419</v>
      </c>
      <c r="B515" s="703" t="s">
        <v>54</v>
      </c>
      <c r="C515" s="704" t="s">
        <v>1427</v>
      </c>
      <c r="D515" s="705" t="s">
        <v>3441</v>
      </c>
      <c r="E515" s="703" t="s">
        <v>1</v>
      </c>
      <c r="F515" s="706">
        <v>245000</v>
      </c>
      <c r="I515"/>
      <c r="J515"/>
    </row>
    <row r="516" spans="1:10">
      <c r="A516" s="702" t="s">
        <v>1419</v>
      </c>
      <c r="B516" s="703" t="s">
        <v>54</v>
      </c>
      <c r="C516" s="704" t="s">
        <v>1427</v>
      </c>
      <c r="D516" s="705" t="s">
        <v>3441</v>
      </c>
      <c r="E516" s="703" t="s">
        <v>2174</v>
      </c>
      <c r="F516" s="706">
        <v>24500</v>
      </c>
      <c r="I516"/>
      <c r="J516"/>
    </row>
    <row r="517" spans="1:10">
      <c r="A517" s="702" t="s">
        <v>1419</v>
      </c>
      <c r="B517" s="703" t="s">
        <v>54</v>
      </c>
      <c r="C517" s="704" t="s">
        <v>1427</v>
      </c>
      <c r="D517" s="705" t="s">
        <v>3441</v>
      </c>
      <c r="E517" s="703" t="s">
        <v>1734</v>
      </c>
      <c r="F517" s="706">
        <v>269500</v>
      </c>
      <c r="I517"/>
      <c r="J517"/>
    </row>
    <row r="518" spans="1:10">
      <c r="A518" s="702" t="s">
        <v>1419</v>
      </c>
      <c r="B518" s="703" t="s">
        <v>296</v>
      </c>
      <c r="C518" s="704" t="s">
        <v>1429</v>
      </c>
      <c r="D518" s="705" t="s">
        <v>3441</v>
      </c>
      <c r="E518" s="703" t="s">
        <v>1</v>
      </c>
      <c r="F518" s="706">
        <v>315000</v>
      </c>
      <c r="I518"/>
      <c r="J518"/>
    </row>
    <row r="519" spans="1:10">
      <c r="A519" s="702" t="s">
        <v>1419</v>
      </c>
      <c r="B519" s="703" t="s">
        <v>296</v>
      </c>
      <c r="C519" s="704" t="s">
        <v>1429</v>
      </c>
      <c r="D519" s="705" t="s">
        <v>3441</v>
      </c>
      <c r="E519" s="703" t="s">
        <v>2174</v>
      </c>
      <c r="F519" s="706">
        <v>31500</v>
      </c>
    </row>
    <row r="520" spans="1:10">
      <c r="A520" s="702" t="s">
        <v>1419</v>
      </c>
      <c r="B520" s="703" t="s">
        <v>296</v>
      </c>
      <c r="C520" s="704" t="s">
        <v>1429</v>
      </c>
      <c r="D520" s="705" t="s">
        <v>3441</v>
      </c>
      <c r="E520" s="703" t="s">
        <v>1734</v>
      </c>
      <c r="F520" s="706">
        <v>346500</v>
      </c>
    </row>
    <row r="521" spans="1:10">
      <c r="A521" s="702" t="s">
        <v>1419</v>
      </c>
      <c r="B521" s="703" t="s">
        <v>556</v>
      </c>
      <c r="C521" s="704" t="s">
        <v>1431</v>
      </c>
      <c r="D521" s="705" t="s">
        <v>3441</v>
      </c>
      <c r="E521" s="703" t="s">
        <v>1</v>
      </c>
      <c r="F521" s="706">
        <v>230000</v>
      </c>
    </row>
    <row r="522" spans="1:10">
      <c r="A522" s="702" t="s">
        <v>1419</v>
      </c>
      <c r="B522" s="703" t="s">
        <v>556</v>
      </c>
      <c r="C522" s="704" t="s">
        <v>1431</v>
      </c>
      <c r="D522" s="705" t="s">
        <v>3441</v>
      </c>
      <c r="E522" s="703" t="s">
        <v>2174</v>
      </c>
      <c r="F522" s="706">
        <v>23000</v>
      </c>
    </row>
    <row r="523" spans="1:10" ht="17.25">
      <c r="A523" s="702" t="s">
        <v>1419</v>
      </c>
      <c r="B523" s="703" t="s">
        <v>556</v>
      </c>
      <c r="C523" s="704" t="s">
        <v>1431</v>
      </c>
      <c r="D523" s="705" t="s">
        <v>3441</v>
      </c>
      <c r="E523" s="703" t="s">
        <v>1734</v>
      </c>
      <c r="F523" s="707">
        <v>253000</v>
      </c>
    </row>
    <row r="524" spans="1:10">
      <c r="A524" s="702" t="s">
        <v>1419</v>
      </c>
      <c r="B524" s="703" t="s">
        <v>2639</v>
      </c>
      <c r="C524" s="704" t="s">
        <v>1433</v>
      </c>
      <c r="D524" s="705" t="s">
        <v>3441</v>
      </c>
      <c r="E524" s="703" t="s">
        <v>1</v>
      </c>
      <c r="F524" s="706">
        <v>315000</v>
      </c>
    </row>
    <row r="525" spans="1:10">
      <c r="A525" s="702" t="s">
        <v>1419</v>
      </c>
      <c r="B525" s="703" t="s">
        <v>2639</v>
      </c>
      <c r="C525" s="704" t="s">
        <v>1433</v>
      </c>
      <c r="D525" s="705" t="s">
        <v>3441</v>
      </c>
      <c r="E525" s="703" t="s">
        <v>2174</v>
      </c>
      <c r="F525" s="706">
        <v>31500</v>
      </c>
    </row>
    <row r="526" spans="1:10" ht="17.25">
      <c r="A526" s="702" t="s">
        <v>1419</v>
      </c>
      <c r="B526" s="703" t="s">
        <v>2639</v>
      </c>
      <c r="C526" s="704" t="s">
        <v>1433</v>
      </c>
      <c r="D526" s="705" t="s">
        <v>3441</v>
      </c>
      <c r="E526" s="703" t="s">
        <v>1734</v>
      </c>
      <c r="F526" s="707">
        <v>346500</v>
      </c>
    </row>
    <row r="527" spans="1:10">
      <c r="A527" s="702" t="s">
        <v>1419</v>
      </c>
      <c r="B527" s="703" t="s">
        <v>2639</v>
      </c>
      <c r="C527" s="704" t="s">
        <v>1434</v>
      </c>
      <c r="D527" s="705" t="s">
        <v>3441</v>
      </c>
      <c r="E527" s="703" t="s">
        <v>1</v>
      </c>
      <c r="F527" s="706">
        <v>228000</v>
      </c>
    </row>
    <row r="528" spans="1:10">
      <c r="A528" s="702" t="s">
        <v>1419</v>
      </c>
      <c r="B528" s="703" t="s">
        <v>2639</v>
      </c>
      <c r="C528" s="704" t="s">
        <v>1434</v>
      </c>
      <c r="D528" s="705" t="s">
        <v>3441</v>
      </c>
      <c r="E528" s="703" t="s">
        <v>2174</v>
      </c>
      <c r="F528" s="706">
        <v>22800</v>
      </c>
    </row>
    <row r="529" spans="1:6" ht="17.25">
      <c r="A529" s="702" t="s">
        <v>1419</v>
      </c>
      <c r="B529" s="703" t="s">
        <v>2639</v>
      </c>
      <c r="C529" s="704" t="s">
        <v>1434</v>
      </c>
      <c r="D529" s="705" t="s">
        <v>3441</v>
      </c>
      <c r="E529" s="703" t="s">
        <v>1734</v>
      </c>
      <c r="F529" s="707">
        <v>250800</v>
      </c>
    </row>
    <row r="530" spans="1:6">
      <c r="A530" s="80" t="s">
        <v>1419</v>
      </c>
      <c r="B530" s="77" t="s">
        <v>40</v>
      </c>
      <c r="C530" s="697" t="s">
        <v>3270</v>
      </c>
      <c r="D530" s="79" t="s">
        <v>1415</v>
      </c>
      <c r="E530" s="80" t="s">
        <v>1420</v>
      </c>
      <c r="F530" s="69">
        <v>337000</v>
      </c>
    </row>
    <row r="531" spans="1:6">
      <c r="A531" s="80" t="s">
        <v>1419</v>
      </c>
      <c r="B531" s="77" t="s">
        <v>40</v>
      </c>
      <c r="C531" s="697" t="s">
        <v>3270</v>
      </c>
      <c r="D531" s="79" t="s">
        <v>1415</v>
      </c>
      <c r="E531" s="80" t="s">
        <v>1421</v>
      </c>
      <c r="F531" s="69">
        <v>33700.000000000029</v>
      </c>
    </row>
    <row r="532" spans="1:6">
      <c r="A532" s="80" t="s">
        <v>1419</v>
      </c>
      <c r="B532" s="80" t="s">
        <v>40</v>
      </c>
      <c r="C532" s="697" t="s">
        <v>3270</v>
      </c>
      <c r="D532" s="79" t="s">
        <v>1415</v>
      </c>
      <c r="E532" s="80" t="s">
        <v>30</v>
      </c>
      <c r="F532" s="69">
        <v>370700</v>
      </c>
    </row>
    <row r="533" spans="1:6">
      <c r="A533" s="80" t="s">
        <v>1419</v>
      </c>
      <c r="B533" s="77" t="s">
        <v>40</v>
      </c>
      <c r="C533" s="697" t="s">
        <v>1422</v>
      </c>
      <c r="D533" s="79" t="s">
        <v>1415</v>
      </c>
      <c r="E533" s="80" t="s">
        <v>1420</v>
      </c>
      <c r="F533" s="69">
        <v>254000</v>
      </c>
    </row>
    <row r="534" spans="1:6">
      <c r="A534" s="80" t="s">
        <v>1419</v>
      </c>
      <c r="B534" s="77" t="s">
        <v>40</v>
      </c>
      <c r="C534" s="697" t="s">
        <v>1422</v>
      </c>
      <c r="D534" s="79" t="s">
        <v>1415</v>
      </c>
      <c r="E534" s="80" t="s">
        <v>1421</v>
      </c>
      <c r="F534" s="69">
        <v>25400.000000000029</v>
      </c>
    </row>
    <row r="535" spans="1:6">
      <c r="A535" s="80" t="s">
        <v>1419</v>
      </c>
      <c r="B535" s="77" t="s">
        <v>40</v>
      </c>
      <c r="C535" s="697" t="s">
        <v>1422</v>
      </c>
      <c r="D535" s="79" t="s">
        <v>1415</v>
      </c>
      <c r="E535" s="80" t="s">
        <v>30</v>
      </c>
      <c r="F535" s="69">
        <v>279400</v>
      </c>
    </row>
    <row r="536" spans="1:6">
      <c r="A536" s="80" t="s">
        <v>1419</v>
      </c>
      <c r="B536" s="77" t="s">
        <v>54</v>
      </c>
      <c r="C536" s="697" t="s">
        <v>1423</v>
      </c>
      <c r="D536" s="79" t="s">
        <v>1415</v>
      </c>
      <c r="E536" s="80" t="s">
        <v>1420</v>
      </c>
      <c r="F536" s="69">
        <v>332000</v>
      </c>
    </row>
    <row r="537" spans="1:6">
      <c r="A537" s="80" t="s">
        <v>1419</v>
      </c>
      <c r="B537" s="77" t="s">
        <v>54</v>
      </c>
      <c r="C537" s="697" t="s">
        <v>1423</v>
      </c>
      <c r="D537" s="79" t="s">
        <v>1415</v>
      </c>
      <c r="E537" s="80" t="s">
        <v>1421</v>
      </c>
      <c r="F537" s="69">
        <v>33200.000000000029</v>
      </c>
    </row>
    <row r="538" spans="1:6">
      <c r="A538" s="80" t="s">
        <v>1419</v>
      </c>
      <c r="B538" s="77" t="s">
        <v>54</v>
      </c>
      <c r="C538" s="697" t="s">
        <v>1423</v>
      </c>
      <c r="D538" s="79" t="s">
        <v>1415</v>
      </c>
      <c r="E538" s="80" t="s">
        <v>30</v>
      </c>
      <c r="F538" s="69">
        <v>365200</v>
      </c>
    </row>
    <row r="539" spans="1:6">
      <c r="A539" s="80" t="s">
        <v>1419</v>
      </c>
      <c r="B539" s="77" t="s">
        <v>54</v>
      </c>
      <c r="C539" s="697" t="s">
        <v>1424</v>
      </c>
      <c r="D539" s="79" t="s">
        <v>1415</v>
      </c>
      <c r="E539" s="80" t="s">
        <v>1420</v>
      </c>
      <c r="F539" s="69">
        <v>254000</v>
      </c>
    </row>
    <row r="540" spans="1:6">
      <c r="A540" s="80" t="s">
        <v>1419</v>
      </c>
      <c r="B540" s="77" t="s">
        <v>54</v>
      </c>
      <c r="C540" s="697" t="s">
        <v>1424</v>
      </c>
      <c r="D540" s="79" t="s">
        <v>1415</v>
      </c>
      <c r="E540" s="80" t="s">
        <v>1421</v>
      </c>
      <c r="F540" s="69">
        <v>25400.000000000029</v>
      </c>
    </row>
    <row r="541" spans="1:6">
      <c r="A541" s="80" t="s">
        <v>1419</v>
      </c>
      <c r="B541" s="77" t="s">
        <v>54</v>
      </c>
      <c r="C541" s="697" t="s">
        <v>1424</v>
      </c>
      <c r="D541" s="79" t="s">
        <v>1415</v>
      </c>
      <c r="E541" s="80" t="s">
        <v>30</v>
      </c>
      <c r="F541" s="69">
        <v>279400</v>
      </c>
    </row>
    <row r="542" spans="1:6">
      <c r="A542" s="80" t="s">
        <v>1419</v>
      </c>
      <c r="B542" s="77" t="s">
        <v>54</v>
      </c>
      <c r="C542" s="697" t="s">
        <v>1425</v>
      </c>
      <c r="D542" s="79" t="s">
        <v>1415</v>
      </c>
      <c r="E542" s="80" t="s">
        <v>1420</v>
      </c>
      <c r="F542" s="69">
        <v>254000</v>
      </c>
    </row>
    <row r="543" spans="1:6">
      <c r="A543" s="80" t="s">
        <v>1419</v>
      </c>
      <c r="B543" s="77" t="s">
        <v>54</v>
      </c>
      <c r="C543" s="697" t="s">
        <v>1425</v>
      </c>
      <c r="D543" s="79" t="s">
        <v>1415</v>
      </c>
      <c r="E543" s="80" t="s">
        <v>1421</v>
      </c>
      <c r="F543" s="69">
        <v>25400.000000000029</v>
      </c>
    </row>
    <row r="544" spans="1:6">
      <c r="A544" s="80" t="s">
        <v>1419</v>
      </c>
      <c r="B544" s="77" t="s">
        <v>54</v>
      </c>
      <c r="C544" s="697" t="s">
        <v>1425</v>
      </c>
      <c r="D544" s="79" t="s">
        <v>1415</v>
      </c>
      <c r="E544" s="80" t="s">
        <v>30</v>
      </c>
      <c r="F544" s="69">
        <v>279400</v>
      </c>
    </row>
    <row r="545" spans="1:6">
      <c r="A545" s="80" t="s">
        <v>1419</v>
      </c>
      <c r="B545" s="77" t="s">
        <v>54</v>
      </c>
      <c r="C545" s="697" t="s">
        <v>1426</v>
      </c>
      <c r="D545" s="79" t="s">
        <v>1415</v>
      </c>
      <c r="E545" s="80" t="s">
        <v>1420</v>
      </c>
      <c r="F545" s="69">
        <v>254000</v>
      </c>
    </row>
    <row r="546" spans="1:6">
      <c r="A546" s="80" t="s">
        <v>1419</v>
      </c>
      <c r="B546" s="77" t="s">
        <v>54</v>
      </c>
      <c r="C546" s="697" t="s">
        <v>1426</v>
      </c>
      <c r="D546" s="79" t="s">
        <v>1415</v>
      </c>
      <c r="E546" s="80" t="s">
        <v>1421</v>
      </c>
      <c r="F546" s="69">
        <v>25400.000000000029</v>
      </c>
    </row>
    <row r="547" spans="1:6">
      <c r="A547" s="80" t="s">
        <v>1419</v>
      </c>
      <c r="B547" s="77" t="s">
        <v>54</v>
      </c>
      <c r="C547" s="697" t="s">
        <v>1426</v>
      </c>
      <c r="D547" s="79" t="s">
        <v>1415</v>
      </c>
      <c r="E547" s="80" t="s">
        <v>30</v>
      </c>
      <c r="F547" s="69">
        <v>279400</v>
      </c>
    </row>
    <row r="548" spans="1:6">
      <c r="A548" s="80" t="s">
        <v>1419</v>
      </c>
      <c r="B548" s="77" t="s">
        <v>54</v>
      </c>
      <c r="C548" s="697" t="s">
        <v>1427</v>
      </c>
      <c r="D548" s="79" t="s">
        <v>1415</v>
      </c>
      <c r="E548" s="80" t="s">
        <v>1420</v>
      </c>
      <c r="F548" s="69">
        <v>267000</v>
      </c>
    </row>
    <row r="549" spans="1:6">
      <c r="A549" s="80" t="s">
        <v>1419</v>
      </c>
      <c r="B549" s="77" t="s">
        <v>54</v>
      </c>
      <c r="C549" s="697" t="s">
        <v>1427</v>
      </c>
      <c r="D549" s="79" t="s">
        <v>1415</v>
      </c>
      <c r="E549" s="80" t="s">
        <v>1421</v>
      </c>
      <c r="F549" s="69">
        <v>26700.000000000044</v>
      </c>
    </row>
    <row r="550" spans="1:6">
      <c r="A550" s="80" t="s">
        <v>1419</v>
      </c>
      <c r="B550" s="77" t="s">
        <v>54</v>
      </c>
      <c r="C550" s="697" t="s">
        <v>1427</v>
      </c>
      <c r="D550" s="79" t="s">
        <v>1415</v>
      </c>
      <c r="E550" s="80" t="s">
        <v>30</v>
      </c>
      <c r="F550" s="69">
        <v>293700.00000000006</v>
      </c>
    </row>
    <row r="551" spans="1:6">
      <c r="A551" s="80" t="s">
        <v>1419</v>
      </c>
      <c r="B551" s="77" t="s">
        <v>296</v>
      </c>
      <c r="C551" s="697" t="s">
        <v>1429</v>
      </c>
      <c r="D551" s="79" t="s">
        <v>1415</v>
      </c>
      <c r="E551" s="80" t="s">
        <v>1420</v>
      </c>
      <c r="F551" s="69">
        <v>337000</v>
      </c>
    </row>
    <row r="552" spans="1:6">
      <c r="A552" s="80" t="s">
        <v>1419</v>
      </c>
      <c r="B552" s="77" t="s">
        <v>296</v>
      </c>
      <c r="C552" s="697" t="s">
        <v>1429</v>
      </c>
      <c r="D552" s="79" t="s">
        <v>1415</v>
      </c>
      <c r="E552" s="80" t="s">
        <v>1421</v>
      </c>
      <c r="F552" s="69">
        <v>33700.000000000029</v>
      </c>
    </row>
    <row r="553" spans="1:6">
      <c r="A553" s="80" t="s">
        <v>1419</v>
      </c>
      <c r="B553" s="77" t="s">
        <v>296</v>
      </c>
      <c r="C553" s="697" t="s">
        <v>1429</v>
      </c>
      <c r="D553" s="79" t="s">
        <v>1415</v>
      </c>
      <c r="E553" s="80" t="s">
        <v>30</v>
      </c>
      <c r="F553" s="69">
        <v>370700</v>
      </c>
    </row>
    <row r="554" spans="1:6">
      <c r="A554" s="80" t="s">
        <v>1419</v>
      </c>
      <c r="B554" s="77" t="s">
        <v>556</v>
      </c>
      <c r="C554" s="697" t="s">
        <v>1431</v>
      </c>
      <c r="D554" s="79" t="s">
        <v>1415</v>
      </c>
      <c r="E554" s="80" t="s">
        <v>1420</v>
      </c>
      <c r="F554" s="69">
        <v>252000</v>
      </c>
    </row>
    <row r="555" spans="1:6">
      <c r="A555" s="80" t="s">
        <v>1419</v>
      </c>
      <c r="B555" s="77" t="s">
        <v>556</v>
      </c>
      <c r="C555" s="697" t="s">
        <v>1431</v>
      </c>
      <c r="D555" s="79" t="s">
        <v>1415</v>
      </c>
      <c r="E555" s="80" t="s">
        <v>1421</v>
      </c>
      <c r="F555" s="69">
        <v>25200.000000000029</v>
      </c>
    </row>
    <row r="556" spans="1:6" ht="17.25">
      <c r="A556" s="80" t="s">
        <v>1419</v>
      </c>
      <c r="B556" s="77" t="s">
        <v>556</v>
      </c>
      <c r="C556" s="697" t="s">
        <v>1431</v>
      </c>
      <c r="D556" s="79" t="s">
        <v>1415</v>
      </c>
      <c r="E556" s="80" t="s">
        <v>30</v>
      </c>
      <c r="F556" s="668">
        <v>277200</v>
      </c>
    </row>
    <row r="557" spans="1:6">
      <c r="A557" s="80" t="s">
        <v>1419</v>
      </c>
      <c r="B557" s="77" t="s">
        <v>2639</v>
      </c>
      <c r="C557" s="697" t="s">
        <v>1433</v>
      </c>
      <c r="D557" s="79" t="s">
        <v>1415</v>
      </c>
      <c r="E557" s="80" t="s">
        <v>1420</v>
      </c>
      <c r="F557" s="69">
        <v>337000</v>
      </c>
    </row>
    <row r="558" spans="1:6">
      <c r="A558" s="80" t="s">
        <v>1419</v>
      </c>
      <c r="B558" s="77" t="s">
        <v>2639</v>
      </c>
      <c r="C558" s="697" t="s">
        <v>1433</v>
      </c>
      <c r="D558" s="79" t="s">
        <v>1415</v>
      </c>
      <c r="E558" s="80" t="s">
        <v>1421</v>
      </c>
      <c r="F558" s="69">
        <v>33700.000000000029</v>
      </c>
    </row>
    <row r="559" spans="1:6" ht="17.25">
      <c r="A559" s="80" t="s">
        <v>1419</v>
      </c>
      <c r="B559" s="77" t="s">
        <v>2639</v>
      </c>
      <c r="C559" s="697" t="s">
        <v>1433</v>
      </c>
      <c r="D559" s="79" t="s">
        <v>1415</v>
      </c>
      <c r="E559" s="80" t="s">
        <v>30</v>
      </c>
      <c r="F559" s="668">
        <v>370700</v>
      </c>
    </row>
    <row r="560" spans="1:6">
      <c r="A560" s="80" t="s">
        <v>1419</v>
      </c>
      <c r="B560" s="77" t="s">
        <v>2639</v>
      </c>
      <c r="C560" s="697" t="s">
        <v>1434</v>
      </c>
      <c r="D560" s="79" t="s">
        <v>1415</v>
      </c>
      <c r="E560" s="80" t="s">
        <v>1420</v>
      </c>
      <c r="F560" s="69">
        <v>250000</v>
      </c>
    </row>
    <row r="561" spans="1:6">
      <c r="A561" s="80" t="s">
        <v>1419</v>
      </c>
      <c r="B561" s="77" t="s">
        <v>2639</v>
      </c>
      <c r="C561" s="697" t="s">
        <v>1434</v>
      </c>
      <c r="D561" s="79" t="s">
        <v>1415</v>
      </c>
      <c r="E561" s="80" t="s">
        <v>1421</v>
      </c>
      <c r="F561" s="69">
        <v>25000.000000000029</v>
      </c>
    </row>
    <row r="562" spans="1:6" ht="17.25">
      <c r="A562" s="80" t="s">
        <v>1419</v>
      </c>
      <c r="B562" s="77" t="s">
        <v>2639</v>
      </c>
      <c r="C562" s="697" t="s">
        <v>1434</v>
      </c>
      <c r="D562" s="79" t="s">
        <v>1415</v>
      </c>
      <c r="E562" s="80" t="s">
        <v>30</v>
      </c>
      <c r="F562" s="668">
        <v>275000</v>
      </c>
    </row>
    <row r="564" spans="1:6">
      <c r="F564" s="699"/>
    </row>
    <row r="565" spans="1:6">
      <c r="C565" s="70" t="s">
        <v>1387</v>
      </c>
      <c r="D565" s="70" t="s">
        <v>1388</v>
      </c>
      <c r="E565" s="70" t="s">
        <v>16</v>
      </c>
      <c r="F565" s="700" t="s">
        <v>1436</v>
      </c>
    </row>
    <row r="566" spans="1:6">
      <c r="C566" s="128" t="s">
        <v>2173</v>
      </c>
      <c r="D566" s="128" t="s">
        <v>1402</v>
      </c>
      <c r="E566" s="128" t="s">
        <v>1</v>
      </c>
      <c r="F566" s="125">
        <v>73000</v>
      </c>
    </row>
    <row r="567" spans="1:6">
      <c r="C567" s="128" t="s">
        <v>2173</v>
      </c>
      <c r="D567" s="128" t="s">
        <v>1402</v>
      </c>
      <c r="E567" s="128" t="s">
        <v>2174</v>
      </c>
      <c r="F567" s="125">
        <v>7300</v>
      </c>
    </row>
    <row r="568" spans="1:6">
      <c r="C568" s="128" t="s">
        <v>2173</v>
      </c>
      <c r="D568" s="128" t="s">
        <v>1402</v>
      </c>
      <c r="E568" s="128" t="s">
        <v>1734</v>
      </c>
      <c r="F568" s="125">
        <v>80300</v>
      </c>
    </row>
    <row r="569" spans="1:6">
      <c r="C569" s="128" t="s">
        <v>2173</v>
      </c>
      <c r="D569" s="128" t="s">
        <v>1403</v>
      </c>
      <c r="E569" s="128" t="s">
        <v>1</v>
      </c>
      <c r="F569" s="125">
        <v>73000</v>
      </c>
    </row>
    <row r="570" spans="1:6">
      <c r="C570" s="128" t="s">
        <v>2173</v>
      </c>
      <c r="D570" s="128" t="s">
        <v>1403</v>
      </c>
      <c r="E570" s="128" t="s">
        <v>2174</v>
      </c>
      <c r="F570" s="125">
        <v>7300</v>
      </c>
    </row>
    <row r="571" spans="1:6">
      <c r="C571" s="128" t="s">
        <v>2173</v>
      </c>
      <c r="D571" s="128" t="s">
        <v>1403</v>
      </c>
      <c r="E571" s="128" t="s">
        <v>1734</v>
      </c>
      <c r="F571" s="125">
        <v>80300</v>
      </c>
    </row>
    <row r="572" spans="1:6">
      <c r="C572" s="128" t="s">
        <v>2173</v>
      </c>
      <c r="D572" s="128" t="s">
        <v>1404</v>
      </c>
      <c r="E572" s="128" t="s">
        <v>1</v>
      </c>
      <c r="F572" s="125">
        <v>73000</v>
      </c>
    </row>
    <row r="573" spans="1:6">
      <c r="C573" s="128" t="s">
        <v>2173</v>
      </c>
      <c r="D573" s="128" t="s">
        <v>1404</v>
      </c>
      <c r="E573" s="128" t="s">
        <v>2174</v>
      </c>
      <c r="F573" s="125">
        <v>7300</v>
      </c>
    </row>
    <row r="574" spans="1:6">
      <c r="C574" s="128" t="s">
        <v>2173</v>
      </c>
      <c r="D574" s="128" t="s">
        <v>1404</v>
      </c>
      <c r="E574" s="128" t="s">
        <v>1734</v>
      </c>
      <c r="F574" s="125">
        <v>80300</v>
      </c>
    </row>
    <row r="575" spans="1:6">
      <c r="C575" s="128" t="s">
        <v>2173</v>
      </c>
      <c r="D575" s="128" t="s">
        <v>1405</v>
      </c>
      <c r="E575" s="128" t="s">
        <v>1</v>
      </c>
      <c r="F575" s="125">
        <v>150000</v>
      </c>
    </row>
    <row r="576" spans="1:6">
      <c r="C576" s="128" t="s">
        <v>2173</v>
      </c>
      <c r="D576" s="128" t="s">
        <v>1405</v>
      </c>
      <c r="E576" s="128" t="s">
        <v>2174</v>
      </c>
      <c r="F576" s="125">
        <v>15000</v>
      </c>
    </row>
    <row r="577" spans="3:6">
      <c r="C577" s="128" t="s">
        <v>2173</v>
      </c>
      <c r="D577" s="128" t="s">
        <v>1405</v>
      </c>
      <c r="E577" s="128" t="s">
        <v>1734</v>
      </c>
      <c r="F577" s="125">
        <v>165000</v>
      </c>
    </row>
    <row r="578" spans="3:6">
      <c r="C578" s="128" t="s">
        <v>2173</v>
      </c>
      <c r="D578" s="128" t="s">
        <v>1406</v>
      </c>
      <c r="E578" s="128" t="s">
        <v>1</v>
      </c>
      <c r="F578" s="125">
        <v>114999.99999999999</v>
      </c>
    </row>
    <row r="579" spans="3:6">
      <c r="C579" s="128" t="s">
        <v>2173</v>
      </c>
      <c r="D579" s="128" t="s">
        <v>1406</v>
      </c>
      <c r="E579" s="128" t="s">
        <v>2174</v>
      </c>
      <c r="F579" s="125">
        <v>11500.000000000015</v>
      </c>
    </row>
    <row r="580" spans="3:6">
      <c r="C580" s="128" t="s">
        <v>2173</v>
      </c>
      <c r="D580" s="128" t="s">
        <v>1406</v>
      </c>
      <c r="E580" s="128" t="s">
        <v>1734</v>
      </c>
      <c r="F580" s="125">
        <v>126500</v>
      </c>
    </row>
    <row r="581" spans="3:6">
      <c r="C581" s="128" t="s">
        <v>2173</v>
      </c>
      <c r="D581" s="128" t="s">
        <v>1407</v>
      </c>
      <c r="E581" s="128" t="s">
        <v>1</v>
      </c>
      <c r="F581" s="125">
        <v>94999.999999999985</v>
      </c>
    </row>
    <row r="582" spans="3:6">
      <c r="C582" s="128" t="s">
        <v>2173</v>
      </c>
      <c r="D582" s="128" t="s">
        <v>1407</v>
      </c>
      <c r="E582" s="128" t="s">
        <v>2174</v>
      </c>
      <c r="F582" s="125">
        <v>9500</v>
      </c>
    </row>
    <row r="583" spans="3:6">
      <c r="C583" s="128" t="s">
        <v>2173</v>
      </c>
      <c r="D583" s="128" t="s">
        <v>1407</v>
      </c>
      <c r="E583" s="128" t="s">
        <v>1734</v>
      </c>
      <c r="F583" s="125">
        <v>104499.99999999999</v>
      </c>
    </row>
    <row r="584" spans="3:6">
      <c r="C584" s="128" t="s">
        <v>2173</v>
      </c>
      <c r="D584" s="128" t="s">
        <v>1408</v>
      </c>
      <c r="E584" s="128" t="s">
        <v>1</v>
      </c>
      <c r="F584" s="125">
        <v>99999.999999999985</v>
      </c>
    </row>
    <row r="585" spans="3:6">
      <c r="C585" s="128" t="s">
        <v>2173</v>
      </c>
      <c r="D585" s="128" t="s">
        <v>1408</v>
      </c>
      <c r="E585" s="128" t="s">
        <v>2174</v>
      </c>
      <c r="F585" s="125">
        <v>10000.000000000015</v>
      </c>
    </row>
    <row r="586" spans="3:6">
      <c r="C586" s="128" t="s">
        <v>2173</v>
      </c>
      <c r="D586" s="128" t="s">
        <v>1408</v>
      </c>
      <c r="E586" s="128" t="s">
        <v>1734</v>
      </c>
      <c r="F586" s="125">
        <v>110000</v>
      </c>
    </row>
    <row r="587" spans="3:6">
      <c r="C587" s="128" t="s">
        <v>2173</v>
      </c>
      <c r="D587" s="128" t="s">
        <v>1409</v>
      </c>
      <c r="E587" s="128" t="s">
        <v>1</v>
      </c>
      <c r="F587" s="125">
        <v>160000</v>
      </c>
    </row>
    <row r="588" spans="3:6">
      <c r="C588" s="128" t="s">
        <v>2173</v>
      </c>
      <c r="D588" s="128" t="s">
        <v>1409</v>
      </c>
      <c r="E588" s="128" t="s">
        <v>2174</v>
      </c>
      <c r="F588" s="125">
        <v>16000</v>
      </c>
    </row>
    <row r="589" spans="3:6">
      <c r="C589" s="128" t="s">
        <v>2173</v>
      </c>
      <c r="D589" s="128" t="s">
        <v>1409</v>
      </c>
      <c r="E589" s="128" t="s">
        <v>1734</v>
      </c>
      <c r="F589" s="125">
        <v>176000</v>
      </c>
    </row>
    <row r="590" spans="3:6">
      <c r="C590" s="128" t="s">
        <v>2173</v>
      </c>
      <c r="D590" s="128" t="s">
        <v>1410</v>
      </c>
      <c r="E590" s="128" t="s">
        <v>1</v>
      </c>
      <c r="F590" s="125">
        <v>177000</v>
      </c>
    </row>
    <row r="591" spans="3:6">
      <c r="C591" s="128" t="s">
        <v>2173</v>
      </c>
      <c r="D591" s="128" t="s">
        <v>1410</v>
      </c>
      <c r="E591" s="128" t="s">
        <v>2174</v>
      </c>
      <c r="F591" s="125">
        <v>17700.000000000029</v>
      </c>
    </row>
    <row r="592" spans="3:6">
      <c r="C592" s="128" t="s">
        <v>2173</v>
      </c>
      <c r="D592" s="128" t="s">
        <v>1410</v>
      </c>
      <c r="E592" s="128" t="s">
        <v>1734</v>
      </c>
      <c r="F592" s="125">
        <v>194700.00000000003</v>
      </c>
    </row>
    <row r="593" spans="3:6">
      <c r="C593" s="128" t="s">
        <v>2173</v>
      </c>
      <c r="D593" s="128" t="s">
        <v>1411</v>
      </c>
      <c r="E593" s="128" t="s">
        <v>1</v>
      </c>
      <c r="F593" s="125">
        <v>145000</v>
      </c>
    </row>
    <row r="594" spans="3:6">
      <c r="C594" s="128" t="s">
        <v>2173</v>
      </c>
      <c r="D594" s="128" t="s">
        <v>1411</v>
      </c>
      <c r="E594" s="128" t="s">
        <v>2174</v>
      </c>
      <c r="F594" s="125">
        <v>14500</v>
      </c>
    </row>
    <row r="595" spans="3:6">
      <c r="C595" s="128" t="s">
        <v>2173</v>
      </c>
      <c r="D595" s="128" t="s">
        <v>1411</v>
      </c>
      <c r="E595" s="128" t="s">
        <v>1734</v>
      </c>
      <c r="F595" s="125">
        <v>159500</v>
      </c>
    </row>
    <row r="596" spans="3:6">
      <c r="C596" s="128" t="s">
        <v>2173</v>
      </c>
      <c r="D596" s="128" t="s">
        <v>1412</v>
      </c>
      <c r="E596" s="128" t="s">
        <v>1</v>
      </c>
      <c r="F596" s="125">
        <v>177000</v>
      </c>
    </row>
    <row r="597" spans="3:6">
      <c r="C597" s="128" t="s">
        <v>2173</v>
      </c>
      <c r="D597" s="128" t="s">
        <v>1412</v>
      </c>
      <c r="E597" s="128" t="s">
        <v>2174</v>
      </c>
      <c r="F597" s="125">
        <v>17700.000000000029</v>
      </c>
    </row>
    <row r="598" spans="3:6">
      <c r="C598" s="128" t="s">
        <v>2173</v>
      </c>
      <c r="D598" s="128" t="s">
        <v>1412</v>
      </c>
      <c r="E598" s="128" t="s">
        <v>1734</v>
      </c>
      <c r="F598" s="125">
        <v>194700.00000000003</v>
      </c>
    </row>
    <row r="599" spans="3:6">
      <c r="C599" s="128" t="s">
        <v>2173</v>
      </c>
      <c r="D599" s="128" t="s">
        <v>1413</v>
      </c>
      <c r="E599" s="128" t="s">
        <v>1</v>
      </c>
      <c r="F599" s="125">
        <v>170000</v>
      </c>
    </row>
    <row r="600" spans="3:6">
      <c r="C600" s="128" t="s">
        <v>2173</v>
      </c>
      <c r="D600" s="128" t="s">
        <v>1413</v>
      </c>
      <c r="E600" s="128" t="s">
        <v>2174</v>
      </c>
      <c r="F600" s="125">
        <v>17000.000000000029</v>
      </c>
    </row>
    <row r="601" spans="3:6">
      <c r="C601" s="128" t="s">
        <v>2173</v>
      </c>
      <c r="D601" s="128" t="s">
        <v>1413</v>
      </c>
      <c r="E601" s="128" t="s">
        <v>1734</v>
      </c>
      <c r="F601" s="125">
        <v>187000.00000000003</v>
      </c>
    </row>
    <row r="602" spans="3:6">
      <c r="C602" s="128" t="s">
        <v>2173</v>
      </c>
      <c r="D602" s="128" t="s">
        <v>1414</v>
      </c>
      <c r="E602" s="128" t="s">
        <v>1</v>
      </c>
      <c r="F602" s="125">
        <v>177000</v>
      </c>
    </row>
    <row r="603" spans="3:6">
      <c r="C603" s="128" t="s">
        <v>2173</v>
      </c>
      <c r="D603" s="128" t="s">
        <v>1414</v>
      </c>
      <c r="E603" s="128" t="s">
        <v>2174</v>
      </c>
      <c r="F603" s="125">
        <v>17700.000000000029</v>
      </c>
    </row>
    <row r="604" spans="3:6">
      <c r="C604" s="128" t="s">
        <v>2173</v>
      </c>
      <c r="D604" s="128" t="s">
        <v>1414</v>
      </c>
      <c r="E604" s="128" t="s">
        <v>1734</v>
      </c>
      <c r="F604" s="125">
        <v>194700.00000000003</v>
      </c>
    </row>
    <row r="605" spans="3:6">
      <c r="C605" s="128" t="s">
        <v>2173</v>
      </c>
      <c r="D605" s="128" t="s">
        <v>2175</v>
      </c>
      <c r="E605" s="128" t="s">
        <v>1</v>
      </c>
      <c r="F605" s="125">
        <v>155000</v>
      </c>
    </row>
    <row r="606" spans="3:6">
      <c r="C606" s="128" t="s">
        <v>2173</v>
      </c>
      <c r="D606" s="128" t="s">
        <v>2175</v>
      </c>
      <c r="E606" s="128" t="s">
        <v>2174</v>
      </c>
      <c r="F606" s="125">
        <v>15500</v>
      </c>
    </row>
    <row r="607" spans="3:6">
      <c r="C607" s="128" t="s">
        <v>2173</v>
      </c>
      <c r="D607" s="128" t="s">
        <v>2175</v>
      </c>
      <c r="E607" s="128" t="s">
        <v>1734</v>
      </c>
      <c r="F607" s="125">
        <v>170500</v>
      </c>
    </row>
    <row r="608" spans="3:6">
      <c r="C608" s="128" t="s">
        <v>2173</v>
      </c>
      <c r="D608" s="128" t="s">
        <v>1415</v>
      </c>
      <c r="E608" s="128" t="s">
        <v>1</v>
      </c>
      <c r="F608" s="125">
        <v>177000</v>
      </c>
    </row>
    <row r="609" spans="3:6">
      <c r="C609" s="128" t="s">
        <v>2173</v>
      </c>
      <c r="D609" s="128" t="s">
        <v>1415</v>
      </c>
      <c r="E609" s="128" t="s">
        <v>2174</v>
      </c>
      <c r="F609" s="125">
        <v>17700.000000000029</v>
      </c>
    </row>
    <row r="610" spans="3:6">
      <c r="C610" s="128" t="s">
        <v>2173</v>
      </c>
      <c r="D610" s="128" t="s">
        <v>1415</v>
      </c>
      <c r="E610" s="128" t="s">
        <v>1734</v>
      </c>
      <c r="F610" s="125">
        <v>194700.00000000003</v>
      </c>
    </row>
    <row r="611" spans="3:6">
      <c r="C611" s="128" t="s">
        <v>2173</v>
      </c>
      <c r="D611" s="128" t="s">
        <v>3384</v>
      </c>
      <c r="E611" s="128" t="s">
        <v>1</v>
      </c>
      <c r="F611" s="125">
        <v>390000</v>
      </c>
    </row>
    <row r="612" spans="3:6">
      <c r="C612" s="128" t="s">
        <v>2173</v>
      </c>
      <c r="D612" s="128" t="s">
        <v>3384</v>
      </c>
      <c r="E612" s="128" t="s">
        <v>2174</v>
      </c>
      <c r="F612" s="125">
        <v>39000</v>
      </c>
    </row>
    <row r="613" spans="3:6">
      <c r="C613" s="128" t="s">
        <v>2173</v>
      </c>
      <c r="D613" s="128" t="s">
        <v>3384</v>
      </c>
      <c r="E613" s="128" t="s">
        <v>1734</v>
      </c>
      <c r="F613" s="125">
        <v>429000</v>
      </c>
    </row>
    <row r="614" spans="3:6">
      <c r="C614" s="128" t="s">
        <v>2173</v>
      </c>
      <c r="D614" s="128" t="s">
        <v>3444</v>
      </c>
      <c r="E614" s="128" t="s">
        <v>1</v>
      </c>
      <c r="F614" s="701">
        <v>100000</v>
      </c>
    </row>
    <row r="615" spans="3:6">
      <c r="C615" s="128" t="s">
        <v>2173</v>
      </c>
      <c r="D615" s="128" t="s">
        <v>3444</v>
      </c>
      <c r="E615" s="128" t="s">
        <v>2174</v>
      </c>
      <c r="F615" s="701">
        <v>10000</v>
      </c>
    </row>
    <row r="616" spans="3:6">
      <c r="C616" s="128" t="s">
        <v>2173</v>
      </c>
      <c r="D616" s="128" t="s">
        <v>3444</v>
      </c>
      <c r="E616" s="128" t="s">
        <v>1734</v>
      </c>
      <c r="F616" s="701">
        <v>110000</v>
      </c>
    </row>
    <row r="617" spans="3:6">
      <c r="C617" s="128" t="s">
        <v>2173</v>
      </c>
      <c r="D617" s="128" t="s">
        <v>2175</v>
      </c>
      <c r="E617" s="128" t="s">
        <v>1</v>
      </c>
      <c r="F617" s="701">
        <v>155000</v>
      </c>
    </row>
    <row r="618" spans="3:6">
      <c r="C618" s="128" t="s">
        <v>2173</v>
      </c>
      <c r="D618" s="128" t="s">
        <v>2175</v>
      </c>
      <c r="E618" s="128" t="s">
        <v>2174</v>
      </c>
      <c r="F618" s="701">
        <v>15500</v>
      </c>
    </row>
    <row r="619" spans="3:6">
      <c r="C619" s="128" t="s">
        <v>2173</v>
      </c>
      <c r="D619" s="128" t="s">
        <v>2175</v>
      </c>
      <c r="E619" s="128" t="s">
        <v>1734</v>
      </c>
      <c r="F619" s="701">
        <v>170500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verticalDpi="0" r:id="rId1"/>
  <rowBreaks count="4" manualBreakCount="4">
    <brk id="196" max="12" man="1"/>
    <brk id="283" max="12" man="1"/>
    <brk id="394" max="12" man="1"/>
    <brk id="461" max="12" man="1"/>
  </rowBreaks>
  <colBreaks count="1" manualBreakCount="1">
    <brk id="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1"/>
  <dimension ref="A1:AF405"/>
  <sheetViews>
    <sheetView topLeftCell="C1" workbookViewId="0">
      <selection activeCell="AF8" sqref="AF8"/>
    </sheetView>
  </sheetViews>
  <sheetFormatPr defaultColWidth="8.625" defaultRowHeight="16.5"/>
  <cols>
    <col min="1" max="13" width="8.625" style="34"/>
    <col min="14" max="14" width="10.125" style="34" bestFit="1" customWidth="1"/>
    <col min="15" max="15" width="24.5" style="34" customWidth="1"/>
    <col min="16" max="16" width="34.375" style="34" bestFit="1" customWidth="1"/>
    <col min="17" max="17" width="23.125" style="34" bestFit="1" customWidth="1"/>
    <col min="18" max="18" width="10.25" style="34" bestFit="1" customWidth="1"/>
    <col min="19" max="22" width="8.625" style="34"/>
    <col min="23" max="23" width="9" style="34" bestFit="1" customWidth="1"/>
    <col min="24" max="27" width="8.625" style="34"/>
    <col min="28" max="28" width="11.25" style="34" bestFit="1" customWidth="1"/>
    <col min="29" max="29" width="20.375" style="182" bestFit="1" customWidth="1"/>
    <col min="30" max="16384" width="8.625" style="34"/>
  </cols>
  <sheetData>
    <row r="1" spans="1:32" s="33" customFormat="1" ht="13.5">
      <c r="A1" s="33" t="s">
        <v>1361</v>
      </c>
      <c r="AC1" s="182"/>
    </row>
    <row r="2" spans="1:32" s="33" customFormat="1" ht="13.5">
      <c r="A2" s="277" t="s">
        <v>63</v>
      </c>
      <c r="B2" s="277" t="s">
        <v>72</v>
      </c>
      <c r="C2" s="277" t="s">
        <v>87</v>
      </c>
      <c r="D2" s="277" t="s">
        <v>88</v>
      </c>
      <c r="E2" s="277" t="s">
        <v>1654</v>
      </c>
      <c r="F2" s="277" t="s">
        <v>95</v>
      </c>
      <c r="G2" s="277" t="s">
        <v>99</v>
      </c>
      <c r="H2" s="277" t="s">
        <v>103</v>
      </c>
      <c r="I2" s="277" t="s">
        <v>104</v>
      </c>
      <c r="J2" s="277" t="s">
        <v>97</v>
      </c>
      <c r="K2" s="277" t="s">
        <v>92</v>
      </c>
      <c r="L2" s="277" t="s">
        <v>3286</v>
      </c>
      <c r="M2" s="277" t="s">
        <v>1416</v>
      </c>
      <c r="N2" s="277" t="s">
        <v>1551</v>
      </c>
      <c r="O2" s="277" t="s">
        <v>23</v>
      </c>
      <c r="P2" s="277" t="s">
        <v>1552</v>
      </c>
      <c r="Q2" s="277" t="s">
        <v>1556</v>
      </c>
      <c r="R2" s="278" t="s">
        <v>2127</v>
      </c>
      <c r="S2" s="278" t="s">
        <v>2131</v>
      </c>
      <c r="T2" s="278" t="s">
        <v>2134</v>
      </c>
      <c r="U2" s="278" t="s">
        <v>2166</v>
      </c>
      <c r="V2" s="278" t="s">
        <v>73</v>
      </c>
      <c r="W2" s="278" t="s">
        <v>74</v>
      </c>
      <c r="X2" s="278" t="s">
        <v>2258</v>
      </c>
      <c r="Y2" s="278" t="s">
        <v>2727</v>
      </c>
      <c r="Z2" s="278" t="s">
        <v>2725</v>
      </c>
      <c r="AA2" s="278" t="s">
        <v>2726</v>
      </c>
      <c r="AB2" s="278" t="s">
        <v>2271</v>
      </c>
      <c r="AC2" s="607" t="s">
        <v>2308</v>
      </c>
      <c r="AD2" s="278" t="s">
        <v>3135</v>
      </c>
      <c r="AE2" s="278" t="s">
        <v>3469</v>
      </c>
      <c r="AF2" s="278" t="s">
        <v>3548</v>
      </c>
    </row>
    <row r="3" spans="1:32" s="33" customFormat="1">
      <c r="A3" s="33" t="s">
        <v>64</v>
      </c>
      <c r="B3" s="33" t="s">
        <v>73</v>
      </c>
      <c r="C3" s="279">
        <v>12</v>
      </c>
      <c r="D3" s="33" t="s">
        <v>1658</v>
      </c>
      <c r="E3" s="33" t="s">
        <v>1655</v>
      </c>
      <c r="F3" s="33" t="s">
        <v>1355</v>
      </c>
      <c r="G3" s="33" t="s">
        <v>101</v>
      </c>
      <c r="H3" s="33" t="s">
        <v>1390</v>
      </c>
      <c r="I3" s="33" t="s">
        <v>106</v>
      </c>
      <c r="J3" s="33" t="s">
        <v>108</v>
      </c>
      <c r="K3" s="33" t="s">
        <v>114</v>
      </c>
      <c r="L3" s="33" t="s">
        <v>1375</v>
      </c>
      <c r="M3" s="33" t="s">
        <v>1417</v>
      </c>
      <c r="N3" s="33" t="s">
        <v>1553</v>
      </c>
      <c r="O3" s="33" t="s">
        <v>1553</v>
      </c>
      <c r="P3" s="33" t="s">
        <v>1553</v>
      </c>
      <c r="Q3" s="214">
        <v>0.15</v>
      </c>
      <c r="R3" s="33" t="s">
        <v>1445</v>
      </c>
      <c r="S3" s="33" t="s">
        <v>2130</v>
      </c>
      <c r="T3" s="33">
        <v>1</v>
      </c>
      <c r="U3" s="33" t="s">
        <v>2165</v>
      </c>
      <c r="V3" s="36" t="s">
        <v>3542</v>
      </c>
      <c r="W3" s="36" t="s">
        <v>148</v>
      </c>
      <c r="X3" s="34" t="s">
        <v>2262</v>
      </c>
      <c r="Y3" s="181" t="s">
        <v>2640</v>
      </c>
      <c r="Z3" s="33" t="s">
        <v>2947</v>
      </c>
      <c r="AA3" s="33" t="s">
        <v>805</v>
      </c>
      <c r="AC3" s="182" t="s">
        <v>3279</v>
      </c>
      <c r="AD3" s="33" t="s">
        <v>3136</v>
      </c>
      <c r="AE3" s="33" t="s">
        <v>3470</v>
      </c>
      <c r="AF3" s="33">
        <v>2024</v>
      </c>
    </row>
    <row r="4" spans="1:32" s="33" customFormat="1">
      <c r="A4" s="33" t="s">
        <v>65</v>
      </c>
      <c r="B4" s="33" t="s">
        <v>74</v>
      </c>
      <c r="C4" s="279">
        <v>24</v>
      </c>
      <c r="D4" s="33" t="s">
        <v>1659</v>
      </c>
      <c r="E4" s="33" t="s">
        <v>1656</v>
      </c>
      <c r="F4" s="33" t="s">
        <v>1356</v>
      </c>
      <c r="G4" s="33" t="s">
        <v>102</v>
      </c>
      <c r="H4" s="33" t="s">
        <v>1391</v>
      </c>
      <c r="I4" s="33" t="s">
        <v>107</v>
      </c>
      <c r="J4" s="33" t="s">
        <v>109</v>
      </c>
      <c r="K4" s="33" t="s">
        <v>115</v>
      </c>
      <c r="L4" s="33" t="s">
        <v>3289</v>
      </c>
      <c r="M4" s="33" t="s">
        <v>1418</v>
      </c>
      <c r="N4" s="33" t="s">
        <v>1554</v>
      </c>
      <c r="O4" s="33" t="s">
        <v>2141</v>
      </c>
      <c r="P4" s="33" t="s">
        <v>1555</v>
      </c>
      <c r="Q4" s="214">
        <v>0.35</v>
      </c>
      <c r="R4" s="33" t="s">
        <v>2133</v>
      </c>
      <c r="T4" s="33">
        <v>2</v>
      </c>
      <c r="U4" s="33" t="s">
        <v>2165</v>
      </c>
      <c r="V4" s="36" t="s">
        <v>224</v>
      </c>
      <c r="W4" s="36" t="s">
        <v>168</v>
      </c>
      <c r="X4" s="34" t="s">
        <v>2263</v>
      </c>
      <c r="Y4" s="33" t="s">
        <v>770</v>
      </c>
      <c r="Z4" s="33" t="s">
        <v>2948</v>
      </c>
      <c r="AA4" s="33" t="s">
        <v>843</v>
      </c>
      <c r="AB4" s="317">
        <v>-5</v>
      </c>
      <c r="AC4" s="182" t="s">
        <v>2316</v>
      </c>
      <c r="AD4" s="33" t="s">
        <v>3137</v>
      </c>
      <c r="AE4" s="33" t="s">
        <v>3471</v>
      </c>
      <c r="AF4" s="33">
        <v>2025</v>
      </c>
    </row>
    <row r="5" spans="1:32" s="33" customFormat="1">
      <c r="A5" s="33" t="s">
        <v>66</v>
      </c>
      <c r="B5" s="33" t="s">
        <v>2258</v>
      </c>
      <c r="C5" s="279">
        <v>36</v>
      </c>
      <c r="D5" s="33" t="s">
        <v>89</v>
      </c>
      <c r="F5" s="33" t="s">
        <v>1357</v>
      </c>
      <c r="M5" s="33" t="s">
        <v>1404</v>
      </c>
      <c r="N5" s="33" t="s">
        <v>1443</v>
      </c>
      <c r="O5" s="33" t="s">
        <v>2142</v>
      </c>
      <c r="P5" s="33" t="s">
        <v>1549</v>
      </c>
      <c r="Q5" s="214">
        <v>0.5</v>
      </c>
      <c r="R5" s="33" t="s">
        <v>2956</v>
      </c>
      <c r="T5" s="33">
        <v>3</v>
      </c>
      <c r="V5" s="36" t="s">
        <v>211</v>
      </c>
      <c r="W5" s="36" t="s">
        <v>2259</v>
      </c>
      <c r="X5" s="33" t="s">
        <v>2264</v>
      </c>
      <c r="Y5" s="33" t="s">
        <v>1193</v>
      </c>
      <c r="Z5" s="33" t="s">
        <v>3262</v>
      </c>
      <c r="AB5" s="317">
        <v>-6</v>
      </c>
      <c r="AC5" s="182" t="s">
        <v>2317</v>
      </c>
    </row>
    <row r="6" spans="1:32" s="33" customFormat="1">
      <c r="B6" s="33" t="s">
        <v>2727</v>
      </c>
      <c r="C6" s="279">
        <v>48</v>
      </c>
      <c r="D6" s="33" t="s">
        <v>1660</v>
      </c>
      <c r="M6" s="33" t="s">
        <v>1405</v>
      </c>
      <c r="N6" s="33" t="s">
        <v>2129</v>
      </c>
      <c r="O6" s="33" t="s">
        <v>2143</v>
      </c>
      <c r="V6" s="36" t="s">
        <v>1941</v>
      </c>
      <c r="W6" s="36" t="s">
        <v>2260</v>
      </c>
      <c r="X6" s="33" t="s">
        <v>2265</v>
      </c>
      <c r="Y6" s="33" t="s">
        <v>798</v>
      </c>
      <c r="Z6" s="33" t="s">
        <v>3373</v>
      </c>
      <c r="AB6" s="317">
        <v>-7</v>
      </c>
      <c r="AC6" s="182" t="s">
        <v>2318</v>
      </c>
    </row>
    <row r="7" spans="1:32" s="33" customFormat="1">
      <c r="B7" s="33" t="s">
        <v>2725</v>
      </c>
      <c r="C7" s="33">
        <v>60</v>
      </c>
      <c r="D7" s="33" t="s">
        <v>90</v>
      </c>
      <c r="M7" s="33" t="s">
        <v>1406</v>
      </c>
      <c r="N7" s="33" t="s">
        <v>2128</v>
      </c>
      <c r="O7" s="33" t="s">
        <v>1541</v>
      </c>
      <c r="V7" s="36" t="s">
        <v>943</v>
      </c>
      <c r="W7" s="36" t="s">
        <v>2261</v>
      </c>
      <c r="X7" s="33" t="s">
        <v>2266</v>
      </c>
      <c r="Y7" s="33" t="s">
        <v>3418</v>
      </c>
      <c r="AB7" s="317">
        <v>-8</v>
      </c>
      <c r="AC7" s="182" t="s">
        <v>2315</v>
      </c>
    </row>
    <row r="8" spans="1:32" s="33" customFormat="1">
      <c r="B8" s="33" t="s">
        <v>2726</v>
      </c>
      <c r="D8" s="33" t="s">
        <v>2955</v>
      </c>
      <c r="M8" s="33" t="s">
        <v>1407</v>
      </c>
      <c r="N8" s="33" t="s">
        <v>1446</v>
      </c>
      <c r="O8" s="33" t="s">
        <v>1542</v>
      </c>
      <c r="V8" s="36" t="s">
        <v>997</v>
      </c>
      <c r="W8" s="36" t="s">
        <v>1106</v>
      </c>
      <c r="AB8" s="317">
        <v>-9</v>
      </c>
      <c r="AC8" s="182" t="s">
        <v>2337</v>
      </c>
    </row>
    <row r="9" spans="1:32" s="33" customFormat="1">
      <c r="M9" s="33" t="s">
        <v>1408</v>
      </c>
      <c r="O9" s="33" t="s">
        <v>1543</v>
      </c>
      <c r="V9" s="36" t="s">
        <v>896</v>
      </c>
      <c r="W9" s="36" t="s">
        <v>1122</v>
      </c>
      <c r="AC9" s="182" t="s">
        <v>2309</v>
      </c>
    </row>
    <row r="10" spans="1:32" s="33" customFormat="1">
      <c r="M10" s="33" t="s">
        <v>1409</v>
      </c>
      <c r="O10" s="33" t="s">
        <v>1544</v>
      </c>
      <c r="V10" s="36" t="s">
        <v>574</v>
      </c>
      <c r="W10" s="36" t="s">
        <v>1060</v>
      </c>
      <c r="AC10" s="182" t="s">
        <v>2310</v>
      </c>
    </row>
    <row r="11" spans="1:32" s="33" customFormat="1">
      <c r="M11" s="33" t="s">
        <v>1410</v>
      </c>
      <c r="O11" s="33" t="s">
        <v>1545</v>
      </c>
      <c r="V11" s="36" t="s">
        <v>623</v>
      </c>
      <c r="W11" s="36" t="s">
        <v>665</v>
      </c>
      <c r="AC11" s="182" t="s">
        <v>2311</v>
      </c>
    </row>
    <row r="12" spans="1:32" s="33" customFormat="1">
      <c r="M12" s="33" t="s">
        <v>1411</v>
      </c>
      <c r="V12" s="36" t="s">
        <v>1634</v>
      </c>
      <c r="W12" s="36" t="s">
        <v>60</v>
      </c>
      <c r="AC12" s="182" t="s">
        <v>2312</v>
      </c>
    </row>
    <row r="13" spans="1:32" s="33" customFormat="1">
      <c r="M13" s="33" t="s">
        <v>1412</v>
      </c>
      <c r="V13" s="36" t="s">
        <v>2627</v>
      </c>
      <c r="AC13" s="182" t="s">
        <v>2313</v>
      </c>
    </row>
    <row r="14" spans="1:32" s="33" customFormat="1" ht="13.5">
      <c r="M14" s="33" t="s">
        <v>1413</v>
      </c>
      <c r="AC14" s="182" t="s">
        <v>2334</v>
      </c>
    </row>
    <row r="15" spans="1:32" s="33" customFormat="1" ht="13.5">
      <c r="M15" s="33" t="s">
        <v>1414</v>
      </c>
      <c r="AC15" s="182" t="s">
        <v>2333</v>
      </c>
    </row>
    <row r="16" spans="1:32" s="33" customFormat="1" ht="13.5">
      <c r="M16" s="33" t="s">
        <v>1415</v>
      </c>
      <c r="AC16" s="182" t="s">
        <v>2335</v>
      </c>
    </row>
    <row r="17" spans="10:32" s="33" customFormat="1">
      <c r="M17" s="33" t="s">
        <v>3440</v>
      </c>
      <c r="W17" s="34"/>
      <c r="AC17" s="182" t="s">
        <v>2323</v>
      </c>
    </row>
    <row r="18" spans="10:32" s="33" customFormat="1">
      <c r="J18" s="34"/>
      <c r="M18" s="33" t="s">
        <v>3441</v>
      </c>
      <c r="W18" s="34"/>
      <c r="Z18" s="34"/>
      <c r="AC18" s="182" t="s">
        <v>2324</v>
      </c>
    </row>
    <row r="19" spans="10:32">
      <c r="M19" s="33" t="s">
        <v>3442</v>
      </c>
      <c r="Q19" s="302" t="s">
        <v>2187</v>
      </c>
      <c r="V19" s="33"/>
      <c r="AC19" s="182" t="s">
        <v>2325</v>
      </c>
      <c r="AF19" s="33"/>
    </row>
    <row r="20" spans="10:32">
      <c r="N20" s="301"/>
      <c r="O20" s="301"/>
      <c r="P20" s="33" t="s">
        <v>2141</v>
      </c>
      <c r="Q20" s="301" t="s">
        <v>2189</v>
      </c>
      <c r="AC20" s="182" t="s">
        <v>2326</v>
      </c>
    </row>
    <row r="21" spans="10:32">
      <c r="N21" s="301"/>
      <c r="O21" s="301"/>
      <c r="P21" s="301" t="s">
        <v>2176</v>
      </c>
      <c r="Q21" s="301" t="s">
        <v>2180</v>
      </c>
      <c r="AC21" s="182" t="s">
        <v>2327</v>
      </c>
    </row>
    <row r="22" spans="10:32">
      <c r="N22" s="301"/>
      <c r="O22" s="301"/>
      <c r="P22" s="301" t="s">
        <v>2182</v>
      </c>
      <c r="Q22" s="301" t="s">
        <v>2181</v>
      </c>
      <c r="AC22" s="182" t="s">
        <v>2328</v>
      </c>
    </row>
    <row r="23" spans="10:32">
      <c r="N23" s="301"/>
      <c r="O23" s="301"/>
      <c r="P23" s="301" t="s">
        <v>1541</v>
      </c>
      <c r="Q23" s="301" t="s">
        <v>2188</v>
      </c>
      <c r="AC23" s="182" t="s">
        <v>2329</v>
      </c>
    </row>
    <row r="24" spans="10:32">
      <c r="N24" s="301"/>
      <c r="O24" s="301"/>
      <c r="P24" s="301" t="s">
        <v>1542</v>
      </c>
      <c r="Q24" s="301" t="s">
        <v>1542</v>
      </c>
      <c r="AC24" s="182" t="s">
        <v>2330</v>
      </c>
    </row>
    <row r="25" spans="10:32">
      <c r="N25" s="301"/>
      <c r="O25" s="301"/>
      <c r="P25" s="301" t="s">
        <v>1543</v>
      </c>
      <c r="Q25" s="301" t="s">
        <v>2190</v>
      </c>
      <c r="AC25" s="182" t="s">
        <v>2331</v>
      </c>
    </row>
    <row r="26" spans="10:32">
      <c r="P26" s="301" t="s">
        <v>1544</v>
      </c>
      <c r="Q26" s="301" t="s">
        <v>2191</v>
      </c>
      <c r="AC26" s="182" t="s">
        <v>2319</v>
      </c>
    </row>
    <row r="27" spans="10:32">
      <c r="P27" s="301" t="s">
        <v>1545</v>
      </c>
      <c r="Q27" s="301" t="s">
        <v>1545</v>
      </c>
      <c r="AC27" s="182" t="s">
        <v>2332</v>
      </c>
    </row>
    <row r="28" spans="10:32">
      <c r="P28" s="301" t="s">
        <v>2338</v>
      </c>
      <c r="Q28" s="301" t="s">
        <v>2340</v>
      </c>
      <c r="AC28" s="182" t="s">
        <v>2322</v>
      </c>
    </row>
    <row r="29" spans="10:32">
      <c r="P29" s="301" t="s">
        <v>2179</v>
      </c>
      <c r="Q29" s="301" t="s">
        <v>2339</v>
      </c>
      <c r="V29"/>
      <c r="AC29" s="182" t="s">
        <v>2320</v>
      </c>
    </row>
    <row r="30" spans="10:32">
      <c r="P30" s="301" t="s">
        <v>2172</v>
      </c>
      <c r="Q30" s="301" t="s">
        <v>1542</v>
      </c>
      <c r="V30"/>
      <c r="AC30" s="182" t="s">
        <v>2321</v>
      </c>
    </row>
    <row r="31" spans="10:32">
      <c r="P31" s="301" t="s">
        <v>2183</v>
      </c>
      <c r="Q31" s="301" t="s">
        <v>2192</v>
      </c>
      <c r="V31"/>
      <c r="AC31" s="182" t="s">
        <v>2336</v>
      </c>
    </row>
    <row r="32" spans="10:32">
      <c r="P32" s="301" t="s">
        <v>2184</v>
      </c>
      <c r="Q32" s="301" t="s">
        <v>2193</v>
      </c>
      <c r="V32"/>
      <c r="AC32" s="182" t="s">
        <v>2341</v>
      </c>
    </row>
    <row r="33" spans="16:29">
      <c r="P33" s="301" t="s">
        <v>2185</v>
      </c>
      <c r="Q33" s="301" t="s">
        <v>1545</v>
      </c>
      <c r="V33"/>
      <c r="AC33" s="182" t="s">
        <v>3463</v>
      </c>
    </row>
    <row r="34" spans="16:29">
      <c r="V34"/>
      <c r="AC34" s="608" t="s">
        <v>3059</v>
      </c>
    </row>
    <row r="35" spans="16:29">
      <c r="V35"/>
      <c r="AC35" s="608" t="s">
        <v>3060</v>
      </c>
    </row>
    <row r="36" spans="16:29">
      <c r="V36"/>
      <c r="AC36" s="182" t="s">
        <v>3151</v>
      </c>
    </row>
    <row r="37" spans="16:29">
      <c r="V37"/>
      <c r="AC37" s="182" t="s">
        <v>3152</v>
      </c>
    </row>
    <row r="38" spans="16:29">
      <c r="V38"/>
      <c r="AC38" s="182" t="s">
        <v>3235</v>
      </c>
    </row>
    <row r="39" spans="16:29">
      <c r="V39"/>
      <c r="AC39" s="182" t="s">
        <v>3237</v>
      </c>
    </row>
    <row r="40" spans="16:29">
      <c r="V40"/>
      <c r="AC40" s="182" t="s">
        <v>3238</v>
      </c>
    </row>
    <row r="41" spans="16:29">
      <c r="V41"/>
      <c r="AC41" s="182" t="s">
        <v>3239</v>
      </c>
    </row>
    <row r="42" spans="16:29">
      <c r="V42"/>
      <c r="AC42" s="182" t="s">
        <v>3240</v>
      </c>
    </row>
    <row r="43" spans="16:29">
      <c r="V43"/>
      <c r="AC43" s="182" t="s">
        <v>3251</v>
      </c>
    </row>
    <row r="44" spans="16:29">
      <c r="V44"/>
      <c r="AC44" s="182" t="s">
        <v>3249</v>
      </c>
    </row>
    <row r="45" spans="16:29">
      <c r="V45"/>
      <c r="AC45" s="182" t="s">
        <v>3250</v>
      </c>
    </row>
    <row r="46" spans="16:29">
      <c r="V46"/>
      <c r="AC46" s="182" t="s">
        <v>3269</v>
      </c>
    </row>
    <row r="47" spans="16:29">
      <c r="V47"/>
      <c r="AC47" s="182" t="s">
        <v>3271</v>
      </c>
    </row>
    <row r="48" spans="16:29">
      <c r="V48"/>
      <c r="AC48" s="182" t="s">
        <v>3278</v>
      </c>
    </row>
    <row r="49" spans="22:29">
      <c r="V49"/>
      <c r="AC49" s="182" t="s">
        <v>3355</v>
      </c>
    </row>
    <row r="50" spans="22:29">
      <c r="V50"/>
      <c r="AC50" s="182" t="s">
        <v>3356</v>
      </c>
    </row>
    <row r="51" spans="22:29">
      <c r="V51"/>
    </row>
    <row r="52" spans="22:29">
      <c r="V52"/>
    </row>
    <row r="53" spans="22:29">
      <c r="V53"/>
    </row>
    <row r="54" spans="22:29">
      <c r="V54"/>
    </row>
    <row r="55" spans="22:29">
      <c r="V55"/>
    </row>
    <row r="56" spans="22:29">
      <c r="V56"/>
    </row>
    <row r="57" spans="22:29">
      <c r="V57"/>
    </row>
    <row r="58" spans="22:29">
      <c r="V58"/>
    </row>
    <row r="59" spans="22:29">
      <c r="V59"/>
    </row>
    <row r="60" spans="22:29">
      <c r="V60"/>
    </row>
    <row r="61" spans="22:29">
      <c r="V61"/>
    </row>
    <row r="62" spans="22:29">
      <c r="V62"/>
    </row>
    <row r="63" spans="22:29">
      <c r="V63"/>
    </row>
    <row r="64" spans="22:29">
      <c r="V64"/>
    </row>
    <row r="65" spans="22:22">
      <c r="V65"/>
    </row>
    <row r="66" spans="22:22">
      <c r="V66"/>
    </row>
    <row r="67" spans="22:22">
      <c r="V67"/>
    </row>
    <row r="68" spans="22:22">
      <c r="V68"/>
    </row>
    <row r="69" spans="22:22">
      <c r="V69"/>
    </row>
    <row r="70" spans="22:22">
      <c r="V70"/>
    </row>
    <row r="71" spans="22:22">
      <c r="V71"/>
    </row>
    <row r="72" spans="22:22">
      <c r="V72"/>
    </row>
    <row r="73" spans="22:22">
      <c r="V73"/>
    </row>
    <row r="74" spans="22:22">
      <c r="V74"/>
    </row>
    <row r="75" spans="22:22">
      <c r="V75"/>
    </row>
    <row r="76" spans="22:22">
      <c r="V76"/>
    </row>
    <row r="77" spans="22:22">
      <c r="V77"/>
    </row>
    <row r="78" spans="22:22">
      <c r="V78"/>
    </row>
    <row r="79" spans="22:22">
      <c r="V79"/>
    </row>
    <row r="80" spans="22:22">
      <c r="V80"/>
    </row>
    <row r="81" spans="22:22">
      <c r="V81"/>
    </row>
    <row r="82" spans="22:22">
      <c r="V82"/>
    </row>
    <row r="83" spans="22:22">
      <c r="V83"/>
    </row>
    <row r="84" spans="22:22">
      <c r="V84"/>
    </row>
    <row r="85" spans="22:22">
      <c r="V85"/>
    </row>
    <row r="86" spans="22:22">
      <c r="V86"/>
    </row>
    <row r="87" spans="22:22">
      <c r="V87"/>
    </row>
    <row r="88" spans="22:22">
      <c r="V88"/>
    </row>
    <row r="89" spans="22:22">
      <c r="V89"/>
    </row>
    <row r="90" spans="22:22">
      <c r="V90"/>
    </row>
    <row r="91" spans="22:22">
      <c r="V91"/>
    </row>
    <row r="92" spans="22:22">
      <c r="V92"/>
    </row>
    <row r="93" spans="22:22">
      <c r="V93"/>
    </row>
    <row r="94" spans="22:22">
      <c r="V94"/>
    </row>
    <row r="95" spans="22:22">
      <c r="V95"/>
    </row>
    <row r="96" spans="22:22">
      <c r="V96"/>
    </row>
    <row r="97" spans="22:22">
      <c r="V97"/>
    </row>
    <row r="98" spans="22:22">
      <c r="V98"/>
    </row>
    <row r="99" spans="22:22">
      <c r="V99"/>
    </row>
    <row r="100" spans="22:22">
      <c r="V100"/>
    </row>
    <row r="101" spans="22:22">
      <c r="V101"/>
    </row>
    <row r="102" spans="22:22">
      <c r="V102"/>
    </row>
    <row r="103" spans="22:22">
      <c r="V103"/>
    </row>
    <row r="104" spans="22:22">
      <c r="V104"/>
    </row>
    <row r="105" spans="22:22">
      <c r="V105"/>
    </row>
    <row r="106" spans="22:22">
      <c r="V106"/>
    </row>
    <row r="107" spans="22:22">
      <c r="V107"/>
    </row>
    <row r="108" spans="22:22">
      <c r="V108"/>
    </row>
    <row r="109" spans="22:22">
      <c r="V109"/>
    </row>
    <row r="110" spans="22:22">
      <c r="V110"/>
    </row>
    <row r="111" spans="22:22">
      <c r="V111"/>
    </row>
    <row r="112" spans="22:22">
      <c r="V112"/>
    </row>
    <row r="113" spans="22:22">
      <c r="V113"/>
    </row>
    <row r="114" spans="22:22">
      <c r="V114"/>
    </row>
    <row r="115" spans="22:22">
      <c r="V115"/>
    </row>
    <row r="116" spans="22:22">
      <c r="V116"/>
    </row>
    <row r="117" spans="22:22">
      <c r="V117"/>
    </row>
    <row r="118" spans="22:22">
      <c r="V118"/>
    </row>
    <row r="119" spans="22:22">
      <c r="V119"/>
    </row>
    <row r="120" spans="22:22">
      <c r="V120"/>
    </row>
    <row r="121" spans="22:22">
      <c r="V121"/>
    </row>
    <row r="122" spans="22:22">
      <c r="V122"/>
    </row>
    <row r="123" spans="22:22">
      <c r="V123"/>
    </row>
    <row r="124" spans="22:22">
      <c r="V124"/>
    </row>
    <row r="125" spans="22:22">
      <c r="V125"/>
    </row>
    <row r="126" spans="22:22">
      <c r="V126"/>
    </row>
    <row r="127" spans="22:22">
      <c r="V127"/>
    </row>
    <row r="128" spans="22:22">
      <c r="V128"/>
    </row>
    <row r="129" spans="22:22">
      <c r="V129"/>
    </row>
    <row r="130" spans="22:22">
      <c r="V130"/>
    </row>
    <row r="131" spans="22:22">
      <c r="V131"/>
    </row>
    <row r="132" spans="22:22">
      <c r="V132"/>
    </row>
    <row r="133" spans="22:22">
      <c r="V133"/>
    </row>
    <row r="134" spans="22:22">
      <c r="V134"/>
    </row>
    <row r="135" spans="22:22">
      <c r="V135"/>
    </row>
    <row r="136" spans="22:22">
      <c r="V136"/>
    </row>
    <row r="137" spans="22:22">
      <c r="V137"/>
    </row>
    <row r="138" spans="22:22">
      <c r="V138"/>
    </row>
    <row r="139" spans="22:22">
      <c r="V139"/>
    </row>
    <row r="140" spans="22:22">
      <c r="V140"/>
    </row>
    <row r="141" spans="22:22">
      <c r="V141"/>
    </row>
    <row r="142" spans="22:22">
      <c r="V142"/>
    </row>
    <row r="143" spans="22:22">
      <c r="V143"/>
    </row>
    <row r="144" spans="22:22">
      <c r="V144"/>
    </row>
    <row r="145" spans="22:22">
      <c r="V145"/>
    </row>
    <row r="146" spans="22:22">
      <c r="V146"/>
    </row>
    <row r="147" spans="22:22">
      <c r="V147"/>
    </row>
    <row r="148" spans="22:22">
      <c r="V148"/>
    </row>
    <row r="149" spans="22:22">
      <c r="V149"/>
    </row>
    <row r="150" spans="22:22">
      <c r="V150"/>
    </row>
    <row r="151" spans="22:22">
      <c r="V151"/>
    </row>
    <row r="152" spans="22:22">
      <c r="V152"/>
    </row>
    <row r="153" spans="22:22">
      <c r="V153"/>
    </row>
    <row r="154" spans="22:22">
      <c r="V154"/>
    </row>
    <row r="155" spans="22:22">
      <c r="V155"/>
    </row>
    <row r="156" spans="22:22">
      <c r="V156"/>
    </row>
    <row r="157" spans="22:22">
      <c r="V157"/>
    </row>
    <row r="158" spans="22:22">
      <c r="V158"/>
    </row>
    <row r="159" spans="22:22">
      <c r="V159"/>
    </row>
    <row r="160" spans="22:22">
      <c r="V160"/>
    </row>
    <row r="161" spans="22:22">
      <c r="V161"/>
    </row>
    <row r="162" spans="22:22">
      <c r="V162"/>
    </row>
    <row r="163" spans="22:22">
      <c r="V163"/>
    </row>
    <row r="164" spans="22:22">
      <c r="V164"/>
    </row>
    <row r="165" spans="22:22">
      <c r="V165"/>
    </row>
    <row r="166" spans="22:22">
      <c r="V166"/>
    </row>
    <row r="167" spans="22:22">
      <c r="V167"/>
    </row>
    <row r="168" spans="22:22">
      <c r="V168"/>
    </row>
    <row r="169" spans="22:22">
      <c r="V169"/>
    </row>
    <row r="170" spans="22:22">
      <c r="V170"/>
    </row>
    <row r="171" spans="22:22">
      <c r="V171"/>
    </row>
    <row r="172" spans="22:22">
      <c r="V172"/>
    </row>
    <row r="173" spans="22:22">
      <c r="V173"/>
    </row>
    <row r="174" spans="22:22">
      <c r="V174"/>
    </row>
    <row r="175" spans="22:22">
      <c r="V175"/>
    </row>
    <row r="176" spans="22:22">
      <c r="V176"/>
    </row>
    <row r="177" spans="22:22">
      <c r="V177"/>
    </row>
    <row r="178" spans="22:22">
      <c r="V178"/>
    </row>
    <row r="179" spans="22:22">
      <c r="V179"/>
    </row>
    <row r="180" spans="22:22">
      <c r="V180"/>
    </row>
    <row r="181" spans="22:22">
      <c r="V181"/>
    </row>
    <row r="182" spans="22:22">
      <c r="V182"/>
    </row>
    <row r="183" spans="22:22">
      <c r="V183"/>
    </row>
    <row r="184" spans="22:22">
      <c r="V184"/>
    </row>
    <row r="185" spans="22:22">
      <c r="V185"/>
    </row>
    <row r="186" spans="22:22">
      <c r="V186"/>
    </row>
    <row r="187" spans="22:22">
      <c r="V187"/>
    </row>
    <row r="188" spans="22:22">
      <c r="V188"/>
    </row>
    <row r="189" spans="22:22">
      <c r="V189"/>
    </row>
    <row r="190" spans="22:22">
      <c r="V190"/>
    </row>
    <row r="191" spans="22:22">
      <c r="V191"/>
    </row>
    <row r="192" spans="22:22">
      <c r="V192"/>
    </row>
    <row r="193" spans="22:22">
      <c r="V193"/>
    </row>
    <row r="194" spans="22:22">
      <c r="V194"/>
    </row>
    <row r="195" spans="22:22">
      <c r="V195"/>
    </row>
    <row r="196" spans="22:22">
      <c r="V196"/>
    </row>
    <row r="197" spans="22:22">
      <c r="V197"/>
    </row>
    <row r="198" spans="22:22">
      <c r="V198"/>
    </row>
    <row r="199" spans="22:22">
      <c r="V199"/>
    </row>
    <row r="200" spans="22:22">
      <c r="V200"/>
    </row>
    <row r="201" spans="22:22">
      <c r="V201"/>
    </row>
    <row r="202" spans="22:22">
      <c r="V202"/>
    </row>
    <row r="203" spans="22:22">
      <c r="V203"/>
    </row>
    <row r="204" spans="22:22">
      <c r="V204"/>
    </row>
    <row r="205" spans="22:22">
      <c r="V205"/>
    </row>
    <row r="206" spans="22:22">
      <c r="V206"/>
    </row>
    <row r="207" spans="22:22">
      <c r="V207"/>
    </row>
    <row r="208" spans="22:22">
      <c r="V208"/>
    </row>
    <row r="209" spans="22:22">
      <c r="V209"/>
    </row>
    <row r="210" spans="22:22">
      <c r="V210"/>
    </row>
    <row r="211" spans="22:22">
      <c r="V211"/>
    </row>
    <row r="212" spans="22:22">
      <c r="V212"/>
    </row>
    <row r="213" spans="22:22">
      <c r="V213"/>
    </row>
    <row r="214" spans="22:22">
      <c r="V214"/>
    </row>
    <row r="215" spans="22:22">
      <c r="V215"/>
    </row>
    <row r="216" spans="22:22">
      <c r="V216"/>
    </row>
    <row r="217" spans="22:22">
      <c r="V217"/>
    </row>
    <row r="218" spans="22:22">
      <c r="V218"/>
    </row>
    <row r="219" spans="22:22">
      <c r="V219"/>
    </row>
    <row r="220" spans="22:22">
      <c r="V220"/>
    </row>
    <row r="221" spans="22:22">
      <c r="V221"/>
    </row>
    <row r="222" spans="22:22">
      <c r="V222"/>
    </row>
    <row r="223" spans="22:22">
      <c r="V223"/>
    </row>
    <row r="224" spans="22:22">
      <c r="V224"/>
    </row>
    <row r="225" spans="22:22">
      <c r="V225"/>
    </row>
    <row r="226" spans="22:22">
      <c r="V226"/>
    </row>
    <row r="227" spans="22:22">
      <c r="V227"/>
    </row>
    <row r="228" spans="22:22">
      <c r="V228"/>
    </row>
    <row r="229" spans="22:22">
      <c r="V229"/>
    </row>
    <row r="230" spans="22:22">
      <c r="V230"/>
    </row>
    <row r="231" spans="22:22">
      <c r="V231"/>
    </row>
    <row r="232" spans="22:22">
      <c r="V232"/>
    </row>
    <row r="233" spans="22:22">
      <c r="V233"/>
    </row>
    <row r="234" spans="22:22">
      <c r="V234"/>
    </row>
    <row r="235" spans="22:22">
      <c r="V235"/>
    </row>
    <row r="236" spans="22:22">
      <c r="V236"/>
    </row>
    <row r="237" spans="22:22">
      <c r="V237"/>
    </row>
    <row r="238" spans="22:22">
      <c r="V238"/>
    </row>
    <row r="239" spans="22:22">
      <c r="V239"/>
    </row>
    <row r="240" spans="22:22">
      <c r="V240"/>
    </row>
    <row r="241" spans="22:22">
      <c r="V241"/>
    </row>
    <row r="242" spans="22:22">
      <c r="V242"/>
    </row>
    <row r="243" spans="22:22">
      <c r="V243"/>
    </row>
    <row r="244" spans="22:22">
      <c r="V244"/>
    </row>
    <row r="245" spans="22:22">
      <c r="V245"/>
    </row>
    <row r="246" spans="22:22">
      <c r="V246"/>
    </row>
    <row r="247" spans="22:22">
      <c r="V247"/>
    </row>
    <row r="248" spans="22:22">
      <c r="V248"/>
    </row>
    <row r="249" spans="22:22">
      <c r="V249"/>
    </row>
    <row r="250" spans="22:22">
      <c r="V250"/>
    </row>
    <row r="251" spans="22:22">
      <c r="V251"/>
    </row>
    <row r="252" spans="22:22">
      <c r="V252"/>
    </row>
    <row r="253" spans="22:22">
      <c r="V253"/>
    </row>
    <row r="254" spans="22:22">
      <c r="V254"/>
    </row>
    <row r="255" spans="22:22">
      <c r="V255"/>
    </row>
    <row r="256" spans="22:22">
      <c r="V256"/>
    </row>
    <row r="257" spans="22:22">
      <c r="V257"/>
    </row>
    <row r="258" spans="22:22">
      <c r="V258"/>
    </row>
    <row r="259" spans="22:22">
      <c r="V259"/>
    </row>
    <row r="260" spans="22:22">
      <c r="V260"/>
    </row>
    <row r="261" spans="22:22">
      <c r="V261"/>
    </row>
    <row r="262" spans="22:22">
      <c r="V262"/>
    </row>
    <row r="263" spans="22:22">
      <c r="V263"/>
    </row>
    <row r="264" spans="22:22">
      <c r="V264"/>
    </row>
    <row r="265" spans="22:22">
      <c r="V265"/>
    </row>
    <row r="266" spans="22:22">
      <c r="V266"/>
    </row>
    <row r="267" spans="22:22">
      <c r="V267"/>
    </row>
    <row r="268" spans="22:22">
      <c r="V268"/>
    </row>
    <row r="269" spans="22:22">
      <c r="V269"/>
    </row>
    <row r="270" spans="22:22">
      <c r="V270"/>
    </row>
    <row r="271" spans="22:22">
      <c r="V271"/>
    </row>
    <row r="272" spans="22:22">
      <c r="V272"/>
    </row>
    <row r="273" spans="22:22">
      <c r="V273"/>
    </row>
    <row r="274" spans="22:22">
      <c r="V274"/>
    </row>
    <row r="275" spans="22:22">
      <c r="V275"/>
    </row>
    <row r="276" spans="22:22">
      <c r="V276"/>
    </row>
    <row r="277" spans="22:22">
      <c r="V277"/>
    </row>
    <row r="278" spans="22:22">
      <c r="V278"/>
    </row>
    <row r="279" spans="22:22">
      <c r="V279"/>
    </row>
    <row r="280" spans="22:22">
      <c r="V280"/>
    </row>
    <row r="281" spans="22:22">
      <c r="V281"/>
    </row>
    <row r="282" spans="22:22">
      <c r="V282"/>
    </row>
    <row r="283" spans="22:22">
      <c r="V283"/>
    </row>
    <row r="284" spans="22:22">
      <c r="V284"/>
    </row>
    <row r="285" spans="22:22">
      <c r="V285"/>
    </row>
    <row r="286" spans="22:22">
      <c r="V286"/>
    </row>
    <row r="287" spans="22:22">
      <c r="V287"/>
    </row>
    <row r="288" spans="22:22">
      <c r="V288"/>
    </row>
    <row r="289" spans="22:22">
      <c r="V289"/>
    </row>
    <row r="290" spans="22:22">
      <c r="V290"/>
    </row>
    <row r="291" spans="22:22">
      <c r="V291"/>
    </row>
    <row r="292" spans="22:22">
      <c r="V292"/>
    </row>
    <row r="293" spans="22:22">
      <c r="V293"/>
    </row>
    <row r="294" spans="22:22">
      <c r="V294"/>
    </row>
    <row r="295" spans="22:22">
      <c r="V295"/>
    </row>
    <row r="296" spans="22:22">
      <c r="V296"/>
    </row>
    <row r="297" spans="22:22">
      <c r="V297"/>
    </row>
    <row r="298" spans="22:22">
      <c r="V298"/>
    </row>
    <row r="299" spans="22:22">
      <c r="V299"/>
    </row>
    <row r="300" spans="22:22">
      <c r="V300"/>
    </row>
    <row r="301" spans="22:22">
      <c r="V301"/>
    </row>
    <row r="302" spans="22:22">
      <c r="V302"/>
    </row>
    <row r="303" spans="22:22">
      <c r="V303"/>
    </row>
    <row r="304" spans="22:22">
      <c r="V304"/>
    </row>
    <row r="305" spans="22:22">
      <c r="V305"/>
    </row>
    <row r="306" spans="22:22">
      <c r="V306"/>
    </row>
    <row r="307" spans="22:22">
      <c r="V307"/>
    </row>
    <row r="308" spans="22:22">
      <c r="V308"/>
    </row>
    <row r="309" spans="22:22">
      <c r="V309"/>
    </row>
    <row r="310" spans="22:22">
      <c r="V310"/>
    </row>
    <row r="311" spans="22:22">
      <c r="V311"/>
    </row>
    <row r="312" spans="22:22">
      <c r="V312"/>
    </row>
    <row r="313" spans="22:22">
      <c r="V313"/>
    </row>
    <row r="314" spans="22:22">
      <c r="V314"/>
    </row>
    <row r="315" spans="22:22">
      <c r="V315"/>
    </row>
    <row r="316" spans="22:22">
      <c r="V316"/>
    </row>
    <row r="317" spans="22:22">
      <c r="V317"/>
    </row>
    <row r="318" spans="22:22">
      <c r="V318"/>
    </row>
    <row r="319" spans="22:22">
      <c r="V319"/>
    </row>
    <row r="320" spans="22:22">
      <c r="V320"/>
    </row>
    <row r="321" spans="22:22">
      <c r="V321"/>
    </row>
    <row r="322" spans="22:22">
      <c r="V322"/>
    </row>
    <row r="323" spans="22:22">
      <c r="V323"/>
    </row>
    <row r="324" spans="22:22">
      <c r="V324"/>
    </row>
    <row r="325" spans="22:22">
      <c r="V325"/>
    </row>
    <row r="326" spans="22:22">
      <c r="V326"/>
    </row>
    <row r="327" spans="22:22">
      <c r="V327"/>
    </row>
    <row r="328" spans="22:22">
      <c r="V328"/>
    </row>
    <row r="329" spans="22:22">
      <c r="V329"/>
    </row>
    <row r="330" spans="22:22">
      <c r="V330"/>
    </row>
    <row r="331" spans="22:22">
      <c r="V331"/>
    </row>
    <row r="332" spans="22:22">
      <c r="V332"/>
    </row>
    <row r="333" spans="22:22">
      <c r="V333"/>
    </row>
    <row r="334" spans="22:22">
      <c r="V334"/>
    </row>
    <row r="335" spans="22:22">
      <c r="V335"/>
    </row>
    <row r="336" spans="22:22">
      <c r="V336"/>
    </row>
    <row r="337" spans="22:22">
      <c r="V337"/>
    </row>
    <row r="338" spans="22:22">
      <c r="V338"/>
    </row>
    <row r="339" spans="22:22">
      <c r="V339"/>
    </row>
    <row r="340" spans="22:22">
      <c r="V340"/>
    </row>
    <row r="341" spans="22:22">
      <c r="V341"/>
    </row>
    <row r="342" spans="22:22">
      <c r="V342"/>
    </row>
    <row r="343" spans="22:22">
      <c r="V343"/>
    </row>
    <row r="344" spans="22:22">
      <c r="V344"/>
    </row>
    <row r="345" spans="22:22">
      <c r="V345"/>
    </row>
    <row r="346" spans="22:22">
      <c r="V346"/>
    </row>
    <row r="347" spans="22:22">
      <c r="V347"/>
    </row>
    <row r="348" spans="22:22">
      <c r="V348"/>
    </row>
    <row r="349" spans="22:22">
      <c r="V349"/>
    </row>
    <row r="350" spans="22:22">
      <c r="V350"/>
    </row>
    <row r="351" spans="22:22">
      <c r="V351"/>
    </row>
    <row r="352" spans="22:22">
      <c r="V352"/>
    </row>
    <row r="353" spans="22:22">
      <c r="V353"/>
    </row>
    <row r="354" spans="22:22">
      <c r="V354"/>
    </row>
    <row r="355" spans="22:22">
      <c r="V355"/>
    </row>
    <row r="356" spans="22:22">
      <c r="V356"/>
    </row>
    <row r="357" spans="22:22">
      <c r="V357"/>
    </row>
    <row r="358" spans="22:22">
      <c r="V358"/>
    </row>
    <row r="359" spans="22:22">
      <c r="V359"/>
    </row>
    <row r="360" spans="22:22">
      <c r="V360"/>
    </row>
    <row r="361" spans="22:22">
      <c r="V361"/>
    </row>
    <row r="362" spans="22:22">
      <c r="V362"/>
    </row>
    <row r="363" spans="22:22">
      <c r="V363"/>
    </row>
    <row r="364" spans="22:22">
      <c r="V364"/>
    </row>
    <row r="365" spans="22:22">
      <c r="V365"/>
    </row>
    <row r="366" spans="22:22">
      <c r="V366"/>
    </row>
    <row r="367" spans="22:22">
      <c r="V367"/>
    </row>
    <row r="368" spans="22:22">
      <c r="V368"/>
    </row>
    <row r="369" spans="22:22">
      <c r="V369"/>
    </row>
    <row r="370" spans="22:22">
      <c r="V370"/>
    </row>
    <row r="371" spans="22:22">
      <c r="V371"/>
    </row>
    <row r="372" spans="22:22">
      <c r="V372"/>
    </row>
    <row r="373" spans="22:22">
      <c r="V373"/>
    </row>
    <row r="374" spans="22:22">
      <c r="V374"/>
    </row>
    <row r="375" spans="22:22">
      <c r="V375"/>
    </row>
    <row r="376" spans="22:22">
      <c r="V376"/>
    </row>
    <row r="377" spans="22:22">
      <c r="V377"/>
    </row>
    <row r="378" spans="22:22">
      <c r="V378"/>
    </row>
    <row r="379" spans="22:22">
      <c r="V379"/>
    </row>
    <row r="380" spans="22:22">
      <c r="V380"/>
    </row>
    <row r="381" spans="22:22">
      <c r="V381"/>
    </row>
    <row r="382" spans="22:22">
      <c r="V382"/>
    </row>
    <row r="383" spans="22:22">
      <c r="V383"/>
    </row>
    <row r="384" spans="22:22">
      <c r="V384"/>
    </row>
    <row r="385" spans="22:22">
      <c r="V385"/>
    </row>
    <row r="386" spans="22:22">
      <c r="V386"/>
    </row>
    <row r="387" spans="22:22">
      <c r="V387"/>
    </row>
    <row r="388" spans="22:22">
      <c r="V388"/>
    </row>
    <row r="389" spans="22:22">
      <c r="V389"/>
    </row>
    <row r="390" spans="22:22">
      <c r="V390"/>
    </row>
    <row r="391" spans="22:22">
      <c r="V391"/>
    </row>
    <row r="392" spans="22:22">
      <c r="V392"/>
    </row>
    <row r="393" spans="22:22">
      <c r="V393"/>
    </row>
    <row r="394" spans="22:22">
      <c r="V394"/>
    </row>
    <row r="395" spans="22:22">
      <c r="V395"/>
    </row>
    <row r="396" spans="22:22">
      <c r="V396"/>
    </row>
    <row r="397" spans="22:22">
      <c r="V397"/>
    </row>
    <row r="398" spans="22:22">
      <c r="V398"/>
    </row>
    <row r="399" spans="22:22">
      <c r="V399"/>
    </row>
    <row r="400" spans="22:22">
      <c r="V400"/>
    </row>
    <row r="401" spans="22:22">
      <c r="V401"/>
    </row>
    <row r="402" spans="22:22">
      <c r="V402"/>
    </row>
    <row r="403" spans="22:22">
      <c r="V403"/>
    </row>
    <row r="404" spans="22:22">
      <c r="V404"/>
    </row>
    <row r="405" spans="22:22">
      <c r="V405"/>
    </row>
  </sheetData>
  <autoFilter ref="A2:AD2" xr:uid="{00000000-0009-0000-0000-000014000000}"/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K61"/>
  <sheetViews>
    <sheetView workbookViewId="0">
      <selection activeCell="H7" sqref="H7"/>
    </sheetView>
  </sheetViews>
  <sheetFormatPr defaultRowHeight="16.5"/>
  <cols>
    <col min="2" max="2" width="13" bestFit="1" customWidth="1"/>
    <col min="4" max="4" width="15.125" bestFit="1" customWidth="1"/>
    <col min="5" max="5" width="35.125" bestFit="1" customWidth="1"/>
    <col min="6" max="7" width="10.875" bestFit="1" customWidth="1"/>
  </cols>
  <sheetData>
    <row r="1" spans="1:11">
      <c r="A1" t="s">
        <v>57</v>
      </c>
      <c r="B1" t="s">
        <v>105</v>
      </c>
      <c r="C1" s="39" t="s">
        <v>99</v>
      </c>
      <c r="D1" s="40" t="s">
        <v>63</v>
      </c>
      <c r="E1" s="40" t="s">
        <v>1381</v>
      </c>
      <c r="F1" s="35" t="s">
        <v>32</v>
      </c>
      <c r="G1" s="37">
        <v>1000</v>
      </c>
      <c r="H1" s="35" t="s">
        <v>2081</v>
      </c>
      <c r="I1" s="227"/>
      <c r="J1" s="228"/>
      <c r="K1" s="290">
        <v>-5000</v>
      </c>
    </row>
    <row r="2" spans="1:11">
      <c r="A2" s="228" t="s">
        <v>1814</v>
      </c>
      <c r="B2" s="228" t="s">
        <v>2084</v>
      </c>
      <c r="C2" s="228" t="s">
        <v>100</v>
      </c>
      <c r="D2" s="228" t="s">
        <v>1626</v>
      </c>
      <c r="E2" s="228" t="str">
        <f t="shared" ref="E2:E36" si="0">+A2&amp;B2&amp;C2&amp;D2</f>
        <v>다인승만21세이상1억개인</v>
      </c>
      <c r="F2" s="227">
        <v>1131000</v>
      </c>
      <c r="G2" s="227">
        <v>1132000</v>
      </c>
      <c r="H2" s="227" t="s">
        <v>2083</v>
      </c>
      <c r="I2" s="227" t="s">
        <v>2104</v>
      </c>
      <c r="J2" s="228"/>
      <c r="K2" s="228"/>
    </row>
    <row r="3" spans="1:11">
      <c r="A3" s="228" t="s">
        <v>1814</v>
      </c>
      <c r="B3" s="228" t="s">
        <v>2084</v>
      </c>
      <c r="C3" s="228" t="s">
        <v>1389</v>
      </c>
      <c r="D3" s="228" t="s">
        <v>1626</v>
      </c>
      <c r="E3" s="228" t="str">
        <f t="shared" si="0"/>
        <v>다인승만21세이상2억개인</v>
      </c>
      <c r="F3" s="227">
        <v>1157000</v>
      </c>
      <c r="G3" s="227">
        <v>1158000</v>
      </c>
      <c r="H3" s="227" t="s">
        <v>2083</v>
      </c>
      <c r="I3" s="227" t="s">
        <v>2104</v>
      </c>
      <c r="J3" s="228"/>
      <c r="K3" s="228"/>
    </row>
    <row r="4" spans="1:11">
      <c r="A4" s="228" t="s">
        <v>1814</v>
      </c>
      <c r="B4" s="228" t="s">
        <v>1657</v>
      </c>
      <c r="C4" s="228" t="s">
        <v>100</v>
      </c>
      <c r="D4" s="228" t="s">
        <v>1626</v>
      </c>
      <c r="E4" s="228" t="str">
        <f t="shared" si="0"/>
        <v>다인승만26세이상1억개인</v>
      </c>
      <c r="F4" s="227">
        <v>671000</v>
      </c>
      <c r="G4" s="227">
        <v>672000</v>
      </c>
      <c r="H4" s="227" t="s">
        <v>2083</v>
      </c>
      <c r="I4" s="227" t="s">
        <v>2104</v>
      </c>
      <c r="J4" s="228"/>
      <c r="K4" s="228"/>
    </row>
    <row r="5" spans="1:11">
      <c r="A5" s="228" t="s">
        <v>1814</v>
      </c>
      <c r="B5" s="228" t="s">
        <v>1657</v>
      </c>
      <c r="C5" s="228" t="s">
        <v>1389</v>
      </c>
      <c r="D5" s="228" t="s">
        <v>1626</v>
      </c>
      <c r="E5" s="228" t="str">
        <f t="shared" si="0"/>
        <v>다인승만26세이상2억개인</v>
      </c>
      <c r="F5" s="227">
        <v>686000</v>
      </c>
      <c r="G5" s="227">
        <v>687000</v>
      </c>
      <c r="H5" s="227" t="s">
        <v>2083</v>
      </c>
      <c r="I5" s="227" t="s">
        <v>2104</v>
      </c>
      <c r="J5" s="228"/>
      <c r="K5" s="228"/>
    </row>
    <row r="6" spans="1:11">
      <c r="A6" s="228" t="s">
        <v>1743</v>
      </c>
      <c r="B6" s="228" t="s">
        <v>2084</v>
      </c>
      <c r="C6" s="228" t="s">
        <v>100</v>
      </c>
      <c r="D6" s="228" t="s">
        <v>1626</v>
      </c>
      <c r="E6" s="228" t="str">
        <f t="shared" si="0"/>
        <v>승용만21세이상1억개인</v>
      </c>
      <c r="F6" s="227">
        <v>1257000</v>
      </c>
      <c r="G6" s="227">
        <v>1258000</v>
      </c>
      <c r="H6" s="227" t="s">
        <v>2083</v>
      </c>
      <c r="I6" s="227" t="s">
        <v>2104</v>
      </c>
      <c r="J6" s="228"/>
      <c r="K6" s="228"/>
    </row>
    <row r="7" spans="1:11">
      <c r="A7" s="228" t="s">
        <v>1743</v>
      </c>
      <c r="B7" s="228" t="s">
        <v>2084</v>
      </c>
      <c r="C7" s="228" t="s">
        <v>1389</v>
      </c>
      <c r="D7" s="228" t="s">
        <v>1626</v>
      </c>
      <c r="E7" s="228" t="str">
        <f t="shared" si="0"/>
        <v>승용만21세이상2억개인</v>
      </c>
      <c r="F7" s="227">
        <v>1280000</v>
      </c>
      <c r="G7" s="227">
        <v>1281000</v>
      </c>
      <c r="H7" s="227" t="s">
        <v>2083</v>
      </c>
      <c r="I7" s="227" t="s">
        <v>2104</v>
      </c>
      <c r="J7" s="228"/>
      <c r="K7" s="228"/>
    </row>
    <row r="8" spans="1:11">
      <c r="A8" s="228" t="s">
        <v>117</v>
      </c>
      <c r="B8" s="228" t="s">
        <v>1391</v>
      </c>
      <c r="C8" s="229" t="s">
        <v>100</v>
      </c>
      <c r="D8" s="228" t="s">
        <v>64</v>
      </c>
      <c r="E8" s="228" t="str">
        <f t="shared" si="0"/>
        <v>승용만26세이상1억개인</v>
      </c>
      <c r="F8" s="227">
        <v>747000</v>
      </c>
      <c r="G8" s="227">
        <f>F8+$G$1</f>
        <v>748000</v>
      </c>
      <c r="H8" s="227" t="s">
        <v>2083</v>
      </c>
      <c r="I8" s="227" t="s">
        <v>2104</v>
      </c>
      <c r="J8" s="228"/>
      <c r="K8" s="228"/>
    </row>
    <row r="9" spans="1:11">
      <c r="A9" s="228" t="s">
        <v>117</v>
      </c>
      <c r="B9" s="228" t="s">
        <v>1391</v>
      </c>
      <c r="C9" s="230" t="s">
        <v>1389</v>
      </c>
      <c r="D9" s="228" t="s">
        <v>64</v>
      </c>
      <c r="E9" s="228" t="str">
        <f t="shared" si="0"/>
        <v>승용만26세이상2억개인</v>
      </c>
      <c r="F9" s="227">
        <v>761000</v>
      </c>
      <c r="G9" s="227">
        <f>F9+$G$1</f>
        <v>762000</v>
      </c>
      <c r="H9" s="227" t="s">
        <v>2083</v>
      </c>
      <c r="I9" s="227" t="s">
        <v>2104</v>
      </c>
      <c r="J9" s="228"/>
      <c r="K9" s="228"/>
    </row>
    <row r="10" spans="1:11">
      <c r="A10" s="228" t="s">
        <v>1875</v>
      </c>
      <c r="B10" s="228" t="s">
        <v>2084</v>
      </c>
      <c r="C10" s="228" t="s">
        <v>100</v>
      </c>
      <c r="D10" s="228" t="s">
        <v>1626</v>
      </c>
      <c r="E10" s="228" t="str">
        <f t="shared" si="0"/>
        <v>승합만21세이상1억개인</v>
      </c>
      <c r="F10" s="227">
        <v>1197000</v>
      </c>
      <c r="G10" s="227">
        <v>1198000</v>
      </c>
      <c r="H10" s="227" t="s">
        <v>2083</v>
      </c>
      <c r="I10" s="227" t="s">
        <v>2104</v>
      </c>
      <c r="J10" s="228"/>
      <c r="K10" s="228"/>
    </row>
    <row r="11" spans="1:11">
      <c r="A11" s="228" t="s">
        <v>1875</v>
      </c>
      <c r="B11" s="228" t="s">
        <v>2084</v>
      </c>
      <c r="C11" s="228" t="s">
        <v>1389</v>
      </c>
      <c r="D11" s="228" t="s">
        <v>1626</v>
      </c>
      <c r="E11" s="228" t="str">
        <f t="shared" si="0"/>
        <v>승합만21세이상2억개인</v>
      </c>
      <c r="F11" s="227">
        <v>1219000</v>
      </c>
      <c r="G11" s="227">
        <v>1220000</v>
      </c>
      <c r="H11" s="227" t="s">
        <v>2083</v>
      </c>
      <c r="I11" s="227" t="s">
        <v>2104</v>
      </c>
      <c r="J11" s="228"/>
      <c r="K11" s="228"/>
    </row>
    <row r="12" spans="1:11">
      <c r="A12" s="228" t="s">
        <v>1875</v>
      </c>
      <c r="B12" s="228" t="s">
        <v>1657</v>
      </c>
      <c r="C12" s="228" t="s">
        <v>100</v>
      </c>
      <c r="D12" s="228" t="s">
        <v>1626</v>
      </c>
      <c r="E12" s="228" t="str">
        <f t="shared" si="0"/>
        <v>승합만26세이상1억개인</v>
      </c>
      <c r="F12" s="227">
        <v>712000</v>
      </c>
      <c r="G12" s="227">
        <v>713000</v>
      </c>
      <c r="H12" s="227" t="s">
        <v>2083</v>
      </c>
      <c r="I12" s="227" t="s">
        <v>2104</v>
      </c>
      <c r="J12" s="228"/>
      <c r="K12" s="228"/>
    </row>
    <row r="13" spans="1:11">
      <c r="A13" s="228" t="s">
        <v>1875</v>
      </c>
      <c r="B13" s="228" t="s">
        <v>1657</v>
      </c>
      <c r="C13" s="228" t="s">
        <v>1389</v>
      </c>
      <c r="D13" s="228" t="s">
        <v>1626</v>
      </c>
      <c r="E13" s="228" t="str">
        <f t="shared" si="0"/>
        <v>승합만26세이상2억개인</v>
      </c>
      <c r="F13" s="227">
        <v>725000</v>
      </c>
      <c r="G13" s="227">
        <v>726000</v>
      </c>
      <c r="H13" s="227" t="s">
        <v>2083</v>
      </c>
      <c r="I13" s="227" t="s">
        <v>2104</v>
      </c>
      <c r="J13" s="228"/>
      <c r="K13" s="228"/>
    </row>
    <row r="14" spans="1:11">
      <c r="A14" s="228" t="s">
        <v>1814</v>
      </c>
      <c r="B14" s="228" t="s">
        <v>2084</v>
      </c>
      <c r="C14" s="228" t="s">
        <v>100</v>
      </c>
      <c r="D14" s="228" t="s">
        <v>2080</v>
      </c>
      <c r="E14" s="228" t="str">
        <f t="shared" si="0"/>
        <v>다인승만21세이상1억개인사업자</v>
      </c>
      <c r="F14" s="227">
        <v>1131000</v>
      </c>
      <c r="G14" s="227">
        <v>1132000</v>
      </c>
      <c r="H14" s="227" t="s">
        <v>2083</v>
      </c>
      <c r="I14" s="227" t="s">
        <v>2104</v>
      </c>
      <c r="J14" s="228"/>
      <c r="K14" s="228"/>
    </row>
    <row r="15" spans="1:11">
      <c r="A15" s="228" t="s">
        <v>1814</v>
      </c>
      <c r="B15" s="228" t="s">
        <v>2084</v>
      </c>
      <c r="C15" s="228" t="s">
        <v>1389</v>
      </c>
      <c r="D15" s="228" t="s">
        <v>2080</v>
      </c>
      <c r="E15" s="228" t="str">
        <f t="shared" si="0"/>
        <v>다인승만21세이상2억개인사업자</v>
      </c>
      <c r="F15" s="227">
        <v>1157000</v>
      </c>
      <c r="G15" s="227">
        <v>1158000</v>
      </c>
      <c r="H15" s="227" t="s">
        <v>2083</v>
      </c>
      <c r="I15" s="227" t="s">
        <v>2104</v>
      </c>
      <c r="J15" s="228"/>
      <c r="K15" s="228"/>
    </row>
    <row r="16" spans="1:11">
      <c r="A16" s="228" t="s">
        <v>1814</v>
      </c>
      <c r="B16" s="228" t="s">
        <v>1657</v>
      </c>
      <c r="C16" s="228" t="s">
        <v>100</v>
      </c>
      <c r="D16" s="228" t="s">
        <v>2080</v>
      </c>
      <c r="E16" s="228" t="str">
        <f t="shared" si="0"/>
        <v>다인승만26세이상1억개인사업자</v>
      </c>
      <c r="F16" s="227">
        <v>671000</v>
      </c>
      <c r="G16" s="227">
        <v>672000</v>
      </c>
      <c r="H16" s="227" t="s">
        <v>2083</v>
      </c>
      <c r="I16" s="227" t="s">
        <v>2104</v>
      </c>
      <c r="J16" s="228"/>
      <c r="K16" s="228"/>
    </row>
    <row r="17" spans="1:11">
      <c r="A17" s="228" t="s">
        <v>1814</v>
      </c>
      <c r="B17" s="228" t="s">
        <v>1657</v>
      </c>
      <c r="C17" s="228" t="s">
        <v>1389</v>
      </c>
      <c r="D17" s="228" t="s">
        <v>2080</v>
      </c>
      <c r="E17" s="228" t="str">
        <f t="shared" si="0"/>
        <v>다인승만26세이상2억개인사업자</v>
      </c>
      <c r="F17" s="227">
        <v>686000</v>
      </c>
      <c r="G17" s="227">
        <v>687000</v>
      </c>
      <c r="H17" s="227" t="s">
        <v>2083</v>
      </c>
      <c r="I17" s="227" t="s">
        <v>2104</v>
      </c>
      <c r="J17" s="228"/>
      <c r="K17" s="228"/>
    </row>
    <row r="18" spans="1:11">
      <c r="A18" s="228" t="s">
        <v>1743</v>
      </c>
      <c r="B18" s="228" t="s">
        <v>2084</v>
      </c>
      <c r="C18" s="228" t="s">
        <v>100</v>
      </c>
      <c r="D18" s="228" t="s">
        <v>2080</v>
      </c>
      <c r="E18" s="228" t="str">
        <f t="shared" si="0"/>
        <v>승용만21세이상1억개인사업자</v>
      </c>
      <c r="F18" s="227">
        <v>1257000</v>
      </c>
      <c r="G18" s="227">
        <v>1258000</v>
      </c>
      <c r="H18" s="227" t="s">
        <v>2083</v>
      </c>
      <c r="I18" s="227" t="s">
        <v>2104</v>
      </c>
      <c r="J18" s="228"/>
      <c r="K18" s="228"/>
    </row>
    <row r="19" spans="1:11">
      <c r="A19" s="228" t="s">
        <v>1743</v>
      </c>
      <c r="B19" s="228" t="s">
        <v>2084</v>
      </c>
      <c r="C19" s="228" t="s">
        <v>1389</v>
      </c>
      <c r="D19" s="228" t="s">
        <v>2080</v>
      </c>
      <c r="E19" s="228" t="str">
        <f t="shared" si="0"/>
        <v>승용만21세이상2억개인사업자</v>
      </c>
      <c r="F19" s="227">
        <v>1280000</v>
      </c>
      <c r="G19" s="227">
        <v>1281000</v>
      </c>
      <c r="H19" s="227" t="s">
        <v>2083</v>
      </c>
      <c r="I19" s="227" t="s">
        <v>2104</v>
      </c>
      <c r="J19" s="228"/>
      <c r="K19" s="228"/>
    </row>
    <row r="20" spans="1:11">
      <c r="A20" s="228" t="s">
        <v>117</v>
      </c>
      <c r="B20" s="228" t="s">
        <v>1391</v>
      </c>
      <c r="C20" s="229" t="s">
        <v>100</v>
      </c>
      <c r="D20" s="228" t="s">
        <v>65</v>
      </c>
      <c r="E20" s="228" t="str">
        <f t="shared" si="0"/>
        <v>승용만26세이상1억개인사업자</v>
      </c>
      <c r="F20" s="227">
        <v>747000</v>
      </c>
      <c r="G20" s="227">
        <f>F20+$G$1</f>
        <v>748000</v>
      </c>
      <c r="H20" s="227" t="s">
        <v>2083</v>
      </c>
      <c r="I20" s="227" t="s">
        <v>2104</v>
      </c>
      <c r="J20" s="228"/>
      <c r="K20" s="228"/>
    </row>
    <row r="21" spans="1:11">
      <c r="A21" s="228" t="s">
        <v>117</v>
      </c>
      <c r="B21" s="228" t="s">
        <v>1391</v>
      </c>
      <c r="C21" s="230" t="s">
        <v>1389</v>
      </c>
      <c r="D21" s="228" t="s">
        <v>65</v>
      </c>
      <c r="E21" s="228" t="str">
        <f t="shared" si="0"/>
        <v>승용만26세이상2억개인사업자</v>
      </c>
      <c r="F21" s="227">
        <v>761000</v>
      </c>
      <c r="G21" s="227">
        <f>F21+$G$1</f>
        <v>762000</v>
      </c>
      <c r="H21" s="227" t="s">
        <v>2083</v>
      </c>
      <c r="I21" s="227" t="s">
        <v>2104</v>
      </c>
      <c r="J21" s="228"/>
      <c r="K21" s="228"/>
    </row>
    <row r="22" spans="1:11">
      <c r="A22" s="228" t="s">
        <v>1875</v>
      </c>
      <c r="B22" s="228" t="s">
        <v>2084</v>
      </c>
      <c r="C22" s="228" t="s">
        <v>100</v>
      </c>
      <c r="D22" s="228" t="s">
        <v>2080</v>
      </c>
      <c r="E22" s="228" t="str">
        <f t="shared" si="0"/>
        <v>승합만21세이상1억개인사업자</v>
      </c>
      <c r="F22" s="227">
        <v>1197000</v>
      </c>
      <c r="G22" s="227">
        <v>1198000</v>
      </c>
      <c r="H22" s="227" t="s">
        <v>2083</v>
      </c>
      <c r="I22" s="227" t="s">
        <v>2104</v>
      </c>
      <c r="J22" s="228"/>
      <c r="K22" s="228"/>
    </row>
    <row r="23" spans="1:11">
      <c r="A23" s="228" t="s">
        <v>1875</v>
      </c>
      <c r="B23" s="228" t="s">
        <v>2084</v>
      </c>
      <c r="C23" s="228" t="s">
        <v>1389</v>
      </c>
      <c r="D23" s="228" t="s">
        <v>2080</v>
      </c>
      <c r="E23" s="228" t="str">
        <f t="shared" si="0"/>
        <v>승합만21세이상2억개인사업자</v>
      </c>
      <c r="F23" s="227">
        <v>1219000</v>
      </c>
      <c r="G23" s="227">
        <v>1220000</v>
      </c>
      <c r="H23" s="227" t="s">
        <v>2083</v>
      </c>
      <c r="I23" s="227" t="s">
        <v>2104</v>
      </c>
      <c r="J23" s="228"/>
      <c r="K23" s="228"/>
    </row>
    <row r="24" spans="1:11">
      <c r="A24" s="228" t="s">
        <v>1875</v>
      </c>
      <c r="B24" s="228" t="s">
        <v>1657</v>
      </c>
      <c r="C24" s="228" t="s">
        <v>100</v>
      </c>
      <c r="D24" s="228" t="s">
        <v>2080</v>
      </c>
      <c r="E24" s="228" t="str">
        <f t="shared" si="0"/>
        <v>승합만26세이상1억개인사업자</v>
      </c>
      <c r="F24" s="227">
        <v>712000</v>
      </c>
      <c r="G24" s="227">
        <v>713000</v>
      </c>
      <c r="H24" s="227" t="s">
        <v>2083</v>
      </c>
      <c r="I24" s="227" t="s">
        <v>2104</v>
      </c>
      <c r="J24" s="228"/>
      <c r="K24" s="228"/>
    </row>
    <row r="25" spans="1:11">
      <c r="A25" s="228" t="s">
        <v>1875</v>
      </c>
      <c r="B25" s="228" t="s">
        <v>1657</v>
      </c>
      <c r="C25" s="228" t="s">
        <v>1389</v>
      </c>
      <c r="D25" s="228" t="s">
        <v>2080</v>
      </c>
      <c r="E25" s="228" t="str">
        <f t="shared" si="0"/>
        <v>승합만26세이상2억개인사업자</v>
      </c>
      <c r="F25" s="227">
        <v>725000</v>
      </c>
      <c r="G25" s="227">
        <v>726000</v>
      </c>
      <c r="H25" s="227" t="s">
        <v>2083</v>
      </c>
      <c r="I25" s="227" t="s">
        <v>2104</v>
      </c>
      <c r="J25" s="228"/>
      <c r="K25" s="228"/>
    </row>
    <row r="26" spans="1:11">
      <c r="A26" s="228" t="s">
        <v>118</v>
      </c>
      <c r="B26" s="228" t="s">
        <v>1390</v>
      </c>
      <c r="C26" s="229" t="s">
        <v>100</v>
      </c>
      <c r="D26" s="231" t="s">
        <v>66</v>
      </c>
      <c r="E26" s="228" t="str">
        <f t="shared" si="0"/>
        <v>다인승만21세이상1억법인사업자</v>
      </c>
      <c r="F26" s="227">
        <v>1131000</v>
      </c>
      <c r="G26" s="227">
        <f t="shared" ref="G26:G33" si="1">F26+$G$1</f>
        <v>1132000</v>
      </c>
      <c r="H26" s="227" t="s">
        <v>2083</v>
      </c>
      <c r="I26" s="227" t="s">
        <v>2104</v>
      </c>
      <c r="J26" s="228"/>
      <c r="K26" s="228"/>
    </row>
    <row r="27" spans="1:11">
      <c r="A27" s="228" t="s">
        <v>118</v>
      </c>
      <c r="B27" s="228" t="s">
        <v>1390</v>
      </c>
      <c r="C27" s="230" t="s">
        <v>1389</v>
      </c>
      <c r="D27" s="231" t="s">
        <v>66</v>
      </c>
      <c r="E27" s="228" t="str">
        <f t="shared" si="0"/>
        <v>다인승만21세이상2억법인사업자</v>
      </c>
      <c r="F27" s="227">
        <v>1157000</v>
      </c>
      <c r="G27" s="227">
        <f t="shared" si="1"/>
        <v>1158000</v>
      </c>
      <c r="H27" s="227" t="s">
        <v>2083</v>
      </c>
      <c r="I27" s="227" t="s">
        <v>2104</v>
      </c>
      <c r="J27" s="228"/>
      <c r="K27" s="228"/>
    </row>
    <row r="28" spans="1:11">
      <c r="A28" s="228" t="s">
        <v>118</v>
      </c>
      <c r="B28" s="228" t="s">
        <v>1391</v>
      </c>
      <c r="C28" s="229" t="s">
        <v>100</v>
      </c>
      <c r="D28" s="231" t="s">
        <v>66</v>
      </c>
      <c r="E28" s="228" t="str">
        <f t="shared" si="0"/>
        <v>다인승만26세이상1억법인사업자</v>
      </c>
      <c r="F28" s="227">
        <v>671000</v>
      </c>
      <c r="G28" s="227">
        <f t="shared" si="1"/>
        <v>672000</v>
      </c>
      <c r="H28" s="227" t="s">
        <v>2083</v>
      </c>
      <c r="I28" s="227" t="s">
        <v>2104</v>
      </c>
      <c r="J28" s="228"/>
      <c r="K28" s="228"/>
    </row>
    <row r="29" spans="1:11">
      <c r="A29" s="228" t="s">
        <v>118</v>
      </c>
      <c r="B29" s="228" t="s">
        <v>1391</v>
      </c>
      <c r="C29" s="230" t="s">
        <v>1389</v>
      </c>
      <c r="D29" s="231" t="s">
        <v>66</v>
      </c>
      <c r="E29" s="228" t="str">
        <f t="shared" si="0"/>
        <v>다인승만26세이상2억법인사업자</v>
      </c>
      <c r="F29" s="227">
        <v>686000</v>
      </c>
      <c r="G29" s="227">
        <f t="shared" si="1"/>
        <v>687000</v>
      </c>
      <c r="H29" s="227" t="s">
        <v>2083</v>
      </c>
      <c r="I29" s="227" t="s">
        <v>2104</v>
      </c>
      <c r="J29" s="228"/>
      <c r="K29" s="228"/>
    </row>
    <row r="30" spans="1:11">
      <c r="A30" s="228" t="s">
        <v>117</v>
      </c>
      <c r="B30" s="228" t="s">
        <v>1390</v>
      </c>
      <c r="C30" s="229" t="s">
        <v>100</v>
      </c>
      <c r="D30" s="231" t="s">
        <v>66</v>
      </c>
      <c r="E30" s="228" t="str">
        <f t="shared" si="0"/>
        <v>승용만21세이상1억법인사업자</v>
      </c>
      <c r="F30" s="227">
        <v>1257000</v>
      </c>
      <c r="G30" s="227">
        <f t="shared" si="1"/>
        <v>1258000</v>
      </c>
      <c r="H30" s="227" t="s">
        <v>2083</v>
      </c>
      <c r="I30" s="227" t="s">
        <v>2104</v>
      </c>
      <c r="J30" s="228"/>
      <c r="K30" s="228"/>
    </row>
    <row r="31" spans="1:11">
      <c r="A31" s="228" t="s">
        <v>117</v>
      </c>
      <c r="B31" s="228" t="s">
        <v>1390</v>
      </c>
      <c r="C31" s="230" t="s">
        <v>1389</v>
      </c>
      <c r="D31" s="231" t="s">
        <v>66</v>
      </c>
      <c r="E31" s="228" t="str">
        <f t="shared" si="0"/>
        <v>승용만21세이상2억법인사업자</v>
      </c>
      <c r="F31" s="227">
        <v>1280000</v>
      </c>
      <c r="G31" s="227">
        <f t="shared" si="1"/>
        <v>1281000</v>
      </c>
      <c r="H31" s="227" t="s">
        <v>2083</v>
      </c>
      <c r="I31" s="227" t="s">
        <v>2104</v>
      </c>
      <c r="J31" s="228"/>
      <c r="K31" s="228"/>
    </row>
    <row r="32" spans="1:11">
      <c r="A32" s="228" t="s">
        <v>117</v>
      </c>
      <c r="B32" s="228" t="s">
        <v>1391</v>
      </c>
      <c r="C32" s="229" t="s">
        <v>100</v>
      </c>
      <c r="D32" s="231" t="s">
        <v>66</v>
      </c>
      <c r="E32" s="228" t="str">
        <f t="shared" si="0"/>
        <v>승용만26세이상1억법인사업자</v>
      </c>
      <c r="F32" s="227">
        <v>747000</v>
      </c>
      <c r="G32" s="227">
        <f t="shared" si="1"/>
        <v>748000</v>
      </c>
      <c r="H32" s="227" t="s">
        <v>2083</v>
      </c>
      <c r="I32" s="227" t="s">
        <v>2104</v>
      </c>
      <c r="J32" s="228"/>
      <c r="K32" s="228"/>
    </row>
    <row r="33" spans="1:11">
      <c r="A33" s="228" t="s">
        <v>117</v>
      </c>
      <c r="B33" s="228" t="s">
        <v>1391</v>
      </c>
      <c r="C33" s="230" t="s">
        <v>1389</v>
      </c>
      <c r="D33" s="231" t="s">
        <v>66</v>
      </c>
      <c r="E33" s="228" t="str">
        <f t="shared" si="0"/>
        <v>승용만26세이상2억법인사업자</v>
      </c>
      <c r="F33" s="227">
        <v>761000</v>
      </c>
      <c r="G33" s="227">
        <f t="shared" si="1"/>
        <v>762000</v>
      </c>
      <c r="H33" s="227" t="s">
        <v>2083</v>
      </c>
      <c r="I33" s="227" t="s">
        <v>2104</v>
      </c>
      <c r="J33" s="228"/>
      <c r="K33" s="228"/>
    </row>
    <row r="34" spans="1:11">
      <c r="A34" s="228" t="s">
        <v>1875</v>
      </c>
      <c r="B34" s="228" t="s">
        <v>2084</v>
      </c>
      <c r="C34" s="228" t="s">
        <v>100</v>
      </c>
      <c r="D34" s="228" t="s">
        <v>2085</v>
      </c>
      <c r="E34" s="228" t="str">
        <f t="shared" si="0"/>
        <v>승합만21세이상1억법인사업자</v>
      </c>
      <c r="F34" s="227">
        <v>1197000</v>
      </c>
      <c r="G34" s="227">
        <v>1198000</v>
      </c>
      <c r="H34" s="227" t="s">
        <v>2083</v>
      </c>
      <c r="I34" s="227" t="s">
        <v>2104</v>
      </c>
      <c r="J34" s="228"/>
      <c r="K34" s="228"/>
    </row>
    <row r="35" spans="1:11">
      <c r="A35" s="228" t="s">
        <v>1875</v>
      </c>
      <c r="B35" s="228" t="s">
        <v>2084</v>
      </c>
      <c r="C35" s="228" t="s">
        <v>1389</v>
      </c>
      <c r="D35" s="228" t="s">
        <v>2085</v>
      </c>
      <c r="E35" s="228" t="str">
        <f t="shared" si="0"/>
        <v>승합만21세이상2억법인사업자</v>
      </c>
      <c r="F35" s="227">
        <v>1219000</v>
      </c>
      <c r="G35" s="227">
        <v>1220000</v>
      </c>
      <c r="H35" s="227" t="s">
        <v>2083</v>
      </c>
      <c r="I35" s="227" t="s">
        <v>2104</v>
      </c>
      <c r="J35" s="228"/>
      <c r="K35" s="228"/>
    </row>
    <row r="36" spans="1:11">
      <c r="A36" s="228" t="s">
        <v>1875</v>
      </c>
      <c r="B36" s="228" t="s">
        <v>1657</v>
      </c>
      <c r="C36" s="228" t="s">
        <v>100</v>
      </c>
      <c r="D36" s="228" t="s">
        <v>2085</v>
      </c>
      <c r="E36" s="228" t="str">
        <f t="shared" si="0"/>
        <v>승합만26세이상1억법인사업자</v>
      </c>
      <c r="F36" s="227">
        <v>712000</v>
      </c>
      <c r="G36" s="227">
        <v>713000</v>
      </c>
      <c r="H36" s="227" t="s">
        <v>2083</v>
      </c>
      <c r="I36" s="227" t="s">
        <v>2104</v>
      </c>
      <c r="J36" s="228"/>
      <c r="K36" s="228"/>
    </row>
    <row r="37" spans="1:11">
      <c r="A37" s="228" t="s">
        <v>1875</v>
      </c>
      <c r="B37" s="228" t="s">
        <v>1657</v>
      </c>
      <c r="C37" s="228" t="s">
        <v>1389</v>
      </c>
      <c r="D37" s="228" t="s">
        <v>2085</v>
      </c>
      <c r="E37" s="228" t="str">
        <f>+A37&amp;B37&amp;C37&amp;D37</f>
        <v>승합만26세이상2억법인사업자</v>
      </c>
      <c r="F37" s="227">
        <v>725000</v>
      </c>
      <c r="G37" s="227">
        <v>726000</v>
      </c>
      <c r="H37" s="227" t="s">
        <v>2083</v>
      </c>
      <c r="I37" s="227" t="s">
        <v>2104</v>
      </c>
      <c r="J37" s="228"/>
      <c r="K37" s="228"/>
    </row>
    <row r="38" spans="1:11">
      <c r="A38" s="228" t="s">
        <v>118</v>
      </c>
      <c r="B38" s="228" t="s">
        <v>1390</v>
      </c>
      <c r="C38" s="229" t="s">
        <v>100</v>
      </c>
      <c r="D38" s="231" t="s">
        <v>1397</v>
      </c>
      <c r="E38" s="228" t="str">
        <f t="shared" ref="E38:E61" si="2">+A38&amp;B38&amp;C38&amp;D38</f>
        <v>다인승만21세이상1억법인사업자특약</v>
      </c>
      <c r="F38" s="227">
        <v>1123000</v>
      </c>
      <c r="G38" s="227">
        <f>F38+$K$1</f>
        <v>1118000</v>
      </c>
      <c r="H38" s="227" t="s">
        <v>2083</v>
      </c>
      <c r="I38" s="227"/>
      <c r="J38" s="228"/>
      <c r="K38" s="228"/>
    </row>
    <row r="39" spans="1:11">
      <c r="A39" s="228" t="s">
        <v>118</v>
      </c>
      <c r="B39" s="228" t="s">
        <v>1390</v>
      </c>
      <c r="C39" s="230" t="s">
        <v>1389</v>
      </c>
      <c r="D39" s="231" t="s">
        <v>1397</v>
      </c>
      <c r="E39" s="228" t="str">
        <f t="shared" si="2"/>
        <v>다인승만21세이상2억법인사업자특약</v>
      </c>
      <c r="F39" s="227">
        <v>1149000</v>
      </c>
      <c r="G39" s="227">
        <f t="shared" ref="G39:G61" si="3">F39+$K$1</f>
        <v>1144000</v>
      </c>
      <c r="H39" s="227" t="s">
        <v>2083</v>
      </c>
      <c r="I39" s="227"/>
      <c r="J39" s="228"/>
      <c r="K39" s="228"/>
    </row>
    <row r="40" spans="1:11">
      <c r="A40" s="228" t="s">
        <v>118</v>
      </c>
      <c r="B40" s="228" t="s">
        <v>1391</v>
      </c>
      <c r="C40" s="229" t="s">
        <v>100</v>
      </c>
      <c r="D40" s="231" t="s">
        <v>1397</v>
      </c>
      <c r="E40" s="228" t="str">
        <f t="shared" si="2"/>
        <v>다인승만26세이상1억법인사업자특약</v>
      </c>
      <c r="F40" s="227">
        <v>666000</v>
      </c>
      <c r="G40" s="227">
        <f t="shared" si="3"/>
        <v>661000</v>
      </c>
      <c r="H40" s="227" t="s">
        <v>2083</v>
      </c>
      <c r="I40" s="227"/>
      <c r="J40" s="228"/>
      <c r="K40" s="228"/>
    </row>
    <row r="41" spans="1:11">
      <c r="A41" s="228" t="s">
        <v>118</v>
      </c>
      <c r="B41" s="228" t="s">
        <v>1391</v>
      </c>
      <c r="C41" s="230" t="s">
        <v>1389</v>
      </c>
      <c r="D41" s="231" t="s">
        <v>1397</v>
      </c>
      <c r="E41" s="228" t="str">
        <f t="shared" si="2"/>
        <v>다인승만26세이상2억법인사업자특약</v>
      </c>
      <c r="F41" s="227">
        <v>681000</v>
      </c>
      <c r="G41" s="227">
        <f t="shared" si="3"/>
        <v>676000</v>
      </c>
      <c r="H41" s="227" t="s">
        <v>2083</v>
      </c>
      <c r="I41" s="227"/>
      <c r="J41" s="228"/>
      <c r="K41" s="228"/>
    </row>
    <row r="42" spans="1:11">
      <c r="A42" s="228" t="s">
        <v>117</v>
      </c>
      <c r="B42" s="228" t="s">
        <v>1390</v>
      </c>
      <c r="C42" s="229" t="s">
        <v>100</v>
      </c>
      <c r="D42" s="231" t="s">
        <v>1397</v>
      </c>
      <c r="E42" s="228" t="str">
        <f t="shared" si="2"/>
        <v>승용만21세이상1억법인사업자특약</v>
      </c>
      <c r="F42" s="227">
        <v>1248000</v>
      </c>
      <c r="G42" s="227">
        <f t="shared" si="3"/>
        <v>1243000</v>
      </c>
      <c r="H42" s="227" t="s">
        <v>2083</v>
      </c>
      <c r="I42" s="227"/>
      <c r="J42" s="228"/>
      <c r="K42" s="228"/>
    </row>
    <row r="43" spans="1:11">
      <c r="A43" s="228" t="s">
        <v>117</v>
      </c>
      <c r="B43" s="228" t="s">
        <v>1390</v>
      </c>
      <c r="C43" s="230" t="s">
        <v>1389</v>
      </c>
      <c r="D43" s="231" t="s">
        <v>1397</v>
      </c>
      <c r="E43" s="228" t="str">
        <f t="shared" si="2"/>
        <v>승용만21세이상2억법인사업자특약</v>
      </c>
      <c r="F43" s="227">
        <v>1271000</v>
      </c>
      <c r="G43" s="227">
        <f t="shared" si="3"/>
        <v>1266000</v>
      </c>
      <c r="H43" s="227" t="s">
        <v>2083</v>
      </c>
      <c r="I43" s="227"/>
      <c r="J43" s="228"/>
      <c r="K43" s="228"/>
    </row>
    <row r="44" spans="1:11">
      <c r="A44" s="228" t="s">
        <v>117</v>
      </c>
      <c r="B44" s="228" t="s">
        <v>1391</v>
      </c>
      <c r="C44" s="229" t="s">
        <v>100</v>
      </c>
      <c r="D44" s="231" t="s">
        <v>1397</v>
      </c>
      <c r="E44" s="228" t="str">
        <f t="shared" si="2"/>
        <v>승용만26세이상1억법인사업자특약</v>
      </c>
      <c r="F44" s="227">
        <v>742000</v>
      </c>
      <c r="G44" s="227">
        <f t="shared" si="3"/>
        <v>737000</v>
      </c>
      <c r="H44" s="227" t="s">
        <v>2083</v>
      </c>
      <c r="I44" s="227"/>
      <c r="J44" s="228"/>
      <c r="K44" s="228"/>
    </row>
    <row r="45" spans="1:11">
      <c r="A45" s="228" t="s">
        <v>117</v>
      </c>
      <c r="B45" s="228" t="s">
        <v>1391</v>
      </c>
      <c r="C45" s="230" t="s">
        <v>1389</v>
      </c>
      <c r="D45" s="231" t="s">
        <v>1397</v>
      </c>
      <c r="E45" s="228" t="str">
        <f t="shared" si="2"/>
        <v>승용만26세이상2억법인사업자특약</v>
      </c>
      <c r="F45" s="227">
        <v>755000</v>
      </c>
      <c r="G45" s="227">
        <f t="shared" si="3"/>
        <v>750000</v>
      </c>
      <c r="H45" s="227" t="s">
        <v>2083</v>
      </c>
      <c r="I45" s="227"/>
      <c r="J45" s="228"/>
      <c r="K45" s="228"/>
    </row>
    <row r="46" spans="1:11">
      <c r="A46" s="228" t="s">
        <v>1875</v>
      </c>
      <c r="B46" s="228" t="s">
        <v>2084</v>
      </c>
      <c r="C46" s="228" t="s">
        <v>100</v>
      </c>
      <c r="D46" s="228" t="s">
        <v>1397</v>
      </c>
      <c r="E46" s="228" t="str">
        <f t="shared" si="2"/>
        <v>승합만21세이상1억법인사업자특약</v>
      </c>
      <c r="F46" s="227">
        <v>1197000</v>
      </c>
      <c r="G46" s="227">
        <f t="shared" si="3"/>
        <v>1192000</v>
      </c>
      <c r="H46" s="227" t="s">
        <v>2083</v>
      </c>
      <c r="I46" s="227"/>
      <c r="J46" s="228"/>
      <c r="K46" s="228"/>
    </row>
    <row r="47" spans="1:11">
      <c r="A47" s="228" t="s">
        <v>1875</v>
      </c>
      <c r="B47" s="228" t="s">
        <v>2084</v>
      </c>
      <c r="C47" s="228" t="s">
        <v>1389</v>
      </c>
      <c r="D47" s="228" t="s">
        <v>1397</v>
      </c>
      <c r="E47" s="228" t="str">
        <f t="shared" si="2"/>
        <v>승합만21세이상2억법인사업자특약</v>
      </c>
      <c r="F47" s="227">
        <v>1219000</v>
      </c>
      <c r="G47" s="227">
        <f t="shared" si="3"/>
        <v>1214000</v>
      </c>
      <c r="H47" s="227" t="s">
        <v>2083</v>
      </c>
      <c r="I47" s="227"/>
      <c r="J47" s="228"/>
      <c r="K47" s="228"/>
    </row>
    <row r="48" spans="1:11">
      <c r="A48" s="228" t="s">
        <v>1875</v>
      </c>
      <c r="B48" s="228" t="s">
        <v>1657</v>
      </c>
      <c r="C48" s="228" t="s">
        <v>100</v>
      </c>
      <c r="D48" s="228" t="s">
        <v>1397</v>
      </c>
      <c r="E48" s="228" t="str">
        <f t="shared" si="2"/>
        <v>승합만26세이상1억법인사업자특약</v>
      </c>
      <c r="F48" s="227">
        <v>712000</v>
      </c>
      <c r="G48" s="227">
        <f t="shared" si="3"/>
        <v>707000</v>
      </c>
      <c r="H48" s="227" t="s">
        <v>2083</v>
      </c>
      <c r="I48" s="227"/>
      <c r="J48" s="228"/>
      <c r="K48" s="228"/>
    </row>
    <row r="49" spans="1:11">
      <c r="A49" s="228" t="s">
        <v>1875</v>
      </c>
      <c r="B49" s="228" t="s">
        <v>1657</v>
      </c>
      <c r="C49" s="228" t="s">
        <v>1389</v>
      </c>
      <c r="D49" s="228" t="s">
        <v>1397</v>
      </c>
      <c r="E49" s="228" t="str">
        <f t="shared" si="2"/>
        <v>승합만26세이상2억법인사업자특약</v>
      </c>
      <c r="F49" s="227">
        <v>725000</v>
      </c>
      <c r="G49" s="227">
        <f t="shared" si="3"/>
        <v>720000</v>
      </c>
      <c r="H49" s="227" t="s">
        <v>2083</v>
      </c>
      <c r="I49" s="227"/>
      <c r="J49" s="228"/>
      <c r="K49" s="228"/>
    </row>
    <row r="50" spans="1:11">
      <c r="A50" s="228" t="s">
        <v>1814</v>
      </c>
      <c r="B50" s="228" t="s">
        <v>2084</v>
      </c>
      <c r="C50" s="228" t="s">
        <v>100</v>
      </c>
      <c r="D50" s="228" t="s">
        <v>2140</v>
      </c>
      <c r="E50" s="228" t="str">
        <f t="shared" si="2"/>
        <v>다인승만21세이상1억개인사업자특약</v>
      </c>
      <c r="F50" s="227">
        <v>1131000</v>
      </c>
      <c r="G50" s="227">
        <f t="shared" si="3"/>
        <v>1126000</v>
      </c>
      <c r="H50" s="227" t="s">
        <v>2083</v>
      </c>
      <c r="I50" s="227"/>
      <c r="J50" s="228"/>
      <c r="K50" s="228"/>
    </row>
    <row r="51" spans="1:11">
      <c r="A51" s="228" t="s">
        <v>1814</v>
      </c>
      <c r="B51" s="228" t="s">
        <v>2084</v>
      </c>
      <c r="C51" s="228" t="s">
        <v>1389</v>
      </c>
      <c r="D51" s="228" t="s">
        <v>2140</v>
      </c>
      <c r="E51" s="228" t="str">
        <f t="shared" si="2"/>
        <v>다인승만21세이상2억개인사업자특약</v>
      </c>
      <c r="F51" s="227">
        <v>1157000</v>
      </c>
      <c r="G51" s="227">
        <f t="shared" si="3"/>
        <v>1152000</v>
      </c>
      <c r="H51" s="227" t="s">
        <v>2083</v>
      </c>
      <c r="I51" s="227"/>
      <c r="J51" s="228"/>
      <c r="K51" s="228"/>
    </row>
    <row r="52" spans="1:11">
      <c r="A52" s="228" t="s">
        <v>1814</v>
      </c>
      <c r="B52" s="228" t="s">
        <v>1657</v>
      </c>
      <c r="C52" s="228" t="s">
        <v>100</v>
      </c>
      <c r="D52" s="228" t="s">
        <v>2140</v>
      </c>
      <c r="E52" s="228" t="str">
        <f t="shared" si="2"/>
        <v>다인승만26세이상1억개인사업자특약</v>
      </c>
      <c r="F52" s="227">
        <v>671000</v>
      </c>
      <c r="G52" s="227">
        <f t="shared" si="3"/>
        <v>666000</v>
      </c>
      <c r="H52" s="227" t="s">
        <v>2083</v>
      </c>
      <c r="I52" s="227"/>
      <c r="J52" s="228"/>
      <c r="K52" s="228"/>
    </row>
    <row r="53" spans="1:11">
      <c r="A53" s="228" t="s">
        <v>1814</v>
      </c>
      <c r="B53" s="228" t="s">
        <v>1657</v>
      </c>
      <c r="C53" s="228" t="s">
        <v>1389</v>
      </c>
      <c r="D53" s="228" t="s">
        <v>2140</v>
      </c>
      <c r="E53" s="228" t="str">
        <f t="shared" si="2"/>
        <v>다인승만26세이상2억개인사업자특약</v>
      </c>
      <c r="F53" s="227">
        <v>686000</v>
      </c>
      <c r="G53" s="227">
        <f t="shared" si="3"/>
        <v>681000</v>
      </c>
      <c r="H53" s="227" t="s">
        <v>2083</v>
      </c>
      <c r="I53" s="227"/>
      <c r="J53" s="228"/>
      <c r="K53" s="228"/>
    </row>
    <row r="54" spans="1:11">
      <c r="A54" s="228" t="s">
        <v>1743</v>
      </c>
      <c r="B54" s="228" t="s">
        <v>2084</v>
      </c>
      <c r="C54" s="228" t="s">
        <v>100</v>
      </c>
      <c r="D54" s="228" t="s">
        <v>2140</v>
      </c>
      <c r="E54" s="228" t="str">
        <f t="shared" si="2"/>
        <v>승용만21세이상1억개인사업자특약</v>
      </c>
      <c r="F54" s="227">
        <v>1257000</v>
      </c>
      <c r="G54" s="227">
        <f t="shared" si="3"/>
        <v>1252000</v>
      </c>
      <c r="H54" s="227" t="s">
        <v>2083</v>
      </c>
      <c r="I54" s="227"/>
      <c r="J54" s="228"/>
      <c r="K54" s="228"/>
    </row>
    <row r="55" spans="1:11">
      <c r="A55" s="228" t="s">
        <v>1743</v>
      </c>
      <c r="B55" s="228" t="s">
        <v>2084</v>
      </c>
      <c r="C55" s="228" t="s">
        <v>1389</v>
      </c>
      <c r="D55" s="228" t="s">
        <v>2140</v>
      </c>
      <c r="E55" s="228" t="str">
        <f t="shared" si="2"/>
        <v>승용만21세이상2억개인사업자특약</v>
      </c>
      <c r="F55" s="227">
        <v>1280000</v>
      </c>
      <c r="G55" s="227">
        <f t="shared" si="3"/>
        <v>1275000</v>
      </c>
      <c r="H55" s="227" t="s">
        <v>2083</v>
      </c>
      <c r="I55" s="227"/>
      <c r="J55" s="228"/>
      <c r="K55" s="228"/>
    </row>
    <row r="56" spans="1:11">
      <c r="A56" s="228" t="s">
        <v>117</v>
      </c>
      <c r="B56" s="228" t="s">
        <v>1391</v>
      </c>
      <c r="C56" s="229" t="s">
        <v>100</v>
      </c>
      <c r="D56" s="228" t="s">
        <v>2140</v>
      </c>
      <c r="E56" s="228" t="str">
        <f t="shared" si="2"/>
        <v>승용만26세이상1억개인사업자특약</v>
      </c>
      <c r="F56" s="227">
        <v>747000</v>
      </c>
      <c r="G56" s="227">
        <f t="shared" si="3"/>
        <v>742000</v>
      </c>
      <c r="H56" s="227" t="s">
        <v>2083</v>
      </c>
      <c r="I56" s="227"/>
      <c r="J56" s="228"/>
      <c r="K56" s="228"/>
    </row>
    <row r="57" spans="1:11">
      <c r="A57" s="228" t="s">
        <v>117</v>
      </c>
      <c r="B57" s="228" t="s">
        <v>1391</v>
      </c>
      <c r="C57" s="230" t="s">
        <v>1389</v>
      </c>
      <c r="D57" s="228" t="s">
        <v>2140</v>
      </c>
      <c r="E57" s="228" t="str">
        <f t="shared" si="2"/>
        <v>승용만26세이상2억개인사업자특약</v>
      </c>
      <c r="F57" s="227">
        <v>761000</v>
      </c>
      <c r="G57" s="227">
        <f t="shared" si="3"/>
        <v>756000</v>
      </c>
      <c r="H57" s="227" t="s">
        <v>2083</v>
      </c>
      <c r="I57" s="227"/>
      <c r="J57" s="228"/>
      <c r="K57" s="228"/>
    </row>
    <row r="58" spans="1:11">
      <c r="A58" s="228" t="s">
        <v>1875</v>
      </c>
      <c r="B58" s="228" t="s">
        <v>2084</v>
      </c>
      <c r="C58" s="228" t="s">
        <v>100</v>
      </c>
      <c r="D58" s="228" t="s">
        <v>2140</v>
      </c>
      <c r="E58" s="228" t="str">
        <f t="shared" si="2"/>
        <v>승합만21세이상1억개인사업자특약</v>
      </c>
      <c r="F58" s="227">
        <v>1197000</v>
      </c>
      <c r="G58" s="227">
        <f t="shared" si="3"/>
        <v>1192000</v>
      </c>
      <c r="H58" s="227" t="s">
        <v>2083</v>
      </c>
      <c r="I58" s="227"/>
      <c r="J58" s="228"/>
      <c r="K58" s="228"/>
    </row>
    <row r="59" spans="1:11">
      <c r="A59" s="228" t="s">
        <v>1875</v>
      </c>
      <c r="B59" s="228" t="s">
        <v>2084</v>
      </c>
      <c r="C59" s="228" t="s">
        <v>1389</v>
      </c>
      <c r="D59" s="228" t="s">
        <v>2140</v>
      </c>
      <c r="E59" s="228" t="str">
        <f t="shared" si="2"/>
        <v>승합만21세이상2억개인사업자특약</v>
      </c>
      <c r="F59" s="227">
        <v>1219000</v>
      </c>
      <c r="G59" s="227">
        <f t="shared" si="3"/>
        <v>1214000</v>
      </c>
      <c r="H59" s="227" t="s">
        <v>2083</v>
      </c>
      <c r="I59" s="227"/>
      <c r="J59" s="228"/>
      <c r="K59" s="228"/>
    </row>
    <row r="60" spans="1:11">
      <c r="A60" s="228" t="s">
        <v>1875</v>
      </c>
      <c r="B60" s="228" t="s">
        <v>1657</v>
      </c>
      <c r="C60" s="228" t="s">
        <v>100</v>
      </c>
      <c r="D60" s="228" t="s">
        <v>2140</v>
      </c>
      <c r="E60" s="228" t="str">
        <f t="shared" si="2"/>
        <v>승합만26세이상1억개인사업자특약</v>
      </c>
      <c r="F60" s="227">
        <v>712000</v>
      </c>
      <c r="G60" s="227">
        <f t="shared" si="3"/>
        <v>707000</v>
      </c>
      <c r="H60" s="227" t="s">
        <v>2083</v>
      </c>
      <c r="I60" s="227"/>
      <c r="J60" s="228"/>
      <c r="K60" s="228"/>
    </row>
    <row r="61" spans="1:11">
      <c r="A61" s="228" t="s">
        <v>1875</v>
      </c>
      <c r="B61" s="228" t="s">
        <v>1657</v>
      </c>
      <c r="C61" s="228" t="s">
        <v>1389</v>
      </c>
      <c r="D61" s="228" t="s">
        <v>2140</v>
      </c>
      <c r="E61" s="228" t="str">
        <f t="shared" si="2"/>
        <v>승합만26세이상2억개인사업자특약</v>
      </c>
      <c r="F61" s="227">
        <v>725000</v>
      </c>
      <c r="G61" s="227">
        <f t="shared" si="3"/>
        <v>720000</v>
      </c>
      <c r="H61" s="227" t="s">
        <v>2083</v>
      </c>
      <c r="I61" s="227"/>
      <c r="J61" s="228"/>
      <c r="K61" s="228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2"/>
  <dimension ref="A1:J155"/>
  <sheetViews>
    <sheetView topLeftCell="A119" workbookViewId="0">
      <selection activeCell="G1" sqref="G1:J149"/>
    </sheetView>
  </sheetViews>
  <sheetFormatPr defaultRowHeight="16.5"/>
  <cols>
    <col min="1" max="1" width="28.375" bestFit="1" customWidth="1"/>
    <col min="2" max="4" width="5.5" bestFit="1" customWidth="1"/>
    <col min="7" max="7" width="44.375" bestFit="1" customWidth="1"/>
  </cols>
  <sheetData>
    <row r="1" spans="1:10">
      <c r="A1" t="s">
        <v>41</v>
      </c>
      <c r="B1">
        <v>36</v>
      </c>
      <c r="C1">
        <v>48</v>
      </c>
      <c r="D1">
        <v>60</v>
      </c>
      <c r="G1" t="s">
        <v>41</v>
      </c>
      <c r="H1">
        <v>36</v>
      </c>
      <c r="I1">
        <v>48</v>
      </c>
      <c r="J1">
        <v>60</v>
      </c>
    </row>
    <row r="2" spans="1:10">
      <c r="A2" t="s">
        <v>1649</v>
      </c>
      <c r="B2">
        <v>61</v>
      </c>
      <c r="C2">
        <v>54</v>
      </c>
      <c r="D2">
        <v>45</v>
      </c>
      <c r="G2" s="182" t="s">
        <v>1940</v>
      </c>
      <c r="H2">
        <v>61</v>
      </c>
      <c r="I2">
        <v>54</v>
      </c>
      <c r="J2">
        <v>45</v>
      </c>
    </row>
    <row r="3" spans="1:10">
      <c r="A3" t="s">
        <v>1705</v>
      </c>
      <c r="B3">
        <v>55</v>
      </c>
      <c r="C3">
        <v>48</v>
      </c>
      <c r="D3">
        <v>39</v>
      </c>
      <c r="G3" s="182" t="s">
        <v>1943</v>
      </c>
      <c r="H3">
        <v>61</v>
      </c>
      <c r="I3">
        <v>54</v>
      </c>
      <c r="J3">
        <v>45</v>
      </c>
    </row>
    <row r="4" spans="1:10">
      <c r="A4" t="s">
        <v>1706</v>
      </c>
      <c r="B4">
        <v>56</v>
      </c>
      <c r="C4">
        <v>49</v>
      </c>
      <c r="D4">
        <v>41</v>
      </c>
      <c r="G4" s="182" t="s">
        <v>1944</v>
      </c>
      <c r="H4">
        <v>61</v>
      </c>
      <c r="I4">
        <v>54</v>
      </c>
      <c r="J4">
        <v>45</v>
      </c>
    </row>
    <row r="5" spans="1:10">
      <c r="G5" s="182" t="s">
        <v>1945</v>
      </c>
      <c r="H5">
        <v>61</v>
      </c>
      <c r="I5">
        <v>54</v>
      </c>
      <c r="J5">
        <v>45</v>
      </c>
    </row>
    <row r="6" spans="1:10">
      <c r="G6" s="182" t="s">
        <v>1946</v>
      </c>
      <c r="H6">
        <v>55</v>
      </c>
      <c r="I6">
        <v>48</v>
      </c>
      <c r="J6">
        <v>39</v>
      </c>
    </row>
    <row r="7" spans="1:10">
      <c r="G7" s="182" t="s">
        <v>1947</v>
      </c>
      <c r="H7">
        <v>55</v>
      </c>
      <c r="I7">
        <v>48</v>
      </c>
      <c r="J7">
        <v>39</v>
      </c>
    </row>
    <row r="8" spans="1:10">
      <c r="G8" s="182" t="s">
        <v>1948</v>
      </c>
      <c r="H8">
        <v>55</v>
      </c>
      <c r="I8">
        <v>48</v>
      </c>
      <c r="J8">
        <v>39</v>
      </c>
    </row>
    <row r="9" spans="1:10">
      <c r="G9" s="182" t="s">
        <v>1949</v>
      </c>
      <c r="H9">
        <v>55</v>
      </c>
      <c r="I9">
        <v>48</v>
      </c>
      <c r="J9">
        <v>39</v>
      </c>
    </row>
    <row r="10" spans="1:10">
      <c r="G10" s="182" t="s">
        <v>1950</v>
      </c>
      <c r="H10">
        <v>56</v>
      </c>
      <c r="I10">
        <v>49</v>
      </c>
      <c r="J10">
        <v>41</v>
      </c>
    </row>
    <row r="11" spans="1:10">
      <c r="G11" s="182" t="s">
        <v>1951</v>
      </c>
      <c r="H11">
        <v>56</v>
      </c>
      <c r="I11">
        <v>49</v>
      </c>
      <c r="J11">
        <v>41</v>
      </c>
    </row>
    <row r="12" spans="1:10">
      <c r="G12" s="182" t="s">
        <v>1952</v>
      </c>
      <c r="H12">
        <v>56</v>
      </c>
      <c r="I12">
        <v>49</v>
      </c>
      <c r="J12">
        <v>41</v>
      </c>
    </row>
    <row r="13" spans="1:10">
      <c r="G13" s="182" t="s">
        <v>1953</v>
      </c>
      <c r="H13">
        <v>56</v>
      </c>
      <c r="I13">
        <v>49</v>
      </c>
      <c r="J13">
        <v>41</v>
      </c>
    </row>
    <row r="14" spans="1:10">
      <c r="A14" t="s">
        <v>1707</v>
      </c>
      <c r="B14">
        <v>55</v>
      </c>
      <c r="C14">
        <v>46</v>
      </c>
      <c r="D14">
        <v>39</v>
      </c>
      <c r="G14" s="182" t="s">
        <v>1899</v>
      </c>
      <c r="H14">
        <v>55</v>
      </c>
      <c r="I14">
        <v>46</v>
      </c>
      <c r="J14">
        <v>39</v>
      </c>
    </row>
    <row r="15" spans="1:10">
      <c r="A15" t="s">
        <v>1708</v>
      </c>
      <c r="B15">
        <v>55</v>
      </c>
      <c r="C15">
        <v>44</v>
      </c>
      <c r="D15">
        <v>36</v>
      </c>
      <c r="G15" s="182" t="s">
        <v>1901</v>
      </c>
      <c r="H15">
        <v>55</v>
      </c>
      <c r="I15">
        <v>46</v>
      </c>
      <c r="J15">
        <v>39</v>
      </c>
    </row>
    <row r="16" spans="1:10">
      <c r="G16" s="182" t="s">
        <v>1903</v>
      </c>
      <c r="H16">
        <v>55</v>
      </c>
      <c r="I16">
        <v>44</v>
      </c>
      <c r="J16">
        <v>36</v>
      </c>
    </row>
    <row r="17" spans="1:10">
      <c r="G17" s="182" t="s">
        <v>1905</v>
      </c>
      <c r="H17">
        <v>55</v>
      </c>
      <c r="I17">
        <v>44</v>
      </c>
      <c r="J17">
        <v>36</v>
      </c>
    </row>
    <row r="18" spans="1:10">
      <c r="A18" t="s">
        <v>1709</v>
      </c>
      <c r="B18">
        <v>58</v>
      </c>
      <c r="C18">
        <v>50</v>
      </c>
      <c r="D18">
        <v>43</v>
      </c>
      <c r="G18" s="182" t="s">
        <v>1907</v>
      </c>
      <c r="H18">
        <v>58</v>
      </c>
      <c r="I18">
        <v>50</v>
      </c>
      <c r="J18">
        <v>43</v>
      </c>
    </row>
    <row r="19" spans="1:10">
      <c r="A19" t="s">
        <v>1710</v>
      </c>
      <c r="B19">
        <v>58</v>
      </c>
      <c r="C19">
        <v>50</v>
      </c>
      <c r="D19">
        <v>42</v>
      </c>
      <c r="G19" s="182" t="s">
        <v>1908</v>
      </c>
      <c r="H19">
        <v>58</v>
      </c>
      <c r="I19">
        <v>50</v>
      </c>
      <c r="J19">
        <v>43</v>
      </c>
    </row>
    <row r="20" spans="1:10">
      <c r="A20" t="s">
        <v>1664</v>
      </c>
      <c r="B20">
        <v>55</v>
      </c>
      <c r="C20">
        <v>48</v>
      </c>
      <c r="D20">
        <v>40</v>
      </c>
      <c r="G20" s="182" t="s">
        <v>1910</v>
      </c>
      <c r="H20">
        <v>58</v>
      </c>
      <c r="I20">
        <v>50</v>
      </c>
      <c r="J20">
        <v>43</v>
      </c>
    </row>
    <row r="21" spans="1:10">
      <c r="G21" s="182" t="s">
        <v>1911</v>
      </c>
      <c r="H21">
        <v>58</v>
      </c>
      <c r="I21">
        <v>50</v>
      </c>
      <c r="J21">
        <v>43</v>
      </c>
    </row>
    <row r="22" spans="1:10">
      <c r="G22" s="182" t="s">
        <v>1913</v>
      </c>
      <c r="H22">
        <v>58</v>
      </c>
      <c r="I22">
        <v>50</v>
      </c>
      <c r="J22">
        <v>42</v>
      </c>
    </row>
    <row r="23" spans="1:10">
      <c r="G23" s="182" t="s">
        <v>1914</v>
      </c>
      <c r="H23">
        <v>58</v>
      </c>
      <c r="I23">
        <v>50</v>
      </c>
      <c r="J23">
        <v>42</v>
      </c>
    </row>
    <row r="24" spans="1:10">
      <c r="G24" s="182" t="s">
        <v>1916</v>
      </c>
      <c r="H24">
        <v>55</v>
      </c>
      <c r="I24">
        <v>48</v>
      </c>
      <c r="J24">
        <v>40</v>
      </c>
    </row>
    <row r="25" spans="1:10">
      <c r="G25" s="182" t="s">
        <v>1917</v>
      </c>
      <c r="H25">
        <v>55</v>
      </c>
      <c r="I25">
        <v>48</v>
      </c>
      <c r="J25">
        <v>40</v>
      </c>
    </row>
    <row r="26" spans="1:10">
      <c r="G26" s="182" t="s">
        <v>1918</v>
      </c>
      <c r="H26">
        <v>55</v>
      </c>
      <c r="I26">
        <v>48</v>
      </c>
      <c r="J26">
        <v>40</v>
      </c>
    </row>
    <row r="27" spans="1:10">
      <c r="G27" s="182" t="s">
        <v>1919</v>
      </c>
      <c r="H27">
        <v>55</v>
      </c>
      <c r="I27">
        <v>48</v>
      </c>
      <c r="J27">
        <v>40</v>
      </c>
    </row>
    <row r="28" spans="1:10">
      <c r="A28" t="s">
        <v>1713</v>
      </c>
      <c r="B28">
        <v>57.5</v>
      </c>
      <c r="C28">
        <v>49.5</v>
      </c>
      <c r="D28">
        <v>40.5</v>
      </c>
      <c r="G28" s="182" t="s">
        <v>1920</v>
      </c>
      <c r="H28">
        <v>57.5</v>
      </c>
      <c r="I28">
        <v>49.5</v>
      </c>
      <c r="J28">
        <v>40.5</v>
      </c>
    </row>
    <row r="29" spans="1:10">
      <c r="A29" t="s">
        <v>2074</v>
      </c>
      <c r="B29">
        <v>57.5</v>
      </c>
      <c r="C29">
        <v>49.5</v>
      </c>
      <c r="D29">
        <v>40.5</v>
      </c>
      <c r="G29" s="182" t="s">
        <v>2076</v>
      </c>
      <c r="H29">
        <v>57.5</v>
      </c>
      <c r="I29">
        <v>49.5</v>
      </c>
      <c r="J29">
        <v>40.5</v>
      </c>
    </row>
    <row r="30" spans="1:10">
      <c r="A30" t="s">
        <v>1714</v>
      </c>
      <c r="B30">
        <v>57.5</v>
      </c>
      <c r="C30">
        <v>49.5</v>
      </c>
      <c r="D30">
        <v>40.5</v>
      </c>
      <c r="G30" s="182" t="s">
        <v>1922</v>
      </c>
      <c r="H30">
        <v>57.5</v>
      </c>
      <c r="I30">
        <v>49.5</v>
      </c>
      <c r="J30">
        <v>40.5</v>
      </c>
    </row>
    <row r="31" spans="1:10">
      <c r="A31" t="s">
        <v>1715</v>
      </c>
      <c r="B31">
        <v>57.5</v>
      </c>
      <c r="C31">
        <v>49.5</v>
      </c>
      <c r="D31">
        <v>40.5</v>
      </c>
      <c r="G31" s="182" t="s">
        <v>1924</v>
      </c>
      <c r="H31">
        <v>57.5</v>
      </c>
      <c r="I31">
        <v>49.5</v>
      </c>
      <c r="J31">
        <v>40.5</v>
      </c>
    </row>
    <row r="32" spans="1:10">
      <c r="A32" t="s">
        <v>2075</v>
      </c>
      <c r="B32">
        <v>57.5</v>
      </c>
      <c r="C32">
        <v>49.5</v>
      </c>
      <c r="D32">
        <v>40.5</v>
      </c>
      <c r="G32" s="182" t="s">
        <v>2077</v>
      </c>
      <c r="H32">
        <v>57.5</v>
      </c>
      <c r="I32">
        <v>49.5</v>
      </c>
      <c r="J32">
        <v>40.5</v>
      </c>
    </row>
    <row r="33" spans="1:10">
      <c r="A33" t="s">
        <v>1716</v>
      </c>
      <c r="B33">
        <v>57.5</v>
      </c>
      <c r="C33">
        <v>49.5</v>
      </c>
      <c r="D33">
        <v>40.5</v>
      </c>
      <c r="G33" s="182" t="s">
        <v>1926</v>
      </c>
      <c r="H33">
        <v>57.5</v>
      </c>
      <c r="I33">
        <v>49.5</v>
      </c>
      <c r="J33">
        <v>40.5</v>
      </c>
    </row>
    <row r="34" spans="1:10">
      <c r="A34" t="s">
        <v>1711</v>
      </c>
      <c r="B34">
        <v>55</v>
      </c>
      <c r="C34">
        <v>48</v>
      </c>
      <c r="D34">
        <v>40</v>
      </c>
      <c r="G34" s="182" t="s">
        <v>1928</v>
      </c>
      <c r="H34">
        <v>57.5</v>
      </c>
      <c r="I34">
        <v>49.5</v>
      </c>
      <c r="J34">
        <v>40.5</v>
      </c>
    </row>
    <row r="35" spans="1:10">
      <c r="A35" t="s">
        <v>2073</v>
      </c>
      <c r="B35">
        <v>55</v>
      </c>
      <c r="C35">
        <v>48</v>
      </c>
      <c r="D35">
        <v>40</v>
      </c>
      <c r="G35" s="182" t="s">
        <v>2078</v>
      </c>
      <c r="H35">
        <v>57.5</v>
      </c>
      <c r="I35">
        <v>49.5</v>
      </c>
      <c r="J35">
        <v>40.5</v>
      </c>
    </row>
    <row r="36" spans="1:10">
      <c r="A36" t="s">
        <v>1712</v>
      </c>
      <c r="B36">
        <v>55</v>
      </c>
      <c r="C36">
        <v>48</v>
      </c>
      <c r="D36">
        <v>40</v>
      </c>
      <c r="G36" s="182" t="s">
        <v>1930</v>
      </c>
      <c r="H36">
        <v>57.5</v>
      </c>
      <c r="I36">
        <v>49.5</v>
      </c>
      <c r="J36">
        <v>40.5</v>
      </c>
    </row>
    <row r="37" spans="1:10">
      <c r="G37" s="182" t="s">
        <v>1932</v>
      </c>
      <c r="H37">
        <v>57.5</v>
      </c>
      <c r="I37">
        <v>49.5</v>
      </c>
      <c r="J37">
        <v>40.5</v>
      </c>
    </row>
    <row r="38" spans="1:10">
      <c r="G38" s="182" t="s">
        <v>2079</v>
      </c>
      <c r="H38">
        <v>57.5</v>
      </c>
      <c r="I38">
        <v>49.5</v>
      </c>
      <c r="J38">
        <v>40.5</v>
      </c>
    </row>
    <row r="39" spans="1:10">
      <c r="G39" s="182" t="s">
        <v>1934</v>
      </c>
      <c r="H39">
        <v>57.5</v>
      </c>
      <c r="I39">
        <v>49.5</v>
      </c>
      <c r="J39">
        <v>40.5</v>
      </c>
    </row>
    <row r="40" spans="1:10">
      <c r="G40" s="182" t="s">
        <v>1936</v>
      </c>
      <c r="H40">
        <v>55</v>
      </c>
      <c r="I40">
        <v>48</v>
      </c>
      <c r="J40">
        <v>40</v>
      </c>
    </row>
    <row r="41" spans="1:10">
      <c r="G41" s="182" t="s">
        <v>2053</v>
      </c>
      <c r="H41">
        <v>55</v>
      </c>
      <c r="I41">
        <v>48</v>
      </c>
      <c r="J41">
        <v>40</v>
      </c>
    </row>
    <row r="42" spans="1:10">
      <c r="G42" s="182" t="s">
        <v>1937</v>
      </c>
      <c r="H42">
        <v>55</v>
      </c>
      <c r="I42">
        <v>48</v>
      </c>
      <c r="J42">
        <v>40</v>
      </c>
    </row>
    <row r="43" spans="1:10">
      <c r="G43" s="182" t="s">
        <v>1938</v>
      </c>
      <c r="H43">
        <v>55</v>
      </c>
      <c r="I43">
        <v>48</v>
      </c>
      <c r="J43">
        <v>40</v>
      </c>
    </row>
    <row r="44" spans="1:10">
      <c r="G44" s="182" t="s">
        <v>2054</v>
      </c>
      <c r="H44">
        <v>55</v>
      </c>
      <c r="I44">
        <v>48</v>
      </c>
      <c r="J44">
        <v>40</v>
      </c>
    </row>
    <row r="45" spans="1:10">
      <c r="G45" s="182" t="s">
        <v>1939</v>
      </c>
      <c r="H45">
        <v>55</v>
      </c>
      <c r="I45">
        <v>48</v>
      </c>
      <c r="J45">
        <v>40</v>
      </c>
    </row>
    <row r="46" spans="1:10">
      <c r="A46" t="s">
        <v>1652</v>
      </c>
      <c r="B46">
        <v>60</v>
      </c>
      <c r="C46">
        <v>53</v>
      </c>
      <c r="D46">
        <v>44</v>
      </c>
      <c r="G46" s="182" t="s">
        <v>2012</v>
      </c>
      <c r="H46">
        <v>60</v>
      </c>
      <c r="I46">
        <v>52</v>
      </c>
      <c r="J46">
        <v>42</v>
      </c>
    </row>
    <row r="47" spans="1:10">
      <c r="A47" t="s">
        <v>1653</v>
      </c>
      <c r="B47">
        <v>60</v>
      </c>
      <c r="C47">
        <v>53</v>
      </c>
      <c r="D47">
        <v>44</v>
      </c>
      <c r="G47" s="182" t="s">
        <v>2013</v>
      </c>
      <c r="H47">
        <v>60</v>
      </c>
      <c r="I47">
        <v>52</v>
      </c>
      <c r="J47">
        <v>42</v>
      </c>
    </row>
    <row r="48" spans="1:10">
      <c r="A48" t="s">
        <v>1650</v>
      </c>
      <c r="B48">
        <v>60</v>
      </c>
      <c r="C48">
        <v>52</v>
      </c>
      <c r="D48">
        <v>42</v>
      </c>
      <c r="G48" s="182" t="s">
        <v>2014</v>
      </c>
      <c r="H48">
        <v>60</v>
      </c>
      <c r="I48">
        <v>52</v>
      </c>
      <c r="J48">
        <v>42</v>
      </c>
    </row>
    <row r="49" spans="1:10">
      <c r="A49" t="s">
        <v>1651</v>
      </c>
      <c r="B49">
        <v>60</v>
      </c>
      <c r="C49">
        <v>52</v>
      </c>
      <c r="D49">
        <v>42</v>
      </c>
      <c r="G49" s="182" t="s">
        <v>2015</v>
      </c>
      <c r="H49">
        <v>60</v>
      </c>
      <c r="I49">
        <v>52</v>
      </c>
      <c r="J49">
        <v>42</v>
      </c>
    </row>
    <row r="50" spans="1:10">
      <c r="G50" s="182" t="s">
        <v>2016</v>
      </c>
      <c r="H50">
        <v>60</v>
      </c>
      <c r="I50">
        <v>52</v>
      </c>
      <c r="J50">
        <v>42</v>
      </c>
    </row>
    <row r="51" spans="1:10">
      <c r="G51" s="182" t="s">
        <v>2017</v>
      </c>
      <c r="H51">
        <v>60</v>
      </c>
      <c r="I51">
        <v>52</v>
      </c>
      <c r="J51">
        <v>42</v>
      </c>
    </row>
    <row r="52" spans="1:10">
      <c r="G52" s="182" t="s">
        <v>2018</v>
      </c>
      <c r="H52">
        <v>60</v>
      </c>
      <c r="I52">
        <v>52</v>
      </c>
      <c r="J52">
        <v>42</v>
      </c>
    </row>
    <row r="53" spans="1:10">
      <c r="G53" s="182" t="s">
        <v>2019</v>
      </c>
      <c r="H53">
        <v>60</v>
      </c>
      <c r="I53">
        <v>52</v>
      </c>
      <c r="J53">
        <v>42</v>
      </c>
    </row>
    <row r="54" spans="1:10">
      <c r="G54" s="182" t="s">
        <v>2020</v>
      </c>
      <c r="H54">
        <v>60</v>
      </c>
      <c r="I54">
        <v>52</v>
      </c>
      <c r="J54">
        <v>42</v>
      </c>
    </row>
    <row r="55" spans="1:10">
      <c r="G55" s="182" t="s">
        <v>2021</v>
      </c>
      <c r="H55">
        <v>60</v>
      </c>
      <c r="I55">
        <v>52</v>
      </c>
      <c r="J55">
        <v>42</v>
      </c>
    </row>
    <row r="56" spans="1:10">
      <c r="G56" s="182" t="s">
        <v>2022</v>
      </c>
      <c r="H56">
        <v>60</v>
      </c>
      <c r="I56">
        <v>52</v>
      </c>
      <c r="J56">
        <v>42</v>
      </c>
    </row>
    <row r="57" spans="1:10">
      <c r="G57" s="182" t="s">
        <v>2023</v>
      </c>
      <c r="H57">
        <v>60</v>
      </c>
      <c r="I57">
        <v>52</v>
      </c>
      <c r="J57">
        <v>42</v>
      </c>
    </row>
    <row r="58" spans="1:10">
      <c r="G58" s="182" t="s">
        <v>2024</v>
      </c>
      <c r="H58">
        <v>60</v>
      </c>
      <c r="I58">
        <v>53</v>
      </c>
      <c r="J58">
        <v>44</v>
      </c>
    </row>
    <row r="59" spans="1:10">
      <c r="G59" s="182" t="s">
        <v>2025</v>
      </c>
      <c r="H59">
        <v>60</v>
      </c>
      <c r="I59">
        <v>53</v>
      </c>
      <c r="J59">
        <v>44</v>
      </c>
    </row>
    <row r="60" spans="1:10">
      <c r="G60" s="182" t="s">
        <v>2026</v>
      </c>
      <c r="H60">
        <v>60</v>
      </c>
      <c r="I60">
        <v>53</v>
      </c>
      <c r="J60">
        <v>44</v>
      </c>
    </row>
    <row r="61" spans="1:10">
      <c r="G61" s="182" t="s">
        <v>2027</v>
      </c>
      <c r="H61">
        <v>60</v>
      </c>
      <c r="I61">
        <v>53</v>
      </c>
      <c r="J61">
        <v>44</v>
      </c>
    </row>
    <row r="62" spans="1:10">
      <c r="G62" s="182" t="s">
        <v>2029</v>
      </c>
      <c r="H62">
        <v>60</v>
      </c>
      <c r="I62">
        <v>53</v>
      </c>
      <c r="J62">
        <v>44</v>
      </c>
    </row>
    <row r="63" spans="1:10">
      <c r="G63" s="182" t="s">
        <v>2030</v>
      </c>
      <c r="H63">
        <v>60</v>
      </c>
      <c r="I63">
        <v>53</v>
      </c>
      <c r="J63">
        <v>44</v>
      </c>
    </row>
    <row r="64" spans="1:10">
      <c r="G64" s="182" t="s">
        <v>2031</v>
      </c>
      <c r="H64">
        <v>60</v>
      </c>
      <c r="I64">
        <v>53</v>
      </c>
      <c r="J64">
        <v>44</v>
      </c>
    </row>
    <row r="65" spans="1:10">
      <c r="G65" s="182" t="s">
        <v>2032</v>
      </c>
      <c r="H65">
        <v>60</v>
      </c>
      <c r="I65">
        <v>53</v>
      </c>
      <c r="J65">
        <v>44</v>
      </c>
    </row>
    <row r="66" spans="1:10">
      <c r="G66" s="182" t="s">
        <v>2033</v>
      </c>
      <c r="H66">
        <v>60</v>
      </c>
      <c r="I66">
        <v>53</v>
      </c>
      <c r="J66">
        <v>44</v>
      </c>
    </row>
    <row r="67" spans="1:10">
      <c r="G67" s="182" t="s">
        <v>2034</v>
      </c>
      <c r="H67">
        <v>60</v>
      </c>
      <c r="I67">
        <v>53</v>
      </c>
      <c r="J67">
        <v>44</v>
      </c>
    </row>
    <row r="68" spans="1:10">
      <c r="G68" s="182" t="s">
        <v>2035</v>
      </c>
      <c r="H68">
        <v>60</v>
      </c>
      <c r="I68">
        <v>53</v>
      </c>
      <c r="J68">
        <v>44</v>
      </c>
    </row>
    <row r="69" spans="1:10">
      <c r="G69" s="182" t="s">
        <v>2036</v>
      </c>
      <c r="H69">
        <v>60</v>
      </c>
      <c r="I69">
        <v>53</v>
      </c>
      <c r="J69">
        <v>44</v>
      </c>
    </row>
    <row r="70" spans="1:10">
      <c r="A70" t="s">
        <v>1641</v>
      </c>
      <c r="B70">
        <v>59</v>
      </c>
      <c r="C70">
        <v>52</v>
      </c>
      <c r="D70">
        <v>43.5</v>
      </c>
      <c r="G70" s="30" t="s">
        <v>1755</v>
      </c>
      <c r="H70">
        <v>59</v>
      </c>
      <c r="I70">
        <v>52</v>
      </c>
      <c r="J70">
        <v>43.5</v>
      </c>
    </row>
    <row r="71" spans="1:10">
      <c r="A71" t="s">
        <v>1642</v>
      </c>
      <c r="B71">
        <v>57.5</v>
      </c>
      <c r="C71">
        <v>49.5</v>
      </c>
      <c r="D71">
        <v>39</v>
      </c>
      <c r="G71" s="30" t="s">
        <v>1758</v>
      </c>
      <c r="H71">
        <v>59</v>
      </c>
      <c r="I71">
        <v>52</v>
      </c>
      <c r="J71">
        <v>43.5</v>
      </c>
    </row>
    <row r="72" spans="1:10">
      <c r="A72" t="s">
        <v>1643</v>
      </c>
      <c r="B72">
        <v>52</v>
      </c>
      <c r="C72">
        <v>45</v>
      </c>
      <c r="D72">
        <v>37</v>
      </c>
      <c r="G72" s="30" t="s">
        <v>1760</v>
      </c>
      <c r="H72">
        <v>59</v>
      </c>
      <c r="I72">
        <v>52</v>
      </c>
      <c r="J72">
        <v>43.5</v>
      </c>
    </row>
    <row r="73" spans="1:10">
      <c r="G73" s="30" t="s">
        <v>1762</v>
      </c>
      <c r="H73">
        <v>57.5</v>
      </c>
      <c r="I73">
        <v>49.5</v>
      </c>
      <c r="J73">
        <v>39</v>
      </c>
    </row>
    <row r="74" spans="1:10">
      <c r="G74" s="30" t="s">
        <v>1765</v>
      </c>
      <c r="H74">
        <v>57.5</v>
      </c>
      <c r="I74">
        <v>49.5</v>
      </c>
      <c r="J74">
        <v>39</v>
      </c>
    </row>
    <row r="75" spans="1:10">
      <c r="G75" s="30" t="s">
        <v>1767</v>
      </c>
      <c r="H75">
        <v>57.5</v>
      </c>
      <c r="I75">
        <v>49.5</v>
      </c>
      <c r="J75">
        <v>39</v>
      </c>
    </row>
    <row r="76" spans="1:10">
      <c r="G76" s="30" t="s">
        <v>1769</v>
      </c>
      <c r="H76">
        <v>57.5</v>
      </c>
      <c r="I76">
        <v>49.5</v>
      </c>
      <c r="J76">
        <v>39</v>
      </c>
    </row>
    <row r="77" spans="1:10">
      <c r="G77" s="30" t="s">
        <v>1771</v>
      </c>
      <c r="H77">
        <v>57.5</v>
      </c>
      <c r="I77">
        <v>49.5</v>
      </c>
      <c r="J77">
        <v>39</v>
      </c>
    </row>
    <row r="78" spans="1:10">
      <c r="G78" s="30" t="s">
        <v>1773</v>
      </c>
      <c r="H78">
        <v>57.5</v>
      </c>
      <c r="I78">
        <v>49.5</v>
      </c>
      <c r="J78">
        <v>39</v>
      </c>
    </row>
    <row r="79" spans="1:10">
      <c r="G79" s="30" t="s">
        <v>1775</v>
      </c>
      <c r="H79">
        <v>52</v>
      </c>
      <c r="I79">
        <v>45</v>
      </c>
      <c r="J79">
        <v>37</v>
      </c>
    </row>
    <row r="80" spans="1:10">
      <c r="G80" s="30" t="s">
        <v>1778</v>
      </c>
      <c r="H80">
        <v>52</v>
      </c>
      <c r="I80">
        <v>45</v>
      </c>
      <c r="J80">
        <v>37</v>
      </c>
    </row>
    <row r="81" spans="1:10">
      <c r="G81" s="30" t="s">
        <v>1779</v>
      </c>
      <c r="H81">
        <v>52</v>
      </c>
      <c r="I81">
        <v>45</v>
      </c>
      <c r="J81">
        <v>37</v>
      </c>
    </row>
    <row r="82" spans="1:10">
      <c r="A82" t="s">
        <v>1645</v>
      </c>
      <c r="B82">
        <v>57</v>
      </c>
      <c r="C82">
        <v>49</v>
      </c>
      <c r="D82">
        <v>39</v>
      </c>
      <c r="G82" s="30" t="s">
        <v>1815</v>
      </c>
      <c r="H82">
        <v>59</v>
      </c>
      <c r="I82">
        <v>51</v>
      </c>
      <c r="J82">
        <v>40</v>
      </c>
    </row>
    <row r="83" spans="1:10">
      <c r="A83" t="s">
        <v>1644</v>
      </c>
      <c r="B83">
        <v>59</v>
      </c>
      <c r="C83">
        <v>51</v>
      </c>
      <c r="D83">
        <v>40</v>
      </c>
      <c r="G83" s="30" t="s">
        <v>1818</v>
      </c>
      <c r="H83">
        <v>59</v>
      </c>
      <c r="I83">
        <v>51</v>
      </c>
      <c r="J83">
        <v>40</v>
      </c>
    </row>
    <row r="84" spans="1:10">
      <c r="G84" s="30" t="s">
        <v>1820</v>
      </c>
      <c r="H84">
        <v>59</v>
      </c>
      <c r="I84">
        <v>51</v>
      </c>
      <c r="J84">
        <v>40</v>
      </c>
    </row>
    <row r="85" spans="1:10">
      <c r="G85" s="30" t="s">
        <v>1822</v>
      </c>
      <c r="H85">
        <v>59</v>
      </c>
      <c r="I85">
        <v>51</v>
      </c>
      <c r="J85">
        <v>40</v>
      </c>
    </row>
    <row r="86" spans="1:10">
      <c r="G86" s="30" t="s">
        <v>1824</v>
      </c>
      <c r="H86">
        <v>59</v>
      </c>
      <c r="I86">
        <v>51</v>
      </c>
      <c r="J86">
        <v>40</v>
      </c>
    </row>
    <row r="87" spans="1:10">
      <c r="G87" s="30" t="s">
        <v>1826</v>
      </c>
      <c r="H87">
        <v>59</v>
      </c>
      <c r="I87">
        <v>51</v>
      </c>
      <c r="J87">
        <v>40</v>
      </c>
    </row>
    <row r="88" spans="1:10">
      <c r="G88" s="30" t="s">
        <v>1828</v>
      </c>
      <c r="H88">
        <v>59</v>
      </c>
      <c r="I88">
        <v>51</v>
      </c>
      <c r="J88">
        <v>40</v>
      </c>
    </row>
    <row r="89" spans="1:10">
      <c r="G89" s="30" t="s">
        <v>1830</v>
      </c>
      <c r="H89">
        <v>59</v>
      </c>
      <c r="I89">
        <v>51</v>
      </c>
      <c r="J89">
        <v>40</v>
      </c>
    </row>
    <row r="90" spans="1:10">
      <c r="G90" s="30" t="s">
        <v>1832</v>
      </c>
      <c r="H90">
        <v>57</v>
      </c>
      <c r="I90">
        <v>49</v>
      </c>
      <c r="J90">
        <v>39</v>
      </c>
    </row>
    <row r="91" spans="1:10">
      <c r="G91" s="30" t="s">
        <v>1833</v>
      </c>
      <c r="H91">
        <v>57</v>
      </c>
      <c r="I91">
        <v>49</v>
      </c>
      <c r="J91">
        <v>39</v>
      </c>
    </row>
    <row r="92" spans="1:10">
      <c r="G92" s="30" t="s">
        <v>1834</v>
      </c>
      <c r="H92">
        <v>57</v>
      </c>
      <c r="I92">
        <v>49</v>
      </c>
      <c r="J92">
        <v>39</v>
      </c>
    </row>
    <row r="93" spans="1:10">
      <c r="G93" s="30" t="s">
        <v>1835</v>
      </c>
      <c r="H93">
        <v>57</v>
      </c>
      <c r="I93">
        <v>49</v>
      </c>
      <c r="J93">
        <v>39</v>
      </c>
    </row>
    <row r="94" spans="1:10">
      <c r="G94" s="30" t="s">
        <v>1836</v>
      </c>
      <c r="H94">
        <v>57</v>
      </c>
      <c r="I94">
        <v>49</v>
      </c>
      <c r="J94">
        <v>39</v>
      </c>
    </row>
    <row r="95" spans="1:10">
      <c r="G95" s="30" t="s">
        <v>1837</v>
      </c>
      <c r="H95">
        <v>57</v>
      </c>
      <c r="I95">
        <v>49</v>
      </c>
      <c r="J95">
        <v>39</v>
      </c>
    </row>
    <row r="96" spans="1:10">
      <c r="G96" s="30" t="s">
        <v>1838</v>
      </c>
      <c r="H96">
        <v>57</v>
      </c>
      <c r="I96">
        <v>49</v>
      </c>
      <c r="J96">
        <v>39</v>
      </c>
    </row>
    <row r="97" spans="1:10">
      <c r="G97" s="30" t="s">
        <v>1839</v>
      </c>
      <c r="H97">
        <v>57</v>
      </c>
      <c r="I97">
        <v>49</v>
      </c>
      <c r="J97">
        <v>39</v>
      </c>
    </row>
    <row r="98" spans="1:10">
      <c r="A98" t="s">
        <v>1717</v>
      </c>
      <c r="B98">
        <v>61</v>
      </c>
      <c r="C98">
        <v>51</v>
      </c>
      <c r="D98">
        <v>44</v>
      </c>
      <c r="G98" s="30" t="s">
        <v>1842</v>
      </c>
      <c r="H98">
        <v>61</v>
      </c>
      <c r="I98">
        <v>51</v>
      </c>
      <c r="J98">
        <v>44</v>
      </c>
    </row>
    <row r="99" spans="1:10">
      <c r="A99" t="s">
        <v>1718</v>
      </c>
      <c r="B99">
        <v>61</v>
      </c>
      <c r="C99">
        <v>51</v>
      </c>
      <c r="D99">
        <v>44</v>
      </c>
      <c r="G99" s="30" t="s">
        <v>1843</v>
      </c>
      <c r="H99">
        <v>61</v>
      </c>
      <c r="I99">
        <v>51</v>
      </c>
      <c r="J99">
        <v>44</v>
      </c>
    </row>
    <row r="100" spans="1:10">
      <c r="A100" t="s">
        <v>1719</v>
      </c>
      <c r="B100">
        <v>61</v>
      </c>
      <c r="C100">
        <v>51</v>
      </c>
      <c r="D100">
        <v>44</v>
      </c>
      <c r="G100" s="30" t="s">
        <v>1844</v>
      </c>
      <c r="H100">
        <v>61</v>
      </c>
      <c r="I100">
        <v>51</v>
      </c>
      <c r="J100">
        <v>44</v>
      </c>
    </row>
    <row r="101" spans="1:10">
      <c r="G101" s="30" t="s">
        <v>1845</v>
      </c>
      <c r="H101">
        <v>61</v>
      </c>
      <c r="I101">
        <v>51</v>
      </c>
      <c r="J101">
        <v>44</v>
      </c>
    </row>
    <row r="102" spans="1:10">
      <c r="G102" s="30" t="s">
        <v>1846</v>
      </c>
      <c r="H102">
        <v>61</v>
      </c>
      <c r="I102">
        <v>51</v>
      </c>
      <c r="J102">
        <v>44</v>
      </c>
    </row>
    <row r="103" spans="1:10">
      <c r="G103" s="30" t="s">
        <v>1847</v>
      </c>
      <c r="H103">
        <v>61</v>
      </c>
      <c r="I103">
        <v>51</v>
      </c>
      <c r="J103">
        <v>44</v>
      </c>
    </row>
    <row r="104" spans="1:10">
      <c r="G104" s="30" t="s">
        <v>1848</v>
      </c>
      <c r="H104">
        <v>61</v>
      </c>
      <c r="I104">
        <v>51</v>
      </c>
      <c r="J104">
        <v>44</v>
      </c>
    </row>
    <row r="105" spans="1:10">
      <c r="G105" s="30" t="s">
        <v>1849</v>
      </c>
      <c r="H105">
        <v>61</v>
      </c>
      <c r="I105">
        <v>51</v>
      </c>
      <c r="J105">
        <v>44</v>
      </c>
    </row>
    <row r="106" spans="1:10">
      <c r="G106" s="30" t="s">
        <v>1850</v>
      </c>
      <c r="H106">
        <v>61</v>
      </c>
      <c r="I106">
        <v>51</v>
      </c>
      <c r="J106">
        <v>44</v>
      </c>
    </row>
    <row r="107" spans="1:10">
      <c r="G107" s="30" t="s">
        <v>1851</v>
      </c>
      <c r="H107">
        <v>61</v>
      </c>
      <c r="I107">
        <v>51</v>
      </c>
      <c r="J107">
        <v>44</v>
      </c>
    </row>
    <row r="108" spans="1:10">
      <c r="G108" s="182" t="s">
        <v>2055</v>
      </c>
      <c r="H108">
        <v>61</v>
      </c>
      <c r="I108">
        <v>51</v>
      </c>
      <c r="J108">
        <v>44</v>
      </c>
    </row>
    <row r="109" spans="1:10">
      <c r="G109" s="182" t="s">
        <v>2056</v>
      </c>
      <c r="H109">
        <v>61</v>
      </c>
      <c r="I109">
        <v>51</v>
      </c>
      <c r="J109">
        <v>44</v>
      </c>
    </row>
    <row r="110" spans="1:10">
      <c r="G110" s="182" t="s">
        <v>2057</v>
      </c>
      <c r="H110">
        <v>61</v>
      </c>
      <c r="I110">
        <v>51</v>
      </c>
      <c r="J110">
        <v>44</v>
      </c>
    </row>
    <row r="111" spans="1:10">
      <c r="G111" s="182" t="s">
        <v>2058</v>
      </c>
      <c r="H111">
        <v>61</v>
      </c>
      <c r="I111">
        <v>51</v>
      </c>
      <c r="J111">
        <v>44</v>
      </c>
    </row>
    <row r="112" spans="1:10">
      <c r="G112" s="182" t="s">
        <v>2059</v>
      </c>
      <c r="H112">
        <v>61</v>
      </c>
      <c r="I112">
        <v>51</v>
      </c>
      <c r="J112">
        <v>44</v>
      </c>
    </row>
    <row r="113" spans="1:10">
      <c r="G113" s="182" t="s">
        <v>2060</v>
      </c>
      <c r="H113">
        <v>61</v>
      </c>
      <c r="I113">
        <v>51</v>
      </c>
      <c r="J113">
        <v>44</v>
      </c>
    </row>
    <row r="114" spans="1:10">
      <c r="G114" s="182" t="s">
        <v>2061</v>
      </c>
      <c r="H114">
        <v>61</v>
      </c>
      <c r="I114">
        <v>51</v>
      </c>
      <c r="J114">
        <v>44</v>
      </c>
    </row>
    <row r="115" spans="1:10">
      <c r="G115" s="182" t="s">
        <v>2062</v>
      </c>
      <c r="H115">
        <v>61</v>
      </c>
      <c r="I115">
        <v>51</v>
      </c>
      <c r="J115">
        <v>44</v>
      </c>
    </row>
    <row r="116" spans="1:10">
      <c r="G116" s="182" t="s">
        <v>2063</v>
      </c>
      <c r="H116">
        <v>61</v>
      </c>
      <c r="I116">
        <v>51</v>
      </c>
      <c r="J116">
        <v>44</v>
      </c>
    </row>
    <row r="117" spans="1:10">
      <c r="G117" s="182" t="s">
        <v>2064</v>
      </c>
      <c r="H117">
        <v>61</v>
      </c>
      <c r="I117">
        <v>51</v>
      </c>
      <c r="J117">
        <v>44</v>
      </c>
    </row>
    <row r="118" spans="1:10">
      <c r="A118" t="s">
        <v>1737</v>
      </c>
      <c r="B118">
        <v>57.5</v>
      </c>
      <c r="C118">
        <v>50</v>
      </c>
      <c r="D118">
        <v>42</v>
      </c>
      <c r="G118" s="30" t="s">
        <v>1852</v>
      </c>
      <c r="H118">
        <v>57.5</v>
      </c>
      <c r="I118">
        <v>50</v>
      </c>
      <c r="J118">
        <v>42</v>
      </c>
    </row>
    <row r="119" spans="1:10">
      <c r="A119" t="s">
        <v>1738</v>
      </c>
      <c r="B119">
        <v>57.5</v>
      </c>
      <c r="C119">
        <v>50</v>
      </c>
      <c r="D119">
        <v>42</v>
      </c>
      <c r="G119" s="30" t="s">
        <v>1853</v>
      </c>
      <c r="H119">
        <v>57.5</v>
      </c>
      <c r="I119">
        <v>50</v>
      </c>
      <c r="J119">
        <v>42</v>
      </c>
    </row>
    <row r="120" spans="1:10">
      <c r="A120" t="s">
        <v>1739</v>
      </c>
      <c r="B120">
        <v>57.5</v>
      </c>
      <c r="C120">
        <v>50</v>
      </c>
      <c r="D120">
        <v>42</v>
      </c>
      <c r="G120" s="30" t="s">
        <v>1854</v>
      </c>
      <c r="H120">
        <v>57.5</v>
      </c>
      <c r="I120">
        <v>50</v>
      </c>
      <c r="J120">
        <v>42</v>
      </c>
    </row>
    <row r="121" spans="1:10">
      <c r="A121" t="s">
        <v>1740</v>
      </c>
      <c r="B121">
        <v>57.5</v>
      </c>
      <c r="C121">
        <v>50</v>
      </c>
      <c r="D121">
        <v>42</v>
      </c>
      <c r="G121" s="30" t="s">
        <v>1855</v>
      </c>
      <c r="H121">
        <v>57.5</v>
      </c>
      <c r="I121">
        <v>50</v>
      </c>
      <c r="J121">
        <v>42</v>
      </c>
    </row>
    <row r="122" spans="1:10">
      <c r="A122" t="s">
        <v>1741</v>
      </c>
      <c r="B122">
        <v>57.5</v>
      </c>
      <c r="C122">
        <v>50</v>
      </c>
      <c r="D122">
        <v>42</v>
      </c>
      <c r="G122" s="182" t="s">
        <v>1856</v>
      </c>
      <c r="H122">
        <v>57.5</v>
      </c>
      <c r="I122">
        <v>50</v>
      </c>
      <c r="J122">
        <v>42</v>
      </c>
    </row>
    <row r="123" spans="1:10">
      <c r="A123" t="s">
        <v>1742</v>
      </c>
      <c r="B123">
        <v>57.5</v>
      </c>
      <c r="C123">
        <v>50</v>
      </c>
      <c r="D123">
        <v>42</v>
      </c>
      <c r="G123" s="182" t="s">
        <v>1857</v>
      </c>
      <c r="H123">
        <v>57.5</v>
      </c>
      <c r="I123">
        <v>50</v>
      </c>
      <c r="J123">
        <v>42</v>
      </c>
    </row>
    <row r="124" spans="1:10">
      <c r="G124" s="182" t="s">
        <v>1858</v>
      </c>
      <c r="H124">
        <v>57.5</v>
      </c>
      <c r="I124">
        <v>50</v>
      </c>
      <c r="J124">
        <v>42</v>
      </c>
    </row>
    <row r="125" spans="1:10">
      <c r="G125" s="182" t="s">
        <v>1859</v>
      </c>
      <c r="H125">
        <v>57.5</v>
      </c>
      <c r="I125">
        <v>50</v>
      </c>
      <c r="J125">
        <v>42</v>
      </c>
    </row>
    <row r="126" spans="1:10">
      <c r="G126" s="182" t="s">
        <v>1860</v>
      </c>
      <c r="H126">
        <v>57.5</v>
      </c>
      <c r="I126">
        <v>50</v>
      </c>
      <c r="J126">
        <v>42</v>
      </c>
    </row>
    <row r="127" spans="1:10">
      <c r="G127" s="182" t="s">
        <v>1861</v>
      </c>
      <c r="H127">
        <v>57.5</v>
      </c>
      <c r="I127">
        <v>50</v>
      </c>
      <c r="J127">
        <v>42</v>
      </c>
    </row>
    <row r="128" spans="1:10">
      <c r="G128" s="182" t="s">
        <v>1862</v>
      </c>
      <c r="H128">
        <v>57.5</v>
      </c>
      <c r="I128">
        <v>50</v>
      </c>
      <c r="J128">
        <v>42</v>
      </c>
    </row>
    <row r="129" spans="1:10">
      <c r="G129" s="182" t="s">
        <v>1863</v>
      </c>
      <c r="H129">
        <v>57.5</v>
      </c>
      <c r="I129">
        <v>50</v>
      </c>
      <c r="J129">
        <v>42</v>
      </c>
    </row>
    <row r="130" spans="1:10">
      <c r="G130" s="182" t="s">
        <v>1864</v>
      </c>
      <c r="H130">
        <v>57.5</v>
      </c>
      <c r="I130">
        <v>50</v>
      </c>
      <c r="J130">
        <v>42</v>
      </c>
    </row>
    <row r="131" spans="1:10">
      <c r="G131" s="182" t="s">
        <v>1865</v>
      </c>
      <c r="H131">
        <v>57.5</v>
      </c>
      <c r="I131">
        <v>50</v>
      </c>
      <c r="J131">
        <v>42</v>
      </c>
    </row>
    <row r="132" spans="1:10">
      <c r="G132" s="182" t="s">
        <v>1866</v>
      </c>
      <c r="H132">
        <v>57.5</v>
      </c>
      <c r="I132">
        <v>50</v>
      </c>
      <c r="J132">
        <v>42</v>
      </c>
    </row>
    <row r="133" spans="1:10">
      <c r="G133" s="182" t="s">
        <v>1867</v>
      </c>
      <c r="H133">
        <v>57.5</v>
      </c>
      <c r="I133">
        <v>50</v>
      </c>
      <c r="J133">
        <v>42</v>
      </c>
    </row>
    <row r="134" spans="1:10">
      <c r="G134" s="182" t="s">
        <v>2065</v>
      </c>
      <c r="H134">
        <v>57.5</v>
      </c>
      <c r="I134">
        <v>50</v>
      </c>
      <c r="J134">
        <v>42</v>
      </c>
    </row>
    <row r="135" spans="1:10">
      <c r="G135" s="182" t="s">
        <v>2066</v>
      </c>
      <c r="H135">
        <v>57.5</v>
      </c>
      <c r="I135">
        <v>50</v>
      </c>
      <c r="J135">
        <v>42</v>
      </c>
    </row>
    <row r="136" spans="1:10">
      <c r="G136" s="182" t="s">
        <v>2067</v>
      </c>
      <c r="H136">
        <v>57.5</v>
      </c>
      <c r="I136">
        <v>50</v>
      </c>
      <c r="J136">
        <v>42</v>
      </c>
    </row>
    <row r="137" spans="1:10">
      <c r="G137" s="182" t="s">
        <v>2068</v>
      </c>
      <c r="H137">
        <v>57.5</v>
      </c>
      <c r="I137">
        <v>50</v>
      </c>
      <c r="J137">
        <v>42</v>
      </c>
    </row>
    <row r="138" spans="1:10">
      <c r="G138" s="182" t="s">
        <v>2069</v>
      </c>
      <c r="H138">
        <v>57.5</v>
      </c>
      <c r="I138">
        <v>50</v>
      </c>
      <c r="J138">
        <v>42</v>
      </c>
    </row>
    <row r="139" spans="1:10">
      <c r="G139" s="182" t="s">
        <v>2070</v>
      </c>
      <c r="H139">
        <v>57.5</v>
      </c>
      <c r="I139">
        <v>50</v>
      </c>
      <c r="J139">
        <v>42</v>
      </c>
    </row>
    <row r="140" spans="1:10">
      <c r="G140" s="182" t="s">
        <v>2071</v>
      </c>
      <c r="H140">
        <v>57.5</v>
      </c>
      <c r="I140">
        <v>50</v>
      </c>
      <c r="J140">
        <v>42</v>
      </c>
    </row>
    <row r="141" spans="1:10">
      <c r="G141" s="182" t="s">
        <v>2072</v>
      </c>
      <c r="H141">
        <v>57.5</v>
      </c>
      <c r="I141">
        <v>50</v>
      </c>
      <c r="J141">
        <v>42</v>
      </c>
    </row>
    <row r="142" spans="1:10">
      <c r="A142" t="s">
        <v>1646</v>
      </c>
      <c r="B142">
        <v>60</v>
      </c>
      <c r="C142">
        <v>53</v>
      </c>
      <c r="D142">
        <v>44</v>
      </c>
      <c r="G142" s="182" t="s">
        <v>1868</v>
      </c>
      <c r="H142">
        <v>60</v>
      </c>
      <c r="I142">
        <v>53</v>
      </c>
      <c r="J142">
        <v>44</v>
      </c>
    </row>
    <row r="143" spans="1:10">
      <c r="A143" t="s">
        <v>1647</v>
      </c>
      <c r="B143">
        <v>60</v>
      </c>
      <c r="C143">
        <v>53</v>
      </c>
      <c r="D143">
        <v>44</v>
      </c>
      <c r="G143" s="182" t="s">
        <v>1870</v>
      </c>
      <c r="H143">
        <v>60</v>
      </c>
      <c r="I143">
        <v>53</v>
      </c>
      <c r="J143">
        <v>44</v>
      </c>
    </row>
    <row r="144" spans="1:10">
      <c r="A144" t="s">
        <v>1648</v>
      </c>
      <c r="B144">
        <v>60</v>
      </c>
      <c r="C144">
        <v>53</v>
      </c>
      <c r="D144">
        <v>44</v>
      </c>
      <c r="G144" s="182" t="s">
        <v>1872</v>
      </c>
      <c r="H144">
        <v>60</v>
      </c>
      <c r="I144">
        <v>53</v>
      </c>
      <c r="J144">
        <v>44</v>
      </c>
    </row>
    <row r="145" spans="7:10">
      <c r="G145" s="182" t="s">
        <v>1874</v>
      </c>
      <c r="H145">
        <v>60</v>
      </c>
      <c r="I145">
        <v>53</v>
      </c>
      <c r="J145">
        <v>44</v>
      </c>
    </row>
    <row r="146" spans="7:10">
      <c r="G146" s="182" t="s">
        <v>1876</v>
      </c>
      <c r="H146">
        <v>60</v>
      </c>
      <c r="I146">
        <v>53</v>
      </c>
      <c r="J146">
        <v>44</v>
      </c>
    </row>
    <row r="147" spans="7:10">
      <c r="G147" s="182" t="s">
        <v>1877</v>
      </c>
      <c r="H147">
        <v>60</v>
      </c>
      <c r="I147">
        <v>53</v>
      </c>
      <c r="J147">
        <v>44</v>
      </c>
    </row>
    <row r="148" spans="7:10">
      <c r="G148" s="182" t="s">
        <v>1881</v>
      </c>
      <c r="H148">
        <v>60</v>
      </c>
      <c r="I148">
        <v>53</v>
      </c>
      <c r="J148">
        <v>44</v>
      </c>
    </row>
    <row r="149" spans="7:10">
      <c r="G149" s="182" t="s">
        <v>1883</v>
      </c>
      <c r="H149">
        <v>60</v>
      </c>
      <c r="I149">
        <v>53</v>
      </c>
      <c r="J149">
        <v>44</v>
      </c>
    </row>
    <row r="150" spans="7:10">
      <c r="G150" s="182"/>
    </row>
    <row r="151" spans="7:10">
      <c r="G151" s="182"/>
    </row>
    <row r="152" spans="7:10">
      <c r="G152" s="182"/>
    </row>
    <row r="153" spans="7:10">
      <c r="G153" s="182"/>
    </row>
    <row r="154" spans="7:10">
      <c r="G154" s="182"/>
    </row>
    <row r="155" spans="7:10">
      <c r="G155" s="18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 지정된 범위</vt:lpstr>
      </vt:variant>
      <vt:variant>
        <vt:i4>61</vt:i4>
      </vt:variant>
    </vt:vector>
  </HeadingPairs>
  <TitlesOfParts>
    <vt:vector size="76" baseType="lpstr">
      <vt:lpstr>운영조건</vt:lpstr>
      <vt:lpstr>제조사납기</vt:lpstr>
      <vt:lpstr>견적</vt:lpstr>
      <vt:lpstr>실행요청서 (펀딩시 필수제출)</vt:lpstr>
      <vt:lpstr>현대기아 발주요청서</vt:lpstr>
      <vt:lpstr>르노 쉐보레 KG 발주요청서</vt:lpstr>
      <vt:lpstr>Sheet2</vt:lpstr>
      <vt:lpstr>DB▶</vt:lpstr>
      <vt:lpstr>오클 별첨1</vt:lpstr>
      <vt:lpstr>오클 별첨2</vt:lpstr>
      <vt:lpstr>오핸 별첨1</vt:lpstr>
      <vt:lpstr>오핸 별첨2</vt:lpstr>
      <vt:lpstr>차량</vt:lpstr>
      <vt:lpstr>보험료_렌공_230327</vt:lpstr>
      <vt:lpstr>탁송,용품</vt:lpstr>
      <vt:lpstr>G_70</vt:lpstr>
      <vt:lpstr>G_80</vt:lpstr>
      <vt:lpstr>G_90</vt:lpstr>
      <vt:lpstr>GV_70</vt:lpstr>
      <vt:lpstr>GV_80</vt:lpstr>
      <vt:lpstr>K_5</vt:lpstr>
      <vt:lpstr>K_8</vt:lpstr>
      <vt:lpstr>K_9</vt:lpstr>
      <vt:lpstr>KG_쌍용</vt:lpstr>
      <vt:lpstr>견적!Print_Area</vt:lpstr>
      <vt:lpstr>견적정보!Print_Area</vt:lpstr>
      <vt:lpstr>'르노 쉐보레 KG 발주요청서'!Print_Area</vt:lpstr>
      <vt:lpstr>'실행요청서 (펀딩시 필수제출)'!Print_Area</vt:lpstr>
      <vt:lpstr>'오클 별첨2'!Print_Area</vt:lpstr>
      <vt:lpstr>'오핸 별첨1'!Print_Area</vt:lpstr>
      <vt:lpstr>'오핸 별첨2'!Print_Area</vt:lpstr>
      <vt:lpstr>'탁송,용품'!Print_Area</vt:lpstr>
      <vt:lpstr>'탁송,용품'!Print_Titles</vt:lpstr>
      <vt:lpstr>QM6_</vt:lpstr>
      <vt:lpstr>SM6_</vt:lpstr>
      <vt:lpstr>그랑_콜레오스</vt:lpstr>
      <vt:lpstr>그랜저</vt:lpstr>
      <vt:lpstr>기아</vt:lpstr>
      <vt:lpstr>니로</vt:lpstr>
      <vt:lpstr>레이</vt:lpstr>
      <vt:lpstr>렉스턴</vt:lpstr>
      <vt:lpstr>르노</vt:lpstr>
      <vt:lpstr>모닝</vt:lpstr>
      <vt:lpstr>베뉴</vt:lpstr>
      <vt:lpstr>상품명</vt:lpstr>
      <vt:lpstr>선발주_투싼</vt:lpstr>
      <vt:lpstr>셀토스</vt:lpstr>
      <vt:lpstr>쉐보레</vt:lpstr>
      <vt:lpstr>스타리아</vt:lpstr>
      <vt:lpstr>스포티지</vt:lpstr>
      <vt:lpstr>싼타페</vt:lpstr>
      <vt:lpstr>쌍용</vt:lpstr>
      <vt:lpstr>쏘나타</vt:lpstr>
      <vt:lpstr>쏘렌토</vt:lpstr>
      <vt:lpstr>아르카나</vt:lpstr>
      <vt:lpstr>아반떼</vt:lpstr>
      <vt:lpstr>액티언</vt:lpstr>
      <vt:lpstr>용인블랙박스</vt:lpstr>
      <vt:lpstr>용인전면썬팅</vt:lpstr>
      <vt:lpstr>제네시스</vt:lpstr>
      <vt:lpstr>카니발</vt:lpstr>
      <vt:lpstr>캐스퍼</vt:lpstr>
      <vt:lpstr>코나</vt:lpstr>
      <vt:lpstr>코란도</vt:lpstr>
      <vt:lpstr>토레스</vt:lpstr>
      <vt:lpstr>투싼</vt:lpstr>
      <vt:lpstr>트랙스</vt:lpstr>
      <vt:lpstr>트레일블레이저</vt:lpstr>
      <vt:lpstr>티볼리</vt:lpstr>
      <vt:lpstr>팰리세이드</vt:lpstr>
      <vt:lpstr>평택네비게이션</vt:lpstr>
      <vt:lpstr>평택블랙박스</vt:lpstr>
      <vt:lpstr>평택전면썬팅</vt:lpstr>
      <vt:lpstr>프로모션블랙박스</vt:lpstr>
      <vt:lpstr>프로모션전면썬팅</vt:lpstr>
      <vt:lpstr>현대</vt:lpstr>
    </vt:vector>
  </TitlesOfParts>
  <Company>LotteCap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LotteCap</dc:creator>
  <cp:lastModifiedBy>이 한빛</cp:lastModifiedBy>
  <cp:lastPrinted>2024-07-02T01:15:04Z</cp:lastPrinted>
  <dcterms:created xsi:type="dcterms:W3CDTF">2021-03-29T04:19:16Z</dcterms:created>
  <dcterms:modified xsi:type="dcterms:W3CDTF">2025-01-16T04:54:13Z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