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willmatthaeus/Dropbox/bgc_work/stem_bgc/model_school/"/>
    </mc:Choice>
  </mc:AlternateContent>
  <xr:revisionPtr revIDLastSave="0" documentId="13_ncr:1_{F6D167F7-5D17-2C42-AD34-30D0C243DCCA}" xr6:coauthVersionLast="47" xr6:coauthVersionMax="47" xr10:uidLastSave="{00000000-0000-0000-0000-000000000000}"/>
  <bookViews>
    <workbookView xWindow="15840" yWindow="500" windowWidth="18860" windowHeight="21900" tabRatio="500" xr2:uid="{00000000-000D-0000-FFFF-FFFF00000000}"/>
  </bookViews>
  <sheets>
    <sheet name="Summary Shee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6" l="1"/>
  <c r="I2" i="6"/>
  <c r="H4" i="6"/>
  <c r="M2" i="6" l="1"/>
  <c r="U176" i="6" l="1"/>
  <c r="U177" i="6"/>
  <c r="M176" i="6"/>
  <c r="S176" i="6" s="1"/>
  <c r="M177" i="6"/>
  <c r="S177" i="6" s="1"/>
  <c r="O174" i="6"/>
  <c r="U174" i="6" s="1"/>
  <c r="M174" i="6"/>
  <c r="S174" i="6" s="1"/>
  <c r="U175" i="6"/>
  <c r="M175" i="6"/>
  <c r="S175" i="6" s="1"/>
  <c r="V177" i="6" l="1"/>
  <c r="W177" i="6" s="1"/>
  <c r="V176" i="6"/>
  <c r="W176" i="6" s="1"/>
  <c r="V175" i="6"/>
  <c r="X175" i="6" s="1"/>
  <c r="V174" i="6"/>
  <c r="W175" i="6" l="1"/>
  <c r="X176" i="6"/>
  <c r="X177" i="6"/>
  <c r="X174" i="6"/>
  <c r="W174" i="6"/>
  <c r="U85" i="6" l="1"/>
  <c r="K85" i="6"/>
  <c r="N85" i="6" s="1"/>
  <c r="T85" i="6" s="1"/>
  <c r="I85" i="6"/>
  <c r="M85" i="6" s="1"/>
  <c r="S85" i="6" s="1"/>
  <c r="U84" i="6"/>
  <c r="K84" i="6"/>
  <c r="N84" i="6" s="1"/>
  <c r="T84" i="6" s="1"/>
  <c r="I84" i="6"/>
  <c r="R84" i="6" s="1"/>
  <c r="U83" i="6"/>
  <c r="K83" i="6"/>
  <c r="N83" i="6" s="1"/>
  <c r="T83" i="6" s="1"/>
  <c r="I83" i="6"/>
  <c r="R83" i="6" s="1"/>
  <c r="U82" i="6"/>
  <c r="K82" i="6"/>
  <c r="N82" i="6" s="1"/>
  <c r="T82" i="6" s="1"/>
  <c r="I82" i="6"/>
  <c r="R82" i="6" s="1"/>
  <c r="U81" i="6"/>
  <c r="K81" i="6"/>
  <c r="N81" i="6" s="1"/>
  <c r="T81" i="6" s="1"/>
  <c r="I81" i="6"/>
  <c r="R81" i="6" s="1"/>
  <c r="U80" i="6"/>
  <c r="K80" i="6"/>
  <c r="N80" i="6" s="1"/>
  <c r="T80" i="6" s="1"/>
  <c r="I80" i="6"/>
  <c r="R80" i="6" s="1"/>
  <c r="U79" i="6"/>
  <c r="K79" i="6"/>
  <c r="N79" i="6" s="1"/>
  <c r="T79" i="6" s="1"/>
  <c r="I79" i="6"/>
  <c r="R79" i="6" s="1"/>
  <c r="U78" i="6"/>
  <c r="K78" i="6"/>
  <c r="N78" i="6" s="1"/>
  <c r="T78" i="6" s="1"/>
  <c r="I78" i="6"/>
  <c r="R78" i="6" s="1"/>
  <c r="M78" i="6" l="1"/>
  <c r="S78" i="6" s="1"/>
  <c r="V78" i="6" s="1"/>
  <c r="X78" i="6" s="1"/>
  <c r="M79" i="6"/>
  <c r="S79" i="6" s="1"/>
  <c r="V79" i="6" s="1"/>
  <c r="M84" i="6"/>
  <c r="S84" i="6" s="1"/>
  <c r="V84" i="6" s="1"/>
  <c r="R85" i="6"/>
  <c r="V85" i="6"/>
  <c r="X85" i="6" s="1"/>
  <c r="M80" i="6"/>
  <c r="S80" i="6" s="1"/>
  <c r="V80" i="6" s="1"/>
  <c r="M83" i="6"/>
  <c r="S83" i="6" s="1"/>
  <c r="V83" i="6" s="1"/>
  <c r="M82" i="6"/>
  <c r="S82" i="6" s="1"/>
  <c r="V82" i="6" s="1"/>
  <c r="M81" i="6"/>
  <c r="S81" i="6" s="1"/>
  <c r="V81" i="6" s="1"/>
  <c r="W78" i="6" l="1"/>
  <c r="W85" i="6"/>
  <c r="X82" i="6"/>
  <c r="W82" i="6"/>
  <c r="X83" i="6"/>
  <c r="W83" i="6"/>
  <c r="W80" i="6"/>
  <c r="X80" i="6"/>
  <c r="W81" i="6"/>
  <c r="X81" i="6"/>
  <c r="X84" i="6"/>
  <c r="W84" i="6"/>
  <c r="W79" i="6"/>
  <c r="X79" i="6"/>
  <c r="U94" i="6" l="1"/>
  <c r="V94" i="6" s="1"/>
  <c r="U95" i="6"/>
  <c r="V95" i="6" s="1"/>
  <c r="W95" i="6" s="1"/>
  <c r="U96" i="6"/>
  <c r="V96" i="6" s="1"/>
  <c r="U97" i="6"/>
  <c r="V97" i="6" s="1"/>
  <c r="U98" i="6"/>
  <c r="V98" i="6" s="1"/>
  <c r="W98" i="6" s="1"/>
  <c r="U99" i="6"/>
  <c r="V99" i="6" s="1"/>
  <c r="W99" i="6" s="1"/>
  <c r="U100" i="6"/>
  <c r="V100" i="6" s="1"/>
  <c r="U101" i="6"/>
  <c r="V101" i="6" s="1"/>
  <c r="W101" i="6" s="1"/>
  <c r="U102" i="6"/>
  <c r="V102" i="6" s="1"/>
  <c r="U103" i="6"/>
  <c r="V103" i="6" s="1"/>
  <c r="U104" i="6"/>
  <c r="V104" i="6" s="1"/>
  <c r="U105" i="6"/>
  <c r="V105" i="6" s="1"/>
  <c r="U106" i="6"/>
  <c r="V106" i="6" s="1"/>
  <c r="U107" i="6"/>
  <c r="V107" i="6" s="1"/>
  <c r="W107" i="6" s="1"/>
  <c r="U108" i="6"/>
  <c r="V108" i="6" s="1"/>
  <c r="U109" i="6"/>
  <c r="V109" i="6" s="1"/>
  <c r="U110" i="6"/>
  <c r="V110" i="6" s="1"/>
  <c r="W110" i="6" s="1"/>
  <c r="U111" i="6"/>
  <c r="V111" i="6" s="1"/>
  <c r="U112" i="6"/>
  <c r="V112" i="6" s="1"/>
  <c r="U113" i="6"/>
  <c r="V113" i="6" s="1"/>
  <c r="W113" i="6" s="1"/>
  <c r="U114" i="6"/>
  <c r="V114" i="6" s="1"/>
  <c r="U115" i="6"/>
  <c r="V115" i="6" s="1"/>
  <c r="W115" i="6" s="1"/>
  <c r="U116" i="6"/>
  <c r="V116" i="6" s="1"/>
  <c r="U117" i="6"/>
  <c r="V117" i="6" s="1"/>
  <c r="U118" i="6"/>
  <c r="V118" i="6" s="1"/>
  <c r="U119" i="6"/>
  <c r="V119" i="6" s="1"/>
  <c r="W119" i="6" s="1"/>
  <c r="U120" i="6"/>
  <c r="V120" i="6" s="1"/>
  <c r="U121" i="6"/>
  <c r="V121" i="6" s="1"/>
  <c r="U122" i="6"/>
  <c r="V122" i="6" s="1"/>
  <c r="W122" i="6" s="1"/>
  <c r="U123" i="6"/>
  <c r="V123" i="6" s="1"/>
  <c r="W123" i="6" s="1"/>
  <c r="U124" i="6"/>
  <c r="V124" i="6" s="1"/>
  <c r="U125" i="6"/>
  <c r="V125" i="6" s="1"/>
  <c r="W125" i="6" s="1"/>
  <c r="U126" i="6"/>
  <c r="V126" i="6" s="1"/>
  <c r="X126" i="6" s="1"/>
  <c r="U127" i="6"/>
  <c r="V127" i="6" s="1"/>
  <c r="U134" i="6"/>
  <c r="V134" i="6" s="1"/>
  <c r="X134" i="6" s="1"/>
  <c r="U135" i="6"/>
  <c r="V135" i="6" s="1"/>
  <c r="X135" i="6" s="1"/>
  <c r="U136" i="6"/>
  <c r="V136" i="6" s="1"/>
  <c r="U137" i="6"/>
  <c r="V137" i="6" s="1"/>
  <c r="W137" i="6" s="1"/>
  <c r="U138" i="6"/>
  <c r="V138" i="6" s="1"/>
  <c r="W138" i="6" s="1"/>
  <c r="U139" i="6"/>
  <c r="V139" i="6" s="1"/>
  <c r="U140" i="6"/>
  <c r="V140" i="6" s="1"/>
  <c r="U141" i="6"/>
  <c r="V141" i="6" s="1"/>
  <c r="X141" i="6" s="1"/>
  <c r="U142" i="6"/>
  <c r="V142" i="6" s="1"/>
  <c r="U143" i="6"/>
  <c r="V143" i="6" s="1"/>
  <c r="U144" i="6"/>
  <c r="V144" i="6" s="1"/>
  <c r="X144" i="6" s="1"/>
  <c r="U145" i="6"/>
  <c r="V145" i="6" s="1"/>
  <c r="W145" i="6" s="1"/>
  <c r="U146" i="6"/>
  <c r="V146" i="6" s="1"/>
  <c r="U147" i="6"/>
  <c r="V147" i="6" s="1"/>
  <c r="W147" i="6" s="1"/>
  <c r="U148" i="6"/>
  <c r="V148" i="6" s="1"/>
  <c r="U149" i="6"/>
  <c r="V149" i="6" s="1"/>
  <c r="U150" i="6"/>
  <c r="V150" i="6" s="1"/>
  <c r="U151" i="6"/>
  <c r="V151" i="6" s="1"/>
  <c r="U152" i="6"/>
  <c r="V152" i="6" s="1"/>
  <c r="U166" i="6"/>
  <c r="V166" i="6" s="1"/>
  <c r="W166" i="6" s="1"/>
  <c r="U161" i="6"/>
  <c r="V161" i="6" s="1"/>
  <c r="U133" i="6"/>
  <c r="V133" i="6" s="1"/>
  <c r="U167" i="6"/>
  <c r="V167" i="6" s="1"/>
  <c r="U170" i="6"/>
  <c r="V170" i="6" s="1"/>
  <c r="X170" i="6" s="1"/>
  <c r="U131" i="6"/>
  <c r="V131" i="6" s="1"/>
  <c r="U160" i="6"/>
  <c r="V160" i="6" s="1"/>
  <c r="U155" i="6"/>
  <c r="V155" i="6" s="1"/>
  <c r="U154" i="6"/>
  <c r="V154" i="6" s="1"/>
  <c r="W154" i="6" s="1"/>
  <c r="U153" i="6"/>
  <c r="V153" i="6" s="1"/>
  <c r="U128" i="6"/>
  <c r="V128" i="6" s="1"/>
  <c r="U130" i="6"/>
  <c r="V130" i="6" s="1"/>
  <c r="U156" i="6"/>
  <c r="V156" i="6" s="1"/>
  <c r="U132" i="6"/>
  <c r="V132" i="6" s="1"/>
  <c r="U129" i="6"/>
  <c r="V129" i="6" s="1"/>
  <c r="U159" i="6"/>
  <c r="V159" i="6" s="1"/>
  <c r="U157" i="6"/>
  <c r="V157" i="6" s="1"/>
  <c r="W157" i="6" s="1"/>
  <c r="U158" i="6"/>
  <c r="V158" i="6" s="1"/>
  <c r="U165" i="6"/>
  <c r="V165" i="6" s="1"/>
  <c r="U164" i="6"/>
  <c r="V164" i="6" s="1"/>
  <c r="U163" i="6"/>
  <c r="V163" i="6" s="1"/>
  <c r="U168" i="6"/>
  <c r="V168" i="6" s="1"/>
  <c r="U169" i="6"/>
  <c r="V169" i="6" s="1"/>
  <c r="U162" i="6"/>
  <c r="V162" i="6" s="1"/>
  <c r="X162" i="6" s="1"/>
  <c r="R2" i="6"/>
  <c r="K2" i="6"/>
  <c r="T2" i="6" s="1"/>
  <c r="U2" i="6"/>
  <c r="I3" i="6"/>
  <c r="K3" i="6"/>
  <c r="N3" i="6" s="1"/>
  <c r="T3" i="6" s="1"/>
  <c r="U3" i="6"/>
  <c r="K4" i="6"/>
  <c r="R4" i="6"/>
  <c r="U4" i="6"/>
  <c r="I5" i="6"/>
  <c r="R5" i="6" s="1"/>
  <c r="K5" i="6"/>
  <c r="N5" i="6" s="1"/>
  <c r="T5" i="6" s="1"/>
  <c r="U5" i="6"/>
  <c r="I6" i="6"/>
  <c r="R6" i="6" s="1"/>
  <c r="K6" i="6"/>
  <c r="N6" i="6" s="1"/>
  <c r="T6" i="6" s="1"/>
  <c r="U6" i="6"/>
  <c r="M7" i="6"/>
  <c r="S7" i="6" s="1"/>
  <c r="N7" i="6"/>
  <c r="T7" i="6" s="1"/>
  <c r="R7" i="6"/>
  <c r="U7" i="6"/>
  <c r="I8" i="6"/>
  <c r="R8" i="6" s="1"/>
  <c r="K8" i="6"/>
  <c r="N8" i="6" s="1"/>
  <c r="T8" i="6" s="1"/>
  <c r="U8" i="6"/>
  <c r="I9" i="6"/>
  <c r="K9" i="6"/>
  <c r="N9" i="6" s="1"/>
  <c r="T9" i="6" s="1"/>
  <c r="U9" i="6"/>
  <c r="I10" i="6"/>
  <c r="R10" i="6" s="1"/>
  <c r="K10" i="6"/>
  <c r="N10" i="6" s="1"/>
  <c r="T10" i="6" s="1"/>
  <c r="U10" i="6"/>
  <c r="I11" i="6"/>
  <c r="R11" i="6" s="1"/>
  <c r="K11" i="6"/>
  <c r="N11" i="6" s="1"/>
  <c r="T11" i="6" s="1"/>
  <c r="U11" i="6"/>
  <c r="I12" i="6"/>
  <c r="K12" i="6"/>
  <c r="N12" i="6" s="1"/>
  <c r="T12" i="6" s="1"/>
  <c r="U12" i="6"/>
  <c r="I13" i="6"/>
  <c r="R13" i="6" s="1"/>
  <c r="K13" i="6"/>
  <c r="N13" i="6" s="1"/>
  <c r="T13" i="6" s="1"/>
  <c r="U13" i="6"/>
  <c r="I14" i="6"/>
  <c r="K14" i="6"/>
  <c r="N14" i="6" s="1"/>
  <c r="T14" i="6" s="1"/>
  <c r="U14" i="6"/>
  <c r="I15" i="6"/>
  <c r="K15" i="6"/>
  <c r="N15" i="6" s="1"/>
  <c r="T15" i="6" s="1"/>
  <c r="U15" i="6"/>
  <c r="I16" i="6"/>
  <c r="R16" i="6" s="1"/>
  <c r="K16" i="6"/>
  <c r="U16" i="6"/>
  <c r="I17" i="6"/>
  <c r="K17" i="6"/>
  <c r="N17" i="6" s="1"/>
  <c r="T17" i="6" s="1"/>
  <c r="U17" i="6"/>
  <c r="I18" i="6"/>
  <c r="R18" i="6" s="1"/>
  <c r="K18" i="6"/>
  <c r="N18" i="6" s="1"/>
  <c r="T18" i="6" s="1"/>
  <c r="U18" i="6"/>
  <c r="I19" i="6"/>
  <c r="R19" i="6" s="1"/>
  <c r="K19" i="6"/>
  <c r="N19" i="6" s="1"/>
  <c r="T19" i="6" s="1"/>
  <c r="Q19" i="6"/>
  <c r="U19" i="6"/>
  <c r="I20" i="6"/>
  <c r="K20" i="6"/>
  <c r="N20" i="6" s="1"/>
  <c r="T20" i="6" s="1"/>
  <c r="U20" i="6"/>
  <c r="I21" i="6"/>
  <c r="R21" i="6" s="1"/>
  <c r="K21" i="6"/>
  <c r="U21" i="6"/>
  <c r="I22" i="6"/>
  <c r="K22" i="6"/>
  <c r="N22" i="6" s="1"/>
  <c r="T22" i="6" s="1"/>
  <c r="U22" i="6"/>
  <c r="I23" i="6"/>
  <c r="R23" i="6" s="1"/>
  <c r="K23" i="6"/>
  <c r="N23" i="6" s="1"/>
  <c r="T23" i="6" s="1"/>
  <c r="U23" i="6"/>
  <c r="I24" i="6"/>
  <c r="R24" i="6" s="1"/>
  <c r="K24" i="6"/>
  <c r="N24" i="6" s="1"/>
  <c r="T24" i="6" s="1"/>
  <c r="U24" i="6"/>
  <c r="I25" i="6"/>
  <c r="R25" i="6" s="1"/>
  <c r="K25" i="6"/>
  <c r="N25" i="6" s="1"/>
  <c r="T25" i="6" s="1"/>
  <c r="U25" i="6"/>
  <c r="I26" i="6"/>
  <c r="R26" i="6" s="1"/>
  <c r="K26" i="6"/>
  <c r="N26" i="6" s="1"/>
  <c r="T26" i="6" s="1"/>
  <c r="U26" i="6"/>
  <c r="I27" i="6"/>
  <c r="R27" i="6" s="1"/>
  <c r="K27" i="6"/>
  <c r="N27" i="6" s="1"/>
  <c r="T27" i="6" s="1"/>
  <c r="Q27" i="6"/>
  <c r="U27" i="6"/>
  <c r="I28" i="6"/>
  <c r="K28" i="6"/>
  <c r="N28" i="6" s="1"/>
  <c r="T28" i="6" s="1"/>
  <c r="U28" i="6"/>
  <c r="I29" i="6"/>
  <c r="K29" i="6"/>
  <c r="N29" i="6" s="1"/>
  <c r="T29" i="6" s="1"/>
  <c r="I30" i="6"/>
  <c r="K30" i="6"/>
  <c r="N30" i="6" s="1"/>
  <c r="T30" i="6" s="1"/>
  <c r="I31" i="6"/>
  <c r="R31" i="6" s="1"/>
  <c r="K31" i="6"/>
  <c r="U32" i="6"/>
  <c r="G33" i="6"/>
  <c r="K33" i="6" s="1"/>
  <c r="I33" i="6"/>
  <c r="R33" i="6" s="1"/>
  <c r="U33" i="6"/>
  <c r="G34" i="6"/>
  <c r="K34" i="6" s="1"/>
  <c r="I34" i="6"/>
  <c r="R34" i="6" s="1"/>
  <c r="U34" i="6"/>
  <c r="G35" i="6"/>
  <c r="I35" i="6"/>
  <c r="R35" i="6" s="1"/>
  <c r="U35" i="6"/>
  <c r="G36" i="6"/>
  <c r="N36" i="6" s="1"/>
  <c r="T36" i="6" s="1"/>
  <c r="M36" i="6"/>
  <c r="S36" i="6" s="1"/>
  <c r="R36" i="6"/>
  <c r="U36" i="6"/>
  <c r="G37" i="6"/>
  <c r="N37" i="6" s="1"/>
  <c r="T37" i="6" s="1"/>
  <c r="M37" i="6"/>
  <c r="S37" i="6" s="1"/>
  <c r="R37" i="6"/>
  <c r="U37" i="6"/>
  <c r="G38" i="6"/>
  <c r="N38" i="6" s="1"/>
  <c r="T38" i="6" s="1"/>
  <c r="M38" i="6"/>
  <c r="S38" i="6" s="1"/>
  <c r="R38" i="6"/>
  <c r="U38" i="6"/>
  <c r="I39" i="6"/>
  <c r="R39" i="6" s="1"/>
  <c r="K39" i="6"/>
  <c r="N39" i="6" s="1"/>
  <c r="T39" i="6" s="1"/>
  <c r="U39" i="6"/>
  <c r="M40" i="6"/>
  <c r="S40" i="6" s="1"/>
  <c r="N40" i="6"/>
  <c r="T40" i="6" s="1"/>
  <c r="R40" i="6"/>
  <c r="U40" i="6"/>
  <c r="I41" i="6"/>
  <c r="R41" i="6" s="1"/>
  <c r="K41" i="6"/>
  <c r="N41" i="6" s="1"/>
  <c r="T41" i="6" s="1"/>
  <c r="U41" i="6"/>
  <c r="K42" i="6"/>
  <c r="M42" i="6" s="1"/>
  <c r="S42" i="6" s="1"/>
  <c r="R42" i="6"/>
  <c r="U42" i="6"/>
  <c r="I43" i="6"/>
  <c r="R43" i="6" s="1"/>
  <c r="K43" i="6"/>
  <c r="N43" i="6" s="1"/>
  <c r="T43" i="6" s="1"/>
  <c r="U43" i="6"/>
  <c r="I44" i="6"/>
  <c r="R44" i="6" s="1"/>
  <c r="K44" i="6"/>
  <c r="N44" i="6" s="1"/>
  <c r="T44" i="6" s="1"/>
  <c r="U44" i="6"/>
  <c r="I45" i="6"/>
  <c r="R45" i="6" s="1"/>
  <c r="K45" i="6"/>
  <c r="N45" i="6" s="1"/>
  <c r="T45" i="6" s="1"/>
  <c r="U45" i="6"/>
  <c r="I46" i="6"/>
  <c r="K46" i="6"/>
  <c r="N46" i="6" s="1"/>
  <c r="T46" i="6" s="1"/>
  <c r="U46" i="6"/>
  <c r="I47" i="6"/>
  <c r="R47" i="6" s="1"/>
  <c r="K47" i="6"/>
  <c r="N47" i="6" s="1"/>
  <c r="T47" i="6" s="1"/>
  <c r="U47" i="6"/>
  <c r="I48" i="6"/>
  <c r="K48" i="6"/>
  <c r="N48" i="6" s="1"/>
  <c r="T48" i="6" s="1"/>
  <c r="U48" i="6"/>
  <c r="I49" i="6"/>
  <c r="R49" i="6" s="1"/>
  <c r="K49" i="6"/>
  <c r="N49" i="6" s="1"/>
  <c r="T49" i="6" s="1"/>
  <c r="U49" i="6"/>
  <c r="I50" i="6"/>
  <c r="R50" i="6" s="1"/>
  <c r="K50" i="6"/>
  <c r="N50" i="6" s="1"/>
  <c r="T50" i="6" s="1"/>
  <c r="U50" i="6"/>
  <c r="I51" i="6"/>
  <c r="R51" i="6" s="1"/>
  <c r="K51" i="6"/>
  <c r="N51" i="6" s="1"/>
  <c r="T51" i="6" s="1"/>
  <c r="U51" i="6"/>
  <c r="I52" i="6"/>
  <c r="K52" i="6"/>
  <c r="N52" i="6" s="1"/>
  <c r="T52" i="6" s="1"/>
  <c r="U52" i="6"/>
  <c r="I53" i="6"/>
  <c r="K53" i="6"/>
  <c r="N53" i="6" s="1"/>
  <c r="T53" i="6" s="1"/>
  <c r="U53" i="6"/>
  <c r="I54" i="6"/>
  <c r="K54" i="6"/>
  <c r="N54" i="6" s="1"/>
  <c r="T54" i="6" s="1"/>
  <c r="U54" i="6"/>
  <c r="I55" i="6"/>
  <c r="K55" i="6"/>
  <c r="N55" i="6" s="1"/>
  <c r="T55" i="6" s="1"/>
  <c r="U55" i="6"/>
  <c r="I56" i="6"/>
  <c r="R56" i="6" s="1"/>
  <c r="K56" i="6"/>
  <c r="N56" i="6" s="1"/>
  <c r="T56" i="6" s="1"/>
  <c r="U56" i="6"/>
  <c r="I57" i="6"/>
  <c r="R57" i="6" s="1"/>
  <c r="K57" i="6"/>
  <c r="N57" i="6" s="1"/>
  <c r="T57" i="6" s="1"/>
  <c r="U57" i="6"/>
  <c r="I58" i="6"/>
  <c r="R58" i="6" s="1"/>
  <c r="K58" i="6"/>
  <c r="N58" i="6" s="1"/>
  <c r="T58" i="6" s="1"/>
  <c r="U58" i="6"/>
  <c r="I59" i="6"/>
  <c r="K59" i="6"/>
  <c r="N59" i="6" s="1"/>
  <c r="T59" i="6" s="1"/>
  <c r="U59" i="6"/>
  <c r="I60" i="6"/>
  <c r="R60" i="6" s="1"/>
  <c r="K60" i="6"/>
  <c r="N60" i="6" s="1"/>
  <c r="T60" i="6" s="1"/>
  <c r="U60" i="6"/>
  <c r="I61" i="6"/>
  <c r="R61" i="6" s="1"/>
  <c r="K61" i="6"/>
  <c r="U61" i="6"/>
  <c r="I62" i="6"/>
  <c r="K62" i="6"/>
  <c r="N62" i="6" s="1"/>
  <c r="T62" i="6" s="1"/>
  <c r="U62" i="6"/>
  <c r="I63" i="6"/>
  <c r="K63" i="6"/>
  <c r="N63" i="6" s="1"/>
  <c r="T63" i="6" s="1"/>
  <c r="U63" i="6"/>
  <c r="I64" i="6"/>
  <c r="R64" i="6" s="1"/>
  <c r="K64" i="6"/>
  <c r="N64" i="6" s="1"/>
  <c r="T64" i="6" s="1"/>
  <c r="U64" i="6"/>
  <c r="I65" i="6"/>
  <c r="R65" i="6" s="1"/>
  <c r="K65" i="6"/>
  <c r="N65" i="6" s="1"/>
  <c r="T65" i="6" s="1"/>
  <c r="U65" i="6"/>
  <c r="I66" i="6"/>
  <c r="K66" i="6"/>
  <c r="N66" i="6" s="1"/>
  <c r="T66" i="6" s="1"/>
  <c r="U66" i="6"/>
  <c r="I67" i="6"/>
  <c r="K67" i="6"/>
  <c r="N67" i="6" s="1"/>
  <c r="T67" i="6" s="1"/>
  <c r="U67" i="6"/>
  <c r="I68" i="6"/>
  <c r="R68" i="6" s="1"/>
  <c r="K68" i="6"/>
  <c r="U68" i="6"/>
  <c r="I69" i="6"/>
  <c r="K69" i="6"/>
  <c r="N69" i="6" s="1"/>
  <c r="T69" i="6" s="1"/>
  <c r="U69" i="6"/>
  <c r="I70" i="6"/>
  <c r="R70" i="6" s="1"/>
  <c r="K70" i="6"/>
  <c r="N70" i="6" s="1"/>
  <c r="T70" i="6" s="1"/>
  <c r="U70" i="6"/>
  <c r="W73" i="6"/>
  <c r="X73" i="6"/>
  <c r="V72" i="6"/>
  <c r="W72" i="6" s="1"/>
  <c r="V74" i="6"/>
  <c r="W74" i="6" s="1"/>
  <c r="W75" i="6"/>
  <c r="X75" i="6"/>
  <c r="X71" i="6"/>
  <c r="I87" i="6"/>
  <c r="K87" i="6"/>
  <c r="N87" i="6" s="1"/>
  <c r="I90" i="6"/>
  <c r="K90" i="6"/>
  <c r="N90" i="6" s="1"/>
  <c r="I91" i="6"/>
  <c r="K91" i="6"/>
  <c r="N91" i="6" s="1"/>
  <c r="I93" i="6"/>
  <c r="K93" i="6"/>
  <c r="N93" i="6" s="1"/>
  <c r="I88" i="6"/>
  <c r="R88" i="6" s="1"/>
  <c r="K88" i="6"/>
  <c r="N88" i="6" s="1"/>
  <c r="T88" i="6" s="1"/>
  <c r="U88" i="6"/>
  <c r="I86" i="6"/>
  <c r="R86" i="6" s="1"/>
  <c r="K86" i="6"/>
  <c r="I89" i="6"/>
  <c r="R89" i="6" s="1"/>
  <c r="K89" i="6"/>
  <c r="N89" i="6" s="1"/>
  <c r="T89" i="6" s="1"/>
  <c r="U89" i="6"/>
  <c r="I92" i="6"/>
  <c r="R92" i="6" s="1"/>
  <c r="K92" i="6"/>
  <c r="N92" i="6" s="1"/>
  <c r="T92" i="6" s="1"/>
  <c r="I77" i="6"/>
  <c r="R77" i="6" s="1"/>
  <c r="K77" i="6"/>
  <c r="N77" i="6" s="1"/>
  <c r="T77" i="6" s="1"/>
  <c r="U77" i="6"/>
  <c r="U86" i="6" l="1"/>
  <c r="U92" i="6"/>
  <c r="M31" i="6"/>
  <c r="S31" i="6" s="1"/>
  <c r="N42" i="6"/>
  <c r="T42" i="6" s="1"/>
  <c r="V42" i="6" s="1"/>
  <c r="W42" i="6" s="1"/>
  <c r="M20" i="6"/>
  <c r="S20" i="6" s="1"/>
  <c r="V20" i="6" s="1"/>
  <c r="X20" i="6" s="1"/>
  <c r="M45" i="6"/>
  <c r="S45" i="6" s="1"/>
  <c r="V45" i="6" s="1"/>
  <c r="V36" i="6"/>
  <c r="W36" i="6" s="1"/>
  <c r="M88" i="6"/>
  <c r="R20" i="6"/>
  <c r="X163" i="6"/>
  <c r="W163" i="6"/>
  <c r="M52" i="6"/>
  <c r="S52" i="6" s="1"/>
  <c r="V52" i="6" s="1"/>
  <c r="M34" i="6"/>
  <c r="S34" i="6" s="1"/>
  <c r="M92" i="6"/>
  <c r="S92" i="6" s="1"/>
  <c r="M53" i="6"/>
  <c r="S53" i="6" s="1"/>
  <c r="V53" i="6" s="1"/>
  <c r="M87" i="6"/>
  <c r="V40" i="6"/>
  <c r="X40" i="6" s="1"/>
  <c r="X98" i="6"/>
  <c r="X150" i="6"/>
  <c r="W150" i="6"/>
  <c r="W164" i="6"/>
  <c r="X164" i="6"/>
  <c r="X128" i="6"/>
  <c r="W128" i="6"/>
  <c r="X117" i="6"/>
  <c r="W117" i="6"/>
  <c r="R52" i="6"/>
  <c r="M44" i="6"/>
  <c r="S44" i="6" s="1"/>
  <c r="V44" i="6" s="1"/>
  <c r="M93" i="6"/>
  <c r="M50" i="6"/>
  <c r="S50" i="6" s="1"/>
  <c r="V50" i="6" s="1"/>
  <c r="K35" i="6"/>
  <c r="M35" i="6" s="1"/>
  <c r="S35" i="6" s="1"/>
  <c r="M25" i="6"/>
  <c r="S25" i="6" s="1"/>
  <c r="V25" i="6" s="1"/>
  <c r="M19" i="6"/>
  <c r="S19" i="6" s="1"/>
  <c r="V19" i="6" s="1"/>
  <c r="X19" i="6" s="1"/>
  <c r="M5" i="6"/>
  <c r="S5" i="6" s="1"/>
  <c r="V5" i="6" s="1"/>
  <c r="W135" i="6"/>
  <c r="M90" i="6"/>
  <c r="M49" i="6"/>
  <c r="S49" i="6" s="1"/>
  <c r="V49" i="6" s="1"/>
  <c r="M41" i="6"/>
  <c r="S41" i="6" s="1"/>
  <c r="V41" i="6" s="1"/>
  <c r="X41" i="6" s="1"/>
  <c r="N34" i="6"/>
  <c r="T34" i="6" s="1"/>
  <c r="M16" i="6"/>
  <c r="S16" i="6" s="1"/>
  <c r="X95" i="6"/>
  <c r="M33" i="6"/>
  <c r="S33" i="6" s="1"/>
  <c r="X119" i="6"/>
  <c r="N31" i="6"/>
  <c r="T31" i="6" s="1"/>
  <c r="W141" i="6"/>
  <c r="X132" i="6"/>
  <c r="W132" i="6"/>
  <c r="X104" i="6"/>
  <c r="W104" i="6"/>
  <c r="W167" i="6"/>
  <c r="X167" i="6"/>
  <c r="W140" i="6"/>
  <c r="X140" i="6"/>
  <c r="W94" i="6"/>
  <c r="X94" i="6"/>
  <c r="X161" i="6"/>
  <c r="W161" i="6"/>
  <c r="X108" i="6"/>
  <c r="W108" i="6"/>
  <c r="X155" i="6"/>
  <c r="W155" i="6"/>
  <c r="M91" i="6"/>
  <c r="M58" i="6"/>
  <c r="S58" i="6" s="1"/>
  <c r="V58" i="6" s="1"/>
  <c r="X58" i="6" s="1"/>
  <c r="M39" i="6"/>
  <c r="S39" i="6" s="1"/>
  <c r="V39" i="6" s="1"/>
  <c r="X39" i="6" s="1"/>
  <c r="M26" i="6"/>
  <c r="S26" i="6" s="1"/>
  <c r="V26" i="6" s="1"/>
  <c r="M3" i="6"/>
  <c r="S3" i="6" s="1"/>
  <c r="V3" i="6" s="1"/>
  <c r="W3" i="6" s="1"/>
  <c r="X147" i="6"/>
  <c r="X125" i="6"/>
  <c r="R53" i="6"/>
  <c r="M46" i="6"/>
  <c r="S46" i="6" s="1"/>
  <c r="V46" i="6" s="1"/>
  <c r="N16" i="6"/>
  <c r="T16" i="6" s="1"/>
  <c r="M8" i="6"/>
  <c r="S8" i="6" s="1"/>
  <c r="V8" i="6" s="1"/>
  <c r="M6" i="6"/>
  <c r="S6" i="6" s="1"/>
  <c r="V6" i="6" s="1"/>
  <c r="X138" i="6"/>
  <c r="X110" i="6"/>
  <c r="M57" i="6"/>
  <c r="S57" i="6" s="1"/>
  <c r="V57" i="6" s="1"/>
  <c r="V38" i="6"/>
  <c r="X38" i="6" s="1"/>
  <c r="M13" i="6"/>
  <c r="S13" i="6" s="1"/>
  <c r="V13" i="6" s="1"/>
  <c r="M11" i="6"/>
  <c r="S11" i="6" s="1"/>
  <c r="V11" i="6" s="1"/>
  <c r="S2" i="6"/>
  <c r="V2" i="6" s="1"/>
  <c r="W2" i="6" s="1"/>
  <c r="W144" i="6"/>
  <c r="X101" i="6"/>
  <c r="X158" i="6"/>
  <c r="W158" i="6"/>
  <c r="R30" i="6"/>
  <c r="M30" i="6"/>
  <c r="S30" i="6" s="1"/>
  <c r="W159" i="6"/>
  <c r="X159" i="6"/>
  <c r="W152" i="6"/>
  <c r="X152" i="6"/>
  <c r="W106" i="6"/>
  <c r="X106" i="6"/>
  <c r="W169" i="6"/>
  <c r="X169" i="6"/>
  <c r="W121" i="6"/>
  <c r="X121" i="6"/>
  <c r="W97" i="6"/>
  <c r="X97" i="6"/>
  <c r="W114" i="6"/>
  <c r="X114" i="6"/>
  <c r="X168" i="6"/>
  <c r="W168" i="6"/>
  <c r="X131" i="6"/>
  <c r="W131" i="6"/>
  <c r="X96" i="6"/>
  <c r="W96" i="6"/>
  <c r="X113" i="6"/>
  <c r="W149" i="6"/>
  <c r="X149" i="6"/>
  <c r="W103" i="6"/>
  <c r="X103" i="6"/>
  <c r="W151" i="6"/>
  <c r="X151" i="6"/>
  <c r="X122" i="6"/>
  <c r="W111" i="6"/>
  <c r="X111" i="6"/>
  <c r="W130" i="6"/>
  <c r="X130" i="6"/>
  <c r="W148" i="6"/>
  <c r="X148" i="6"/>
  <c r="W118" i="6"/>
  <c r="X118" i="6"/>
  <c r="X120" i="6"/>
  <c r="W120" i="6"/>
  <c r="W102" i="6"/>
  <c r="X102" i="6"/>
  <c r="W143" i="6"/>
  <c r="X143" i="6"/>
  <c r="X142" i="6"/>
  <c r="W142" i="6"/>
  <c r="X112" i="6"/>
  <c r="W112" i="6"/>
  <c r="W156" i="6"/>
  <c r="X156" i="6"/>
  <c r="X127" i="6"/>
  <c r="W127" i="6"/>
  <c r="M65" i="6"/>
  <c r="S65" i="6" s="1"/>
  <c r="V65" i="6" s="1"/>
  <c r="M15" i="6"/>
  <c r="S15" i="6" s="1"/>
  <c r="V15" i="6" s="1"/>
  <c r="R15" i="6"/>
  <c r="M9" i="6"/>
  <c r="S9" i="6" s="1"/>
  <c r="V9" i="6" s="1"/>
  <c r="W9" i="6" s="1"/>
  <c r="R9" i="6"/>
  <c r="W165" i="6"/>
  <c r="X165" i="6"/>
  <c r="W133" i="6"/>
  <c r="X133" i="6"/>
  <c r="W139" i="6"/>
  <c r="X139" i="6"/>
  <c r="W109" i="6"/>
  <c r="X109" i="6"/>
  <c r="W162" i="6"/>
  <c r="W129" i="6"/>
  <c r="X129" i="6"/>
  <c r="W170" i="6"/>
  <c r="W126" i="6"/>
  <c r="R69" i="6"/>
  <c r="M69" i="6"/>
  <c r="S69" i="6" s="1"/>
  <c r="V69" i="6" s="1"/>
  <c r="M12" i="6"/>
  <c r="S12" i="6" s="1"/>
  <c r="V12" i="6" s="1"/>
  <c r="R12" i="6"/>
  <c r="W136" i="6"/>
  <c r="X136" i="6"/>
  <c r="W160" i="6"/>
  <c r="X160" i="6"/>
  <c r="W105" i="6"/>
  <c r="X105" i="6"/>
  <c r="R48" i="6"/>
  <c r="M48" i="6"/>
  <c r="S48" i="6" s="1"/>
  <c r="V48" i="6" s="1"/>
  <c r="W48" i="6" s="1"/>
  <c r="W153" i="6"/>
  <c r="X153" i="6"/>
  <c r="W146" i="6"/>
  <c r="X146" i="6"/>
  <c r="X124" i="6"/>
  <c r="W124" i="6"/>
  <c r="W116" i="6"/>
  <c r="X116" i="6"/>
  <c r="W100" i="6"/>
  <c r="X100" i="6"/>
  <c r="W134" i="6"/>
  <c r="V7" i="6"/>
  <c r="W7" i="6" s="1"/>
  <c r="M70" i="6"/>
  <c r="S70" i="6" s="1"/>
  <c r="V70" i="6" s="1"/>
  <c r="W70" i="6" s="1"/>
  <c r="M27" i="6"/>
  <c r="S27" i="6" s="1"/>
  <c r="V27" i="6" s="1"/>
  <c r="V37" i="6"/>
  <c r="X37" i="6" s="1"/>
  <c r="X157" i="6"/>
  <c r="X154" i="6"/>
  <c r="X166" i="6"/>
  <c r="X145" i="6"/>
  <c r="X137" i="6"/>
  <c r="X123" i="6"/>
  <c r="X115" i="6"/>
  <c r="X107" i="6"/>
  <c r="X99" i="6"/>
  <c r="N86" i="6"/>
  <c r="T86" i="6" s="1"/>
  <c r="M86" i="6"/>
  <c r="S86" i="6" s="1"/>
  <c r="N33" i="6"/>
  <c r="T33" i="6" s="1"/>
  <c r="M62" i="6"/>
  <c r="S62" i="6" s="1"/>
  <c r="V62" i="6" s="1"/>
  <c r="R62" i="6"/>
  <c r="M60" i="6"/>
  <c r="S60" i="6" s="1"/>
  <c r="V60" i="6" s="1"/>
  <c r="M21" i="6"/>
  <c r="S21" i="6" s="1"/>
  <c r="N21" i="6"/>
  <c r="T21" i="6" s="1"/>
  <c r="M66" i="6"/>
  <c r="S66" i="6" s="1"/>
  <c r="V66" i="6" s="1"/>
  <c r="R66" i="6"/>
  <c r="M67" i="6"/>
  <c r="S67" i="6" s="1"/>
  <c r="V67" i="6" s="1"/>
  <c r="R67" i="6"/>
  <c r="R29" i="6"/>
  <c r="M29" i="6"/>
  <c r="S29" i="6" s="1"/>
  <c r="N68" i="6"/>
  <c r="T68" i="6" s="1"/>
  <c r="M68" i="6"/>
  <c r="S68" i="6" s="1"/>
  <c r="M17" i="6"/>
  <c r="S17" i="6" s="1"/>
  <c r="V17" i="6" s="1"/>
  <c r="R17" i="6"/>
  <c r="M56" i="6"/>
  <c r="S56" i="6" s="1"/>
  <c r="V56" i="6" s="1"/>
  <c r="M28" i="6"/>
  <c r="S28" i="6" s="1"/>
  <c r="V28" i="6" s="1"/>
  <c r="R28" i="6"/>
  <c r="M61" i="6"/>
  <c r="S61" i="6" s="1"/>
  <c r="N61" i="6"/>
  <c r="T61" i="6" s="1"/>
  <c r="M22" i="6"/>
  <c r="S22" i="6" s="1"/>
  <c r="V22" i="6" s="1"/>
  <c r="R22" i="6"/>
  <c r="M64" i="6"/>
  <c r="S64" i="6" s="1"/>
  <c r="V64" i="6" s="1"/>
  <c r="M59" i="6"/>
  <c r="S59" i="6" s="1"/>
  <c r="V59" i="6" s="1"/>
  <c r="R59" i="6"/>
  <c r="M54" i="6"/>
  <c r="S54" i="6" s="1"/>
  <c r="V54" i="6" s="1"/>
  <c r="R54" i="6"/>
  <c r="M47" i="6"/>
  <c r="S47" i="6" s="1"/>
  <c r="V47" i="6" s="1"/>
  <c r="M43" i="6"/>
  <c r="S43" i="6" s="1"/>
  <c r="V43" i="6" s="1"/>
  <c r="M14" i="6"/>
  <c r="S14" i="6" s="1"/>
  <c r="V14" i="6" s="1"/>
  <c r="R14" i="6"/>
  <c r="M10" i="6"/>
  <c r="S10" i="6" s="1"/>
  <c r="V10" i="6" s="1"/>
  <c r="M4" i="6"/>
  <c r="S4" i="6" s="1"/>
  <c r="N4" i="6"/>
  <c r="T4" i="6" s="1"/>
  <c r="M89" i="6"/>
  <c r="M63" i="6"/>
  <c r="S63" i="6" s="1"/>
  <c r="V63" i="6" s="1"/>
  <c r="M55" i="6"/>
  <c r="S55" i="6" s="1"/>
  <c r="V55" i="6" s="1"/>
  <c r="M51" i="6"/>
  <c r="S51" i="6" s="1"/>
  <c r="V51" i="6" s="1"/>
  <c r="M24" i="6"/>
  <c r="S24" i="6" s="1"/>
  <c r="V24" i="6" s="1"/>
  <c r="M23" i="6"/>
  <c r="S23" i="6" s="1"/>
  <c r="V23" i="6" s="1"/>
  <c r="M18" i="6"/>
  <c r="S18" i="6" s="1"/>
  <c r="V18" i="6" s="1"/>
  <c r="R3" i="6"/>
  <c r="M77" i="6"/>
  <c r="S77" i="6" s="1"/>
  <c r="V77" i="6" s="1"/>
  <c r="R63" i="6"/>
  <c r="R55" i="6"/>
  <c r="R46" i="6"/>
  <c r="S89" i="6" l="1"/>
  <c r="V89" i="6" s="1"/>
  <c r="V92" i="6"/>
  <c r="S88" i="6"/>
  <c r="V88" i="6" s="1"/>
  <c r="V86" i="6"/>
  <c r="W38" i="6"/>
  <c r="W40" i="6"/>
  <c r="X36" i="6"/>
  <c r="V34" i="6"/>
  <c r="W34" i="6" s="1"/>
  <c r="W58" i="6"/>
  <c r="X27" i="6"/>
  <c r="W27" i="6"/>
  <c r="V33" i="6"/>
  <c r="X33" i="6" s="1"/>
  <c r="N35" i="6"/>
  <c r="T35" i="6" s="1"/>
  <c r="V35" i="6" s="1"/>
  <c r="W20" i="6"/>
  <c r="W50" i="6"/>
  <c r="X50" i="6"/>
  <c r="X9" i="6"/>
  <c r="X7" i="6"/>
  <c r="V16" i="6"/>
  <c r="X16" i="6" s="1"/>
  <c r="X42" i="6"/>
  <c r="W13" i="6"/>
  <c r="X13" i="6"/>
  <c r="W39" i="6"/>
  <c r="X48" i="6"/>
  <c r="W41" i="6"/>
  <c r="W19" i="6"/>
  <c r="W8" i="6"/>
  <c r="X8" i="6"/>
  <c r="W37" i="6"/>
  <c r="X3" i="6"/>
  <c r="X70" i="6"/>
  <c r="V21" i="6"/>
  <c r="X21" i="6" s="1"/>
  <c r="V61" i="6"/>
  <c r="X61" i="6" s="1"/>
  <c r="W62" i="6"/>
  <c r="X62" i="6"/>
  <c r="W54" i="6"/>
  <c r="X54" i="6"/>
  <c r="X59" i="6"/>
  <c r="W59" i="6"/>
  <c r="X67" i="6"/>
  <c r="W67" i="6"/>
  <c r="X14" i="6"/>
  <c r="W14" i="6"/>
  <c r="W57" i="6"/>
  <c r="X57" i="6"/>
  <c r="X44" i="6"/>
  <c r="W44" i="6"/>
  <c r="X47" i="6"/>
  <c r="W47" i="6"/>
  <c r="X18" i="6"/>
  <c r="W18" i="6"/>
  <c r="W46" i="6"/>
  <c r="X46" i="6"/>
  <c r="W22" i="6"/>
  <c r="X22" i="6"/>
  <c r="X23" i="6"/>
  <c r="W23" i="6"/>
  <c r="V4" i="6"/>
  <c r="X10" i="6"/>
  <c r="W10" i="6"/>
  <c r="X11" i="6"/>
  <c r="W11" i="6"/>
  <c r="X6" i="6"/>
  <c r="W6" i="6"/>
  <c r="W49" i="6"/>
  <c r="X49" i="6"/>
  <c r="W26" i="6"/>
  <c r="X26" i="6"/>
  <c r="W53" i="6"/>
  <c r="X53" i="6"/>
  <c r="W60" i="6"/>
  <c r="X60" i="6"/>
  <c r="W69" i="6"/>
  <c r="X69" i="6"/>
  <c r="W52" i="6"/>
  <c r="X52" i="6"/>
  <c r="W45" i="6"/>
  <c r="X45" i="6"/>
  <c r="W25" i="6"/>
  <c r="X25" i="6"/>
  <c r="X51" i="6"/>
  <c r="W51" i="6"/>
  <c r="X2" i="6"/>
  <c r="W5" i="6"/>
  <c r="X5" i="6"/>
  <c r="V68" i="6"/>
  <c r="W66" i="6"/>
  <c r="X66" i="6"/>
  <c r="X55" i="6"/>
  <c r="W55" i="6"/>
  <c r="X28" i="6"/>
  <c r="W28" i="6"/>
  <c r="X77" i="6"/>
  <c r="W77" i="6"/>
  <c r="W12" i="6"/>
  <c r="X12" i="6"/>
  <c r="X63" i="6"/>
  <c r="W63" i="6"/>
  <c r="W17" i="6"/>
  <c r="X17" i="6"/>
  <c r="X64" i="6"/>
  <c r="W64" i="6"/>
  <c r="X56" i="6"/>
  <c r="W56" i="6"/>
  <c r="W15" i="6"/>
  <c r="X15" i="6"/>
  <c r="W24" i="6"/>
  <c r="X24" i="6"/>
  <c r="W65" i="6"/>
  <c r="X65" i="6"/>
  <c r="X43" i="6"/>
  <c r="W43" i="6"/>
  <c r="X88" i="6" l="1"/>
  <c r="W88" i="6"/>
  <c r="X89" i="6"/>
  <c r="W89" i="6"/>
  <c r="X92" i="6"/>
  <c r="W92" i="6"/>
  <c r="X86" i="6"/>
  <c r="W86" i="6"/>
  <c r="W16" i="6"/>
  <c r="X34" i="6"/>
  <c r="W33" i="6"/>
  <c r="W35" i="6"/>
  <c r="X35" i="6"/>
  <c r="W21" i="6"/>
  <c r="W61" i="6"/>
  <c r="X4" i="6"/>
  <c r="W4" i="6"/>
  <c r="W68" i="6"/>
  <c r="X6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7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Inferred based on averages, not measured</t>
        </r>
      </text>
    </comment>
  </commentList>
</comments>
</file>

<file path=xl/sharedStrings.xml><?xml version="1.0" encoding="utf-8"?>
<sst xmlns="http://schemas.openxmlformats.org/spreadsheetml/2006/main" count="763" uniqueCount="241">
  <si>
    <t>Species</t>
  </si>
  <si>
    <t>Group</t>
  </si>
  <si>
    <t>Stratigraphy</t>
  </si>
  <si>
    <t>Age (Mya)</t>
  </si>
  <si>
    <t>stomatal length (um)</t>
  </si>
  <si>
    <t>stomatal width (um)</t>
  </si>
  <si>
    <t>Source</t>
  </si>
  <si>
    <t>Lepidodendrales</t>
  </si>
  <si>
    <t xml:space="preserve">Thomas BA (1965) </t>
  </si>
  <si>
    <t>n/a</t>
  </si>
  <si>
    <t>Roof shale of Major Coal #3 (Westphalian B)</t>
  </si>
  <si>
    <t>Thomas BA (1967) Bothrodendron</t>
  </si>
  <si>
    <t>Westphalian A</t>
  </si>
  <si>
    <t>Dark-grey shale from Kilmarnock, Ayrshire, Scotland, exact horizon unknown</t>
  </si>
  <si>
    <t>Thomas BA (1967) Ulodendron</t>
  </si>
  <si>
    <t>Location of cuticle</t>
  </si>
  <si>
    <t>stomatal length to aperture length scaler</t>
  </si>
  <si>
    <t>Aperture length (um)</t>
  </si>
  <si>
    <t>stomatal width to aperture width scaler</t>
  </si>
  <si>
    <t>Aperture width (um)</t>
  </si>
  <si>
    <t>"Stomatal size", um^2</t>
  </si>
  <si>
    <t>stomatal pore area (um^2)</t>
  </si>
  <si>
    <t>stomatal pore depth (um)</t>
  </si>
  <si>
    <t>Stomatal density, mm^-2</t>
  </si>
  <si>
    <t>Stomatal index</t>
  </si>
  <si>
    <t>E density</t>
  </si>
  <si>
    <t>Stomatal pore length (m)</t>
  </si>
  <si>
    <t>Stomatal pore area Amax (m2)</t>
  </si>
  <si>
    <t>Stomatal pore depth (m)</t>
  </si>
  <si>
    <t>Density (m)</t>
  </si>
  <si>
    <t>Gmax mol  m-2 s-1</t>
  </si>
  <si>
    <t>Gmax mmol  m-2 s-1</t>
  </si>
  <si>
    <t xml:space="preserve">Bothrodendron minutifolium </t>
  </si>
  <si>
    <t>leaf</t>
  </si>
  <si>
    <t>318-303</t>
  </si>
  <si>
    <t xml:space="preserve">Bothrodendron punctatum </t>
  </si>
  <si>
    <t>Lepidodendron aculeatum</t>
  </si>
  <si>
    <t>groove between leaf cushions</t>
  </si>
  <si>
    <t>Westphalian</t>
  </si>
  <si>
    <t>Thomas BA (1970) Lepidodendron</t>
  </si>
  <si>
    <t>leaf cushion</t>
  </si>
  <si>
    <t xml:space="preserve">Lepidodendron arberi sp. </t>
  </si>
  <si>
    <t xml:space="preserve">Lepidodendron dichotomum </t>
  </si>
  <si>
    <t>Lepidodendron feistmanteli</t>
  </si>
  <si>
    <t xml:space="preserve">Lepidodendron loricatum </t>
  </si>
  <si>
    <t>Lepidodendron mannabachense</t>
  </si>
  <si>
    <t>leaf scars</t>
  </si>
  <si>
    <t xml:space="preserve">Lepidodendron obovatum </t>
  </si>
  <si>
    <t>Lepidodendron peachii</t>
  </si>
  <si>
    <t>Lepidodendron rhodianum</t>
  </si>
  <si>
    <t>Namurian</t>
  </si>
  <si>
    <t>331-318</t>
  </si>
  <si>
    <t>Lepidodendron subdichotomum</t>
  </si>
  <si>
    <t>Lepidophloios acadianus</t>
  </si>
  <si>
    <t>Thomas BA (1977) Lepidophloios</t>
  </si>
  <si>
    <t>Lepidophloios acerosus</t>
  </si>
  <si>
    <t>Lepidophloios grangeri</t>
  </si>
  <si>
    <t>Lepidophloios laricinus</t>
  </si>
  <si>
    <t>Lepidophloios macrolepidotus</t>
  </si>
  <si>
    <t xml:space="preserve">Ulodendron landsburgii </t>
  </si>
  <si>
    <t>basal part of leaf</t>
  </si>
  <si>
    <t>Thomas BA (1968) Ulodendron</t>
  </si>
  <si>
    <t>distal part of leaf</t>
  </si>
  <si>
    <t>flat area of stem above leaf cushion</t>
  </si>
  <si>
    <t xml:space="preserve">Ulodendron majus </t>
  </si>
  <si>
    <t>Gmax m s-1</t>
  </si>
  <si>
    <t>Medullosan</t>
  </si>
  <si>
    <t>Calhoun Coal</t>
  </si>
  <si>
    <t>Cohn Coal (roof shale), IL</t>
  </si>
  <si>
    <t>Bristol Hill Coal</t>
  </si>
  <si>
    <t>Womac Coal, Phoenix Mining Co Malone Pit, Corinth IL</t>
  </si>
  <si>
    <t>Exline/Athensville Lake Crk Coal (below the Exline/Scottsville)</t>
  </si>
  <si>
    <t>Cottage Coal</t>
  </si>
  <si>
    <t>Cottage Coal (Grove mine)</t>
  </si>
  <si>
    <t>Danville Coal - Roof: Peabody Farmersburg Pit 7, IN</t>
  </si>
  <si>
    <t>Baker Coal Hymera Coal 4 Rivers Mine</t>
  </si>
  <si>
    <t xml:space="preserve">Springfield Coal </t>
  </si>
  <si>
    <t>Springfield Coal</t>
  </si>
  <si>
    <t>Colchester Coal</t>
  </si>
  <si>
    <t>Seeleyville Coal</t>
  </si>
  <si>
    <t>Murphysboro Coal (dark shale below coal); Creek Paum Mine – Pit 4</t>
  </si>
  <si>
    <t>Murphysboro</t>
  </si>
  <si>
    <t>Murphysboro Coal</t>
  </si>
  <si>
    <t>Upper Block Rider</t>
  </si>
  <si>
    <t>Šimůnek and Florjan (2013)</t>
  </si>
  <si>
    <t>Cordaadaxicutis bracteatus</t>
  </si>
  <si>
    <t>Cordaadaxicutis carpaticus</t>
  </si>
  <si>
    <t>Cordaadaxicutis zoldanii</t>
  </si>
  <si>
    <t>Cordaadaxicutis papillostomatus</t>
  </si>
  <si>
    <t>Cordaites rerichensis</t>
  </si>
  <si>
    <t>Cordaites pilsensis</t>
  </si>
  <si>
    <t>Cordaites principalis type 2</t>
  </si>
  <si>
    <t>Cordaites borassifolius</t>
  </si>
  <si>
    <t>Cordaadaxicutis tectostomatus</t>
  </si>
  <si>
    <t>Cordaadaxicutis pussilostomatus</t>
  </si>
  <si>
    <t>Cordaadaxicutis zalezensis</t>
  </si>
  <si>
    <t>Cordaadaxicutis krawjewskae</t>
  </si>
  <si>
    <t>Šimůnek (2007)</t>
  </si>
  <si>
    <t>Zodrow et al. (2000)</t>
  </si>
  <si>
    <t>Šimůnek (2007), Šimůnek et al. (2009)</t>
  </si>
  <si>
    <t>Cordaadaxicutis janinae</t>
  </si>
  <si>
    <t>Cordaadaxicutis laziskae</t>
  </si>
  <si>
    <t>Cordaabaxicutis brzyskii</t>
  </si>
  <si>
    <t>Cordaabaxicutis sierszae</t>
  </si>
  <si>
    <t>Cordaabaxicutis gorae</t>
  </si>
  <si>
    <t>Cordaabaxicutis boleslawii </t>
  </si>
  <si>
    <t>Cordaabaxicutis czeczottensis</t>
  </si>
  <si>
    <t>Cordaabaxicutis borassifolioides</t>
  </si>
  <si>
    <t>Cordaabaxicutis papilloborassifolius </t>
  </si>
  <si>
    <t>Bowmanitales</t>
  </si>
  <si>
    <t>Sphenophyllum koboense</t>
  </si>
  <si>
    <t>Sphenophyllum apiciserratum</t>
  </si>
  <si>
    <t>Yao et al. (2000)</t>
  </si>
  <si>
    <t>Reticulopteris germarii</t>
  </si>
  <si>
    <t>Neuropteris obliqua</t>
  </si>
  <si>
    <t>Laveineopteris loshii</t>
  </si>
  <si>
    <t>Neuralethopteris schlehanii</t>
  </si>
  <si>
    <t>Neuropteris loshii</t>
  </si>
  <si>
    <t>Neuropteris tenuifolia</t>
  </si>
  <si>
    <t>Neuropteris rarinervi</t>
  </si>
  <si>
    <t>Neuropteris ovata var. simonii</t>
  </si>
  <si>
    <t>Neuropteris ovata var. sarana</t>
  </si>
  <si>
    <t>Neuropteris aconiensis</t>
  </si>
  <si>
    <t>Neuropteris flexuosa</t>
  </si>
  <si>
    <t>Neuropteris scheuchzeri</t>
  </si>
  <si>
    <t>Neuropteris macrophylla</t>
  </si>
  <si>
    <t>Neuropteris britannica</t>
  </si>
  <si>
    <t>Neuropteris subariculata</t>
  </si>
  <si>
    <t>Neuropteris sp. 1</t>
  </si>
  <si>
    <t>Neuropteris sp. 2</t>
  </si>
  <si>
    <t>Alethopteris sullivanti</t>
  </si>
  <si>
    <t>Alethopteris lesquereuxi</t>
  </si>
  <si>
    <t>Blanzyopteris praedentata</t>
  </si>
  <si>
    <t>Senftenbergia plumosa</t>
  </si>
  <si>
    <t>Laveinopteris tenuifolia</t>
  </si>
  <si>
    <t>Lescuropteris genuina</t>
  </si>
  <si>
    <t>Schopfiastrum decussatum</t>
  </si>
  <si>
    <t>Noeggerathia foliosa</t>
  </si>
  <si>
    <t>Šimůnek and Bek (2003)</t>
  </si>
  <si>
    <t>Dicksonia antarctica</t>
  </si>
  <si>
    <t>Hunt et al. (2002)</t>
  </si>
  <si>
    <t>Cyathea australis</t>
  </si>
  <si>
    <t>Volkova et al. (2010)</t>
  </si>
  <si>
    <t>Rumohra adiantiformis</t>
  </si>
  <si>
    <t>Stamps et al. (1994)</t>
  </si>
  <si>
    <t>Sphaeropteris cooperi</t>
  </si>
  <si>
    <t>Cibotium spp.</t>
  </si>
  <si>
    <t>Durand and Goldstein (2001)</t>
  </si>
  <si>
    <t>307.2-310</t>
  </si>
  <si>
    <t>305-307.2</t>
  </si>
  <si>
    <t>307.2-308.5</t>
  </si>
  <si>
    <t>20.5-23</t>
  </si>
  <si>
    <t>S. emarginatum
BRONGNIART [C]</t>
  </si>
  <si>
    <t>S. speciosum(ROYLE) ZEILLER [C]</t>
  </si>
  <si>
    <t>S. miravallis</t>
  </si>
  <si>
    <t>S.sp. [dispersed]BROGNIART</t>
  </si>
  <si>
    <t>BATENBURG (1981, 1982)</t>
  </si>
  <si>
    <t>BATENBURG (1981)</t>
  </si>
  <si>
    <t>PANT &amp; MEHRA (1963)</t>
  </si>
  <si>
    <t>BATENBURG &amp; HETTERSCHEID (1984)</t>
  </si>
  <si>
    <t>SIMUNEK (2015)</t>
  </si>
  <si>
    <t>Psenicka unpublished thesis 2005</t>
  </si>
  <si>
    <t>Lloyd Cove coal seam (Cantabrian).</t>
  </si>
  <si>
    <t>Marattialean fern</t>
  </si>
  <si>
    <t>Diplazites unitus</t>
  </si>
  <si>
    <t>Acitheca polymorpha</t>
  </si>
  <si>
    <t>Westphalian D, Pennsylvanian, Carboniferous</t>
  </si>
  <si>
    <t>Pecopteris nyranensis</t>
  </si>
  <si>
    <t>Emery coal seam (Asturian)</t>
  </si>
  <si>
    <t>Pecopteris cyathea</t>
  </si>
  <si>
    <t>Stubbart coal seam (Asturian)</t>
  </si>
  <si>
    <t>Pecopteris arborescens</t>
  </si>
  <si>
    <t>Radnice Member, Kladno Formation (Bolsovian)</t>
  </si>
  <si>
    <t>Lobatopteris miltonii</t>
  </si>
  <si>
    <t>Phalen coal seam (Asturian)</t>
  </si>
  <si>
    <t>Pecopteris cf. micromiltonii</t>
  </si>
  <si>
    <t>Lloyd Cove seam (Cantabrian).</t>
  </si>
  <si>
    <t>Lobatopteris polypodioides</t>
  </si>
  <si>
    <t>Nýřany Member, Kladno Formation (Asturian)</t>
  </si>
  <si>
    <t>Lobatopteris aspidioides</t>
  </si>
  <si>
    <t>SD not reported in source</t>
  </si>
  <si>
    <t>Psenicka et al 2003</t>
  </si>
  <si>
    <t>Roof rocks of the Stubbart coal seam (upper Westphalian D)</t>
  </si>
  <si>
    <t>Sydneia manleyi</t>
  </si>
  <si>
    <t>Franks and Beerling 2009a</t>
  </si>
  <si>
    <t xml:space="preserve">Psenicka J, Zodrow EI, Mastalerz M, &amp; Bek J (2005) </t>
  </si>
  <si>
    <t>Pecopteris polipodioides</t>
  </si>
  <si>
    <t>Pecopteris miltonii</t>
  </si>
  <si>
    <t>Pecopteris aspidioides</t>
  </si>
  <si>
    <t>Psenicka and Bek 2003</t>
  </si>
  <si>
    <t>Kladno formation</t>
  </si>
  <si>
    <t>Fern</t>
  </si>
  <si>
    <t>Steftenbergia plumosa</t>
  </si>
  <si>
    <t>Joseph</t>
  </si>
  <si>
    <t>Recent</t>
  </si>
  <si>
    <t>Cyatheales</t>
  </si>
  <si>
    <t>Progymnosperm</t>
  </si>
  <si>
    <t>Cordaadaxicutis/Cordiaitra</t>
  </si>
  <si>
    <t>Cordaites/Cordiaitra</t>
  </si>
  <si>
    <t>Minimum Guard Cells</t>
  </si>
  <si>
    <t>Jonathan Wilson student</t>
  </si>
  <si>
    <t>Uppermost Asturian</t>
  </si>
  <si>
    <t>Sphenopsid/Calamitealean</t>
  </si>
  <si>
    <t>dispersed foliar cuticle</t>
  </si>
  <si>
    <t>Min Desntiy</t>
  </si>
  <si>
    <t>Max Guard Cell</t>
  </si>
  <si>
    <t>Max Density</t>
  </si>
  <si>
    <t>Scaler Used for Aperture Width</t>
  </si>
  <si>
    <t>Pore Length</t>
  </si>
  <si>
    <t xml:space="preserve">Lower Stephanian </t>
  </si>
  <si>
    <t>Guard Cell Data</t>
  </si>
  <si>
    <t>Pore Data</t>
  </si>
  <si>
    <t>Lower Gondwana</t>
  </si>
  <si>
    <t>Minimum Pore Length</t>
  </si>
  <si>
    <t>Westphalian D</t>
  </si>
  <si>
    <t>Average Pore Length</t>
  </si>
  <si>
    <t>Average Guard Cell Width Used to Project Pore Depth</t>
  </si>
  <si>
    <t>Max Pore Length</t>
  </si>
  <si>
    <t>Average Guard Cells</t>
  </si>
  <si>
    <t>Beerling 2002</t>
  </si>
  <si>
    <t>Lepidodendron serpentigerum</t>
  </si>
  <si>
    <t>Lepidodendron barnsleyense sp.</t>
  </si>
  <si>
    <t>stem</t>
  </si>
  <si>
    <t>Lepidodendron veltheimii</t>
  </si>
  <si>
    <t>Notes</t>
  </si>
  <si>
    <t>Gathered by</t>
  </si>
  <si>
    <t>Macroneuropteris scheuchzeri</t>
  </si>
  <si>
    <t>Neuropteris ovata aconiensis</t>
  </si>
  <si>
    <t>Neuropteris ovata Sarana</t>
  </si>
  <si>
    <t>Neuropteris ovata simonii</t>
  </si>
  <si>
    <t>Somner, 1989</t>
  </si>
  <si>
    <t>Rufloria</t>
  </si>
  <si>
    <t>Emporia cryptica</t>
  </si>
  <si>
    <t xml:space="preserve"> (Hernandez-Castillo et al 2009 Rev Paleo Paly)</t>
  </si>
  <si>
    <t>Emporia lockardii</t>
  </si>
  <si>
    <t xml:space="preserve"> Hernandez-Castillo et al 2009 Int J Plant Sci)</t>
  </si>
  <si>
    <t>Emporia royalii</t>
  </si>
  <si>
    <t>Walchian confier</t>
  </si>
  <si>
    <t>Rufloria gondwanensis</t>
  </si>
  <si>
    <t>Thucydia mahoningensis</t>
  </si>
  <si>
    <t>Hernandez-Castillo (2001)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</si>
</sst>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E+00"/>
    <numFmt numFmtId="170" formatCode="0.000"/>
    <numFmt numFmtId="171" formatCode="0.0"/>
  </numFmts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Times New Roman"/>
      <family val="1"/>
    </font>
    <font>
      <i/>
      <sz val="12"/>
      <color indexed="8"/>
      <name val="Calibri"/>
      <family val="2"/>
    </font>
    <font>
      <sz val="12"/>
      <color indexed="8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Garamond"/>
      <family val="1"/>
    </font>
    <font>
      <sz val="11"/>
      <color theme="1"/>
      <name val="Garamond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FEDE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DC7BD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11" fillId="0" borderId="0"/>
    <xf numFmtId="0" fontId="12" fillId="0" borderId="0"/>
    <xf numFmtId="0" fontId="2" fillId="0" borderId="0"/>
    <xf numFmtId="0" fontId="13" fillId="0" borderId="0"/>
    <xf numFmtId="0" fontId="14" fillId="0" borderId="0"/>
    <xf numFmtId="0" fontId="1" fillId="0" borderId="0"/>
    <xf numFmtId="0" fontId="15" fillId="0" borderId="0"/>
  </cellStyleXfs>
  <cellXfs count="103">
    <xf numFmtId="0" fontId="0" fillId="0" borderId="0" xfId="0"/>
    <xf numFmtId="0" fontId="3" fillId="0" borderId="0" xfId="0" applyFont="1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4" fontId="0" fillId="2" borderId="0" xfId="0" applyNumberFormat="1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0" fillId="2" borderId="0" xfId="0" applyNumberFormat="1" applyFill="1"/>
    <xf numFmtId="170" fontId="0" fillId="2" borderId="0" xfId="0" applyNumberFormat="1" applyFill="1"/>
    <xf numFmtId="1" fontId="0" fillId="0" borderId="0" xfId="0" applyNumberFormat="1"/>
    <xf numFmtId="0" fontId="0" fillId="5" borderId="0" xfId="0" applyFill="1"/>
    <xf numFmtId="0" fontId="0" fillId="0" borderId="4" xfId="0" applyBorder="1"/>
    <xf numFmtId="0" fontId="8" fillId="0" borderId="4" xfId="0" applyFont="1" applyBorder="1" applyAlignment="1">
      <alignment horizontal="center" vertical="center" wrapText="1"/>
    </xf>
    <xf numFmtId="1" fontId="0" fillId="2" borderId="4" xfId="0" applyNumberFormat="1" applyFill="1" applyBorder="1"/>
    <xf numFmtId="170" fontId="0" fillId="2" borderId="4" xfId="0" applyNumberFormat="1" applyFill="1" applyBorder="1"/>
    <xf numFmtId="1" fontId="0" fillId="0" borderId="4" xfId="0" applyNumberFormat="1" applyBorder="1"/>
    <xf numFmtId="0" fontId="0" fillId="6" borderId="0" xfId="0" applyFill="1"/>
    <xf numFmtId="11" fontId="0" fillId="0" borderId="4" xfId="0" applyNumberFormat="1" applyBorder="1"/>
    <xf numFmtId="0" fontId="0" fillId="6" borderId="4" xfId="0" applyFill="1" applyBorder="1"/>
    <xf numFmtId="0" fontId="0" fillId="7" borderId="0" xfId="0" applyFill="1"/>
    <xf numFmtId="0" fontId="5" fillId="0" borderId="4" xfId="0" applyFont="1" applyBorder="1"/>
    <xf numFmtId="0" fontId="0" fillId="7" borderId="4" xfId="0" applyFill="1" applyBorder="1"/>
    <xf numFmtId="0" fontId="8" fillId="0" borderId="0" xfId="0" applyFont="1" applyAlignment="1">
      <alignment horizontal="center" vertical="center"/>
    </xf>
    <xf numFmtId="1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8" borderId="0" xfId="0" applyFill="1"/>
    <xf numFmtId="0" fontId="7" fillId="8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2" borderId="0" xfId="0" applyNumberFormat="1" applyFill="1" applyAlignment="1">
      <alignment horizontal="right" vertical="center"/>
    </xf>
    <xf numFmtId="170" fontId="0" fillId="2" borderId="0" xfId="0" applyNumberFormat="1" applyFill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171" fontId="0" fillId="0" borderId="0" xfId="0" applyNumberFormat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1" fontId="0" fillId="2" borderId="4" xfId="0" applyNumberFormat="1" applyFill="1" applyBorder="1" applyAlignment="1">
      <alignment horizontal="right"/>
    </xf>
    <xf numFmtId="170" fontId="0" fillId="2" borderId="4" xfId="0" applyNumberFormat="1" applyFill="1" applyBorder="1" applyAlignment="1">
      <alignment horizontal="right"/>
    </xf>
    <xf numFmtId="11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right" vertical="center"/>
    </xf>
    <xf numFmtId="1" fontId="0" fillId="0" borderId="4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0" fillId="8" borderId="4" xfId="0" applyFill="1" applyBorder="1"/>
    <xf numFmtId="0" fontId="7" fillId="8" borderId="4" xfId="0" applyFont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171" fontId="0" fillId="0" borderId="0" xfId="0" applyNumberFormat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9" borderId="5" xfId="0" applyFill="1" applyBorder="1"/>
    <xf numFmtId="0" fontId="0" fillId="0" borderId="5" xfId="0" applyBorder="1"/>
    <xf numFmtId="171" fontId="0" fillId="0" borderId="5" xfId="0" applyNumberFormat="1" applyBorder="1"/>
    <xf numFmtId="11" fontId="0" fillId="0" borderId="5" xfId="0" applyNumberFormat="1" applyBorder="1"/>
    <xf numFmtId="170" fontId="0" fillId="2" borderId="5" xfId="0" applyNumberFormat="1" applyFill="1" applyBorder="1"/>
    <xf numFmtId="164" fontId="0" fillId="2" borderId="5" xfId="0" applyNumberFormat="1" applyFill="1" applyBorder="1"/>
    <xf numFmtId="1" fontId="0" fillId="2" borderId="5" xfId="0" applyNumberFormat="1" applyFill="1" applyBorder="1"/>
    <xf numFmtId="0" fontId="0" fillId="5" borderId="5" xfId="0" applyFill="1" applyBorder="1"/>
    <xf numFmtId="1" fontId="0" fillId="0" borderId="5" xfId="0" applyNumberFormat="1" applyBorder="1"/>
    <xf numFmtId="0" fontId="0" fillId="0" borderId="5" xfId="0" applyBorder="1" applyAlignment="1">
      <alignment horizontal="right"/>
    </xf>
    <xf numFmtId="0" fontId="0" fillId="13" borderId="0" xfId="0" applyFill="1"/>
    <xf numFmtId="0" fontId="0" fillId="10" borderId="5" xfId="0" applyFill="1" applyBorder="1"/>
    <xf numFmtId="0" fontId="0" fillId="14" borderId="0" xfId="0" applyFill="1"/>
    <xf numFmtId="0" fontId="0" fillId="12" borderId="5" xfId="0" applyFill="1" applyBorder="1"/>
    <xf numFmtId="0" fontId="0" fillId="14" borderId="5" xfId="0" applyFill="1" applyBorder="1"/>
    <xf numFmtId="0" fontId="6" fillId="0" borderId="0" xfId="1"/>
    <xf numFmtId="0" fontId="0" fillId="6" borderId="5" xfId="0" applyFill="1" applyBorder="1"/>
    <xf numFmtId="0" fontId="5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0" fillId="5" borderId="4" xfId="0" applyFill="1" applyBorder="1"/>
    <xf numFmtId="0" fontId="0" fillId="15" borderId="0" xfId="0" applyFill="1"/>
    <xf numFmtId="0" fontId="6" fillId="15" borderId="0" xfId="1" applyFill="1"/>
    <xf numFmtId="0" fontId="0" fillId="16" borderId="0" xfId="0" applyFill="1"/>
    <xf numFmtId="0" fontId="0" fillId="15" borderId="5" xfId="0" applyFill="1" applyBorder="1"/>
    <xf numFmtId="2" fontId="0" fillId="0" borderId="5" xfId="0" applyNumberFormat="1" applyBorder="1"/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right" vertical="center"/>
    </xf>
    <xf numFmtId="2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170" fontId="0" fillId="0" borderId="0" xfId="0" applyNumberFormat="1" applyFill="1" applyAlignment="1">
      <alignment horizontal="right"/>
    </xf>
    <xf numFmtId="164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8" fillId="0" borderId="0" xfId="0" applyFont="1" applyFill="1" applyAlignment="1">
      <alignment horizontal="center" vertical="center"/>
    </xf>
    <xf numFmtId="171" fontId="0" fillId="0" borderId="0" xfId="0" applyNumberFormat="1" applyFill="1" applyAlignment="1">
      <alignment horizontal="right" vertical="center"/>
    </xf>
    <xf numFmtId="0" fontId="3" fillId="11" borderId="2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 xr:uid="{00000000-0005-0000-0000-000001000000}"/>
    <cellStyle name="Normal 2 2" xfId="6" xr:uid="{00000000-0005-0000-0000-000002000000}"/>
    <cellStyle name="Normal 3" xfId="2" xr:uid="{00000000-0005-0000-0000-000003000000}"/>
    <cellStyle name="Normal 3 2" xfId="5" xr:uid="{00000000-0005-0000-0000-000004000000}"/>
    <cellStyle name="Normal 4" xfId="7" xr:uid="{FBC80175-12F6-44A1-9B2E-A4DF8354A386}"/>
    <cellStyle name="Normal 5" xfId="8" xr:uid="{AB6735A2-45DC-4133-9D1C-20738A17A53C}"/>
    <cellStyle name="Normal 6" xfId="4" xr:uid="{00000000-0005-0000-0000-000005000000}"/>
    <cellStyle name="Normal 7" xfId="3" xr:uid="{00000000-0005-0000-0000-000006000000}"/>
  </cellStyles>
  <dxfs count="0"/>
  <tableStyles count="0" defaultTableStyle="TableStyleMedium9" defaultPivotStyle="PivotStyleMedium7"/>
  <colors>
    <mruColors>
      <color rgb="FFCBAA9B"/>
      <color rgb="FFCCCCFF"/>
      <color rgb="FFDFEDED"/>
      <color rgb="FFCCFF99"/>
      <color rgb="FFCCFFFF"/>
      <color rgb="FFDDC7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80"/>
  <sheetViews>
    <sheetView tabSelected="1" zoomScale="85" zoomScaleNormal="8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baseColWidth="10" defaultColWidth="11" defaultRowHeight="16"/>
  <cols>
    <col min="1" max="1" width="31.83203125" customWidth="1"/>
    <col min="2" max="2" width="30.1640625" bestFit="1" customWidth="1"/>
    <col min="3" max="3" width="22.83203125" bestFit="1" customWidth="1"/>
    <col min="4" max="4" width="12.6640625" customWidth="1"/>
    <col min="5" max="5" width="11.1640625" customWidth="1"/>
    <col min="6" max="6" width="12.83203125" customWidth="1"/>
    <col min="8" max="8" width="13" customWidth="1"/>
    <col min="12" max="12" width="11" customWidth="1"/>
    <col min="15" max="15" width="16.33203125" customWidth="1"/>
    <col min="16" max="16" width="11.6640625" customWidth="1"/>
    <col min="17" max="17" width="11.83203125" customWidth="1"/>
    <col min="25" max="25" width="43.5" bestFit="1" customWidth="1"/>
    <col min="26" max="26" width="28.33203125" bestFit="1" customWidth="1"/>
  </cols>
  <sheetData>
    <row r="1" spans="1:28" s="1" customFormat="1" ht="86" thickBot="1">
      <c r="A1" s="8" t="s">
        <v>0</v>
      </c>
      <c r="B1" s="9" t="s">
        <v>15</v>
      </c>
      <c r="C1" s="9" t="s">
        <v>1</v>
      </c>
      <c r="D1" s="9" t="s">
        <v>2</v>
      </c>
      <c r="E1" s="9" t="s">
        <v>3</v>
      </c>
      <c r="F1" s="102" t="s">
        <v>4</v>
      </c>
      <c r="G1" s="102" t="s">
        <v>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  <c r="N1" s="10" t="s">
        <v>22</v>
      </c>
      <c r="O1" s="102" t="s">
        <v>23</v>
      </c>
      <c r="P1" s="10" t="s">
        <v>24</v>
      </c>
      <c r="Q1" s="5" t="s">
        <v>25</v>
      </c>
      <c r="R1" s="7" t="s">
        <v>26</v>
      </c>
      <c r="S1" s="7" t="s">
        <v>27</v>
      </c>
      <c r="T1" s="7" t="s">
        <v>28</v>
      </c>
      <c r="U1" s="7" t="s">
        <v>29</v>
      </c>
      <c r="V1" s="7" t="s">
        <v>30</v>
      </c>
      <c r="W1" s="7" t="s">
        <v>65</v>
      </c>
      <c r="X1" s="7" t="s">
        <v>31</v>
      </c>
      <c r="Y1" s="9" t="s">
        <v>6</v>
      </c>
      <c r="Z1" s="9" t="s">
        <v>225</v>
      </c>
      <c r="AA1" s="9" t="s">
        <v>224</v>
      </c>
      <c r="AB1" s="6" t="s">
        <v>224</v>
      </c>
    </row>
    <row r="2" spans="1:28">
      <c r="A2" s="24" t="s">
        <v>58</v>
      </c>
      <c r="B2" s="24" t="s">
        <v>40</v>
      </c>
      <c r="C2" s="24" t="s">
        <v>7</v>
      </c>
      <c r="D2" t="s">
        <v>38</v>
      </c>
      <c r="E2" t="s">
        <v>34</v>
      </c>
      <c r="F2">
        <v>40</v>
      </c>
      <c r="G2">
        <v>30</v>
      </c>
      <c r="H2">
        <v>0.8</v>
      </c>
      <c r="I2">
        <f>F2*H2</f>
        <v>32</v>
      </c>
      <c r="J2">
        <v>0.66</v>
      </c>
      <c r="K2" s="17">
        <f>G2*J2</f>
        <v>19.8</v>
      </c>
      <c r="M2" s="17">
        <f>PI()*I2/2*K2/2</f>
        <v>497.62827632862326</v>
      </c>
      <c r="N2" s="17">
        <f>(G2-K2)/2</f>
        <v>5.0999999999999996</v>
      </c>
      <c r="O2">
        <v>50</v>
      </c>
      <c r="P2">
        <v>2.9</v>
      </c>
      <c r="R2" s="2">
        <f t="shared" ref="R2:R31" si="0">I2*10^-6</f>
        <v>3.1999999999999999E-5</v>
      </c>
      <c r="S2" s="2">
        <f t="shared" ref="S2:S31" si="1">M2*10^-12</f>
        <v>4.9762827632862322E-10</v>
      </c>
      <c r="T2" s="2">
        <f t="shared" ref="T2:T31" si="2">N2*10^-6</f>
        <v>5.0999999999999995E-6</v>
      </c>
      <c r="U2" s="2">
        <f t="shared" ref="U2:U28" si="3">O2*10^6</f>
        <v>50000000</v>
      </c>
      <c r="V2" s="16">
        <f t="shared" ref="V2:V28" si="4">(U2*(0.0000249)*S2)/((0.02446*(T2+(PI()/2)*(SQRT(S2/PI())))))</f>
        <v>1.0184729049462549</v>
      </c>
      <c r="W2" s="11">
        <f t="shared" ref="W2:W28" si="5">(V2/0.04)/1000</f>
        <v>2.5461822623656372E-2</v>
      </c>
      <c r="X2" s="15">
        <f t="shared" ref="X2:X28" si="6">V2*1000</f>
        <v>1018.4729049462549</v>
      </c>
      <c r="Y2" t="s">
        <v>54</v>
      </c>
      <c r="Z2" t="s">
        <v>219</v>
      </c>
    </row>
    <row r="3" spans="1:28">
      <c r="A3" s="24" t="s">
        <v>59</v>
      </c>
      <c r="B3" s="24" t="s">
        <v>37</v>
      </c>
      <c r="C3" s="24" t="s">
        <v>7</v>
      </c>
      <c r="D3" t="s">
        <v>38</v>
      </c>
      <c r="E3" t="s">
        <v>34</v>
      </c>
      <c r="F3">
        <v>35</v>
      </c>
      <c r="G3">
        <v>15</v>
      </c>
      <c r="H3">
        <v>0.8</v>
      </c>
      <c r="I3">
        <f>F3*H3</f>
        <v>28</v>
      </c>
      <c r="J3">
        <v>0.66</v>
      </c>
      <c r="K3" s="17">
        <f>G3*J3</f>
        <v>9.9</v>
      </c>
      <c r="M3" s="17">
        <f t="shared" ref="M3:M31" si="7">PI()*I3/2*K3/2</f>
        <v>217.71237089377266</v>
      </c>
      <c r="N3" s="17">
        <f t="shared" ref="N2:N31" si="8">(G3-K3)/2</f>
        <v>2.5499999999999998</v>
      </c>
      <c r="O3">
        <v>80</v>
      </c>
      <c r="R3" s="2">
        <f t="shared" si="0"/>
        <v>2.8E-5</v>
      </c>
      <c r="S3" s="2">
        <f t="shared" si="1"/>
        <v>2.1771237089377266E-10</v>
      </c>
      <c r="T3" s="2">
        <f t="shared" si="2"/>
        <v>2.5499999999999997E-6</v>
      </c>
      <c r="U3" s="2">
        <f t="shared" si="3"/>
        <v>80000000</v>
      </c>
      <c r="V3" s="16">
        <f t="shared" si="4"/>
        <v>1.1346410098117758</v>
      </c>
      <c r="W3" s="11">
        <f t="shared" si="5"/>
        <v>2.8366025245294395E-2</v>
      </c>
      <c r="X3" s="15">
        <f t="shared" si="6"/>
        <v>1134.6410098117758</v>
      </c>
      <c r="Y3" t="s">
        <v>61</v>
      </c>
      <c r="Z3" t="s">
        <v>219</v>
      </c>
    </row>
    <row r="4" spans="1:28">
      <c r="A4" s="24" t="s">
        <v>49</v>
      </c>
      <c r="B4" s="24" t="s">
        <v>46</v>
      </c>
      <c r="C4" s="24" t="s">
        <v>7</v>
      </c>
      <c r="D4" t="s">
        <v>50</v>
      </c>
      <c r="E4" t="s">
        <v>51</v>
      </c>
      <c r="F4">
        <v>77</v>
      </c>
      <c r="G4">
        <v>54</v>
      </c>
      <c r="H4" s="4">
        <f>I4/F4</f>
        <v>0.55844155844155841</v>
      </c>
      <c r="I4">
        <v>43</v>
      </c>
      <c r="J4">
        <v>0.66</v>
      </c>
      <c r="K4" s="17">
        <f>G4*J4</f>
        <v>35.64</v>
      </c>
      <c r="M4" s="17">
        <f t="shared" si="7"/>
        <v>1203.6383933698573</v>
      </c>
      <c r="N4" s="17">
        <f t="shared" si="8"/>
        <v>9.18</v>
      </c>
      <c r="O4">
        <v>40</v>
      </c>
      <c r="P4">
        <v>4.9000000000000004</v>
      </c>
      <c r="R4" s="2">
        <f t="shared" si="0"/>
        <v>4.2999999999999995E-5</v>
      </c>
      <c r="S4" s="2">
        <f t="shared" si="1"/>
        <v>1.2036383933698574E-9</v>
      </c>
      <c r="T4" s="2">
        <f t="shared" si="2"/>
        <v>9.1799999999999985E-6</v>
      </c>
      <c r="U4" s="2">
        <f t="shared" si="3"/>
        <v>40000000</v>
      </c>
      <c r="V4" s="16">
        <f t="shared" si="4"/>
        <v>1.2275516604863295</v>
      </c>
      <c r="W4" s="11">
        <f t="shared" si="5"/>
        <v>3.0688791512158236E-2</v>
      </c>
      <c r="X4" s="15">
        <f t="shared" si="6"/>
        <v>1227.5516604863294</v>
      </c>
      <c r="Y4" t="s">
        <v>39</v>
      </c>
      <c r="Z4" t="s">
        <v>219</v>
      </c>
    </row>
    <row r="5" spans="1:28">
      <c r="A5" s="24" t="s">
        <v>59</v>
      </c>
      <c r="B5" s="24" t="s">
        <v>60</v>
      </c>
      <c r="C5" s="24" t="s">
        <v>7</v>
      </c>
      <c r="D5" t="s">
        <v>38</v>
      </c>
      <c r="E5" t="s">
        <v>34</v>
      </c>
      <c r="F5">
        <v>45</v>
      </c>
      <c r="G5">
        <v>30</v>
      </c>
      <c r="H5">
        <v>0.8</v>
      </c>
      <c r="I5">
        <f>F5*H5</f>
        <v>36</v>
      </c>
      <c r="J5">
        <v>0.66</v>
      </c>
      <c r="K5" s="17">
        <f>G5*J5</f>
        <v>19.8</v>
      </c>
      <c r="M5" s="17">
        <f t="shared" si="7"/>
        <v>559.83181086970114</v>
      </c>
      <c r="N5" s="17">
        <f t="shared" si="8"/>
        <v>5.0999999999999996</v>
      </c>
      <c r="O5">
        <v>100</v>
      </c>
      <c r="P5">
        <v>14</v>
      </c>
      <c r="R5" s="2">
        <f t="shared" si="0"/>
        <v>3.6000000000000001E-5</v>
      </c>
      <c r="S5" s="2">
        <f t="shared" si="1"/>
        <v>5.5983181086970113E-10</v>
      </c>
      <c r="T5" s="2">
        <f t="shared" si="2"/>
        <v>5.0999999999999995E-6</v>
      </c>
      <c r="U5" s="2">
        <f t="shared" si="3"/>
        <v>100000000</v>
      </c>
      <c r="V5" s="16">
        <f t="shared" si="4"/>
        <v>2.1861467239332977</v>
      </c>
      <c r="W5" s="11">
        <f t="shared" si="5"/>
        <v>5.4653668098332442E-2</v>
      </c>
      <c r="X5" s="15">
        <f t="shared" si="6"/>
        <v>2186.1467239332978</v>
      </c>
      <c r="Y5" t="s">
        <v>61</v>
      </c>
      <c r="Z5" t="s">
        <v>219</v>
      </c>
    </row>
    <row r="6" spans="1:28">
      <c r="A6" s="24" t="s">
        <v>45</v>
      </c>
      <c r="B6" s="24" t="s">
        <v>46</v>
      </c>
      <c r="C6" s="24" t="s">
        <v>7</v>
      </c>
      <c r="D6" t="s">
        <v>38</v>
      </c>
      <c r="E6" t="s">
        <v>34</v>
      </c>
      <c r="F6">
        <v>27</v>
      </c>
      <c r="G6">
        <v>12</v>
      </c>
      <c r="H6">
        <v>0.8</v>
      </c>
      <c r="I6">
        <f>F6*H6</f>
        <v>21.6</v>
      </c>
      <c r="J6">
        <v>0.66</v>
      </c>
      <c r="K6" s="17">
        <f>G6*J6</f>
        <v>7.92</v>
      </c>
      <c r="M6" s="17">
        <f t="shared" si="7"/>
        <v>134.35963460872827</v>
      </c>
      <c r="N6" s="17">
        <f t="shared" si="8"/>
        <v>2.04</v>
      </c>
      <c r="O6">
        <v>200</v>
      </c>
      <c r="P6">
        <v>7.3</v>
      </c>
      <c r="R6" s="2">
        <f t="shared" si="0"/>
        <v>2.16E-5</v>
      </c>
      <c r="S6" s="2">
        <f t="shared" si="1"/>
        <v>1.3435963460872826E-10</v>
      </c>
      <c r="T6" s="2">
        <f t="shared" si="2"/>
        <v>2.04E-6</v>
      </c>
      <c r="U6" s="2">
        <f t="shared" si="3"/>
        <v>200000000</v>
      </c>
      <c r="V6" s="16">
        <f t="shared" si="4"/>
        <v>2.2217377418585089</v>
      </c>
      <c r="W6" s="11">
        <f t="shared" si="5"/>
        <v>5.554344354646272E-2</v>
      </c>
      <c r="X6" s="15">
        <f t="shared" si="6"/>
        <v>2221.7377418585088</v>
      </c>
      <c r="Y6" t="s">
        <v>39</v>
      </c>
      <c r="Z6" t="s">
        <v>219</v>
      </c>
    </row>
    <row r="7" spans="1:28">
      <c r="A7" s="24" t="s">
        <v>223</v>
      </c>
      <c r="B7" s="24" t="s">
        <v>40</v>
      </c>
      <c r="C7" s="24" t="s">
        <v>7</v>
      </c>
      <c r="D7" t="s">
        <v>50</v>
      </c>
      <c r="E7" t="s">
        <v>51</v>
      </c>
      <c r="G7">
        <v>53</v>
      </c>
      <c r="I7">
        <v>60</v>
      </c>
      <c r="K7" s="17">
        <v>40</v>
      </c>
      <c r="M7" s="17">
        <f t="shared" si="7"/>
        <v>1884.9555921538758</v>
      </c>
      <c r="N7" s="17">
        <f t="shared" si="8"/>
        <v>6.5</v>
      </c>
      <c r="O7">
        <v>60</v>
      </c>
      <c r="P7">
        <v>4</v>
      </c>
      <c r="R7" s="2">
        <f t="shared" si="0"/>
        <v>5.9999999999999995E-5</v>
      </c>
      <c r="S7" s="2">
        <f t="shared" si="1"/>
        <v>1.8849555921538758E-9</v>
      </c>
      <c r="T7" s="2">
        <f t="shared" si="2"/>
        <v>6.4999999999999996E-6</v>
      </c>
      <c r="U7" s="2">
        <f t="shared" si="3"/>
        <v>60000000</v>
      </c>
      <c r="V7" s="16">
        <f t="shared" si="4"/>
        <v>2.5598213724215535</v>
      </c>
      <c r="W7" s="11">
        <f t="shared" si="5"/>
        <v>6.3995534310538837E-2</v>
      </c>
      <c r="X7" s="15">
        <f t="shared" si="6"/>
        <v>2559.8213724215534</v>
      </c>
      <c r="Y7" t="s">
        <v>39</v>
      </c>
      <c r="Z7" t="s">
        <v>219</v>
      </c>
    </row>
    <row r="8" spans="1:28">
      <c r="A8" s="24" t="s">
        <v>32</v>
      </c>
      <c r="B8" s="24" t="s">
        <v>33</v>
      </c>
      <c r="C8" s="24" t="s">
        <v>7</v>
      </c>
      <c r="D8" t="s">
        <v>12</v>
      </c>
      <c r="E8" t="s">
        <v>34</v>
      </c>
      <c r="F8">
        <v>26</v>
      </c>
      <c r="G8">
        <v>20</v>
      </c>
      <c r="H8">
        <v>0.8</v>
      </c>
      <c r="I8">
        <f t="shared" ref="I8:I31" si="9">F8*H8</f>
        <v>20.8</v>
      </c>
      <c r="J8">
        <v>0.66</v>
      </c>
      <c r="K8" s="17">
        <f t="shared" ref="K8:K31" si="10">G8*J8</f>
        <v>13.200000000000001</v>
      </c>
      <c r="M8" s="17">
        <f t="shared" si="7"/>
        <v>215.63891974240343</v>
      </c>
      <c r="N8" s="17">
        <f t="shared" si="8"/>
        <v>3.3999999999999995</v>
      </c>
      <c r="O8">
        <v>200</v>
      </c>
      <c r="P8">
        <v>9.4</v>
      </c>
      <c r="R8" s="2">
        <f t="shared" si="0"/>
        <v>2.0800000000000001E-5</v>
      </c>
      <c r="S8" s="2">
        <f t="shared" si="1"/>
        <v>2.1563891974240343E-10</v>
      </c>
      <c r="T8" s="2">
        <f t="shared" si="2"/>
        <v>3.3999999999999992E-6</v>
      </c>
      <c r="U8" s="2">
        <f t="shared" si="3"/>
        <v>200000000</v>
      </c>
      <c r="V8" s="16">
        <f t="shared" si="4"/>
        <v>2.6747760294532119</v>
      </c>
      <c r="W8" s="11">
        <f t="shared" si="5"/>
        <v>6.6869400736330298E-2</v>
      </c>
      <c r="X8" s="15">
        <f t="shared" si="6"/>
        <v>2674.7760294532118</v>
      </c>
      <c r="Y8" t="s">
        <v>11</v>
      </c>
      <c r="Z8" t="s">
        <v>219</v>
      </c>
    </row>
    <row r="9" spans="1:28">
      <c r="A9" s="24" t="s">
        <v>53</v>
      </c>
      <c r="B9" s="24" t="s">
        <v>40</v>
      </c>
      <c r="C9" s="24" t="s">
        <v>7</v>
      </c>
      <c r="D9" t="s">
        <v>38</v>
      </c>
      <c r="E9" t="s">
        <v>34</v>
      </c>
      <c r="F9">
        <v>45</v>
      </c>
      <c r="G9">
        <v>33</v>
      </c>
      <c r="H9">
        <v>0.8</v>
      </c>
      <c r="I9">
        <f t="shared" si="9"/>
        <v>36</v>
      </c>
      <c r="J9">
        <v>0.66</v>
      </c>
      <c r="K9" s="17">
        <f t="shared" si="10"/>
        <v>21.78</v>
      </c>
      <c r="M9" s="17">
        <f t="shared" si="7"/>
        <v>615.81499195667129</v>
      </c>
      <c r="N9" s="17">
        <f t="shared" si="8"/>
        <v>5.6099999999999994</v>
      </c>
      <c r="O9">
        <v>130</v>
      </c>
      <c r="P9">
        <v>15</v>
      </c>
      <c r="R9" s="2">
        <f t="shared" si="0"/>
        <v>3.6000000000000001E-5</v>
      </c>
      <c r="S9" s="2">
        <f t="shared" si="1"/>
        <v>6.158149919566713E-10</v>
      </c>
      <c r="T9" s="2">
        <f t="shared" si="2"/>
        <v>5.6099999999999988E-6</v>
      </c>
      <c r="U9" s="2">
        <f t="shared" si="3"/>
        <v>130000000</v>
      </c>
      <c r="V9" s="16">
        <f t="shared" si="4"/>
        <v>2.9525121668758776</v>
      </c>
      <c r="W9" s="11">
        <f t="shared" si="5"/>
        <v>7.3812804171896937E-2</v>
      </c>
      <c r="X9" s="15">
        <f t="shared" si="6"/>
        <v>2952.5121668758775</v>
      </c>
      <c r="Y9" t="s">
        <v>54</v>
      </c>
      <c r="Z9" t="s">
        <v>219</v>
      </c>
    </row>
    <row r="10" spans="1:28">
      <c r="A10" s="24" t="s">
        <v>55</v>
      </c>
      <c r="B10" s="24" t="s">
        <v>40</v>
      </c>
      <c r="C10" s="24" t="s">
        <v>7</v>
      </c>
      <c r="D10" t="s">
        <v>38</v>
      </c>
      <c r="E10" t="s">
        <v>34</v>
      </c>
      <c r="F10">
        <v>35</v>
      </c>
      <c r="G10">
        <v>26</v>
      </c>
      <c r="H10">
        <v>0.8</v>
      </c>
      <c r="I10">
        <f t="shared" si="9"/>
        <v>28</v>
      </c>
      <c r="J10">
        <v>0.66</v>
      </c>
      <c r="K10" s="17">
        <f t="shared" si="10"/>
        <v>17.16</v>
      </c>
      <c r="M10" s="17">
        <f t="shared" si="7"/>
        <v>377.36810954920594</v>
      </c>
      <c r="N10" s="17">
        <f t="shared" si="8"/>
        <v>4.42</v>
      </c>
      <c r="O10">
        <v>180</v>
      </c>
      <c r="P10">
        <v>7.1</v>
      </c>
      <c r="R10" s="2">
        <f t="shared" si="0"/>
        <v>2.8E-5</v>
      </c>
      <c r="S10" s="2">
        <f t="shared" si="1"/>
        <v>3.7736810954920592E-10</v>
      </c>
      <c r="T10" s="2">
        <f t="shared" si="2"/>
        <v>4.42E-6</v>
      </c>
      <c r="U10" s="2">
        <f t="shared" si="3"/>
        <v>180000000</v>
      </c>
      <c r="V10" s="16">
        <f t="shared" si="4"/>
        <v>3.1960044465962572</v>
      </c>
      <c r="W10" s="11">
        <f t="shared" si="5"/>
        <v>7.9900111164906432E-2</v>
      </c>
      <c r="X10" s="15">
        <f t="shared" si="6"/>
        <v>3196.0044465962574</v>
      </c>
      <c r="Y10" t="s">
        <v>54</v>
      </c>
      <c r="Z10" t="s">
        <v>219</v>
      </c>
    </row>
    <row r="11" spans="1:28">
      <c r="A11" s="24" t="s">
        <v>56</v>
      </c>
      <c r="B11" s="24" t="s">
        <v>40</v>
      </c>
      <c r="C11" s="24" t="s">
        <v>7</v>
      </c>
      <c r="D11" t="s">
        <v>50</v>
      </c>
      <c r="E11" t="s">
        <v>51</v>
      </c>
      <c r="F11">
        <v>45</v>
      </c>
      <c r="G11">
        <v>30</v>
      </c>
      <c r="H11">
        <v>0.8</v>
      </c>
      <c r="I11">
        <f t="shared" si="9"/>
        <v>36</v>
      </c>
      <c r="J11">
        <v>0.66</v>
      </c>
      <c r="K11" s="17">
        <f t="shared" si="10"/>
        <v>19.8</v>
      </c>
      <c r="M11" s="17">
        <f t="shared" si="7"/>
        <v>559.83181086970114</v>
      </c>
      <c r="N11" s="17">
        <f t="shared" si="8"/>
        <v>5.0999999999999996</v>
      </c>
      <c r="O11">
        <v>150</v>
      </c>
      <c r="P11">
        <v>8.1</v>
      </c>
      <c r="R11" s="2">
        <f t="shared" si="0"/>
        <v>3.6000000000000001E-5</v>
      </c>
      <c r="S11" s="2">
        <f t="shared" si="1"/>
        <v>5.5983181086970113E-10</v>
      </c>
      <c r="T11" s="2">
        <f t="shared" si="2"/>
        <v>5.0999999999999995E-6</v>
      </c>
      <c r="U11" s="2">
        <f t="shared" si="3"/>
        <v>150000000</v>
      </c>
      <c r="V11" s="16">
        <f t="shared" si="4"/>
        <v>3.2792200858999463</v>
      </c>
      <c r="W11" s="11">
        <f t="shared" si="5"/>
        <v>8.1980502147498649E-2</v>
      </c>
      <c r="X11" s="15">
        <f t="shared" si="6"/>
        <v>3279.2200858999463</v>
      </c>
      <c r="Y11" t="s">
        <v>54</v>
      </c>
      <c r="Z11" t="s">
        <v>219</v>
      </c>
    </row>
    <row r="12" spans="1:28">
      <c r="A12" s="24" t="s">
        <v>36</v>
      </c>
      <c r="B12" s="24" t="s">
        <v>37</v>
      </c>
      <c r="C12" s="24" t="s">
        <v>7</v>
      </c>
      <c r="D12" t="s">
        <v>38</v>
      </c>
      <c r="E12" t="s">
        <v>34</v>
      </c>
      <c r="F12">
        <v>25</v>
      </c>
      <c r="G12">
        <v>10</v>
      </c>
      <c r="H12">
        <v>0.8</v>
      </c>
      <c r="I12">
        <f t="shared" si="9"/>
        <v>20</v>
      </c>
      <c r="J12">
        <v>0.66</v>
      </c>
      <c r="K12" s="17">
        <f t="shared" si="10"/>
        <v>6.6000000000000005</v>
      </c>
      <c r="M12" s="17">
        <f t="shared" si="7"/>
        <v>103.67255756846318</v>
      </c>
      <c r="N12" s="17">
        <f t="shared" si="8"/>
        <v>1.6999999999999997</v>
      </c>
      <c r="O12">
        <v>340</v>
      </c>
      <c r="R12" s="2">
        <f t="shared" si="0"/>
        <v>1.9999999999999998E-5</v>
      </c>
      <c r="S12" s="2">
        <f t="shared" si="1"/>
        <v>1.0367255756846318E-10</v>
      </c>
      <c r="T12" s="2">
        <f t="shared" si="2"/>
        <v>1.6999999999999996E-6</v>
      </c>
      <c r="U12" s="2">
        <f t="shared" si="3"/>
        <v>340000000</v>
      </c>
      <c r="V12" s="16">
        <f t="shared" si="4"/>
        <v>3.346166390734155</v>
      </c>
      <c r="W12" s="11">
        <f t="shared" si="5"/>
        <v>8.3654159768353872E-2</v>
      </c>
      <c r="X12" s="15">
        <f t="shared" si="6"/>
        <v>3346.1663907341549</v>
      </c>
      <c r="Y12" t="s">
        <v>39</v>
      </c>
      <c r="Z12" t="s">
        <v>219</v>
      </c>
    </row>
    <row r="13" spans="1:28">
      <c r="A13" s="24" t="s">
        <v>59</v>
      </c>
      <c r="B13" s="24" t="s">
        <v>62</v>
      </c>
      <c r="C13" s="24" t="s">
        <v>7</v>
      </c>
      <c r="D13" t="s">
        <v>38</v>
      </c>
      <c r="E13" t="s">
        <v>34</v>
      </c>
      <c r="F13">
        <v>35</v>
      </c>
      <c r="G13">
        <v>15</v>
      </c>
      <c r="H13">
        <v>0.8</v>
      </c>
      <c r="I13">
        <f t="shared" si="9"/>
        <v>28</v>
      </c>
      <c r="J13">
        <v>0.66</v>
      </c>
      <c r="K13" s="17">
        <f t="shared" si="10"/>
        <v>9.9</v>
      </c>
      <c r="M13" s="17">
        <f t="shared" si="7"/>
        <v>217.71237089377266</v>
      </c>
      <c r="N13" s="17">
        <f t="shared" si="8"/>
        <v>2.5499999999999998</v>
      </c>
      <c r="O13">
        <v>250</v>
      </c>
      <c r="P13">
        <v>14</v>
      </c>
      <c r="R13" s="2">
        <f t="shared" si="0"/>
        <v>2.8E-5</v>
      </c>
      <c r="S13" s="2">
        <f t="shared" si="1"/>
        <v>2.1771237089377266E-10</v>
      </c>
      <c r="T13" s="2">
        <f t="shared" si="2"/>
        <v>2.5499999999999997E-6</v>
      </c>
      <c r="U13" s="2">
        <f t="shared" si="3"/>
        <v>250000000</v>
      </c>
      <c r="V13" s="16">
        <f t="shared" si="4"/>
        <v>3.5457531556617998</v>
      </c>
      <c r="W13" s="11">
        <f t="shared" si="5"/>
        <v>8.8643828891544998E-2</v>
      </c>
      <c r="X13" s="15">
        <f t="shared" si="6"/>
        <v>3545.7531556617996</v>
      </c>
      <c r="Y13" t="s">
        <v>61</v>
      </c>
      <c r="Z13" t="s">
        <v>219</v>
      </c>
    </row>
    <row r="14" spans="1:28">
      <c r="A14" s="24" t="s">
        <v>48</v>
      </c>
      <c r="B14" s="24" t="s">
        <v>46</v>
      </c>
      <c r="C14" s="24" t="s">
        <v>7</v>
      </c>
      <c r="D14" t="s">
        <v>38</v>
      </c>
      <c r="E14" t="s">
        <v>34</v>
      </c>
      <c r="F14">
        <v>45</v>
      </c>
      <c r="G14">
        <v>38</v>
      </c>
      <c r="H14">
        <v>0.8</v>
      </c>
      <c r="I14">
        <f t="shared" si="9"/>
        <v>36</v>
      </c>
      <c r="J14">
        <v>0.66</v>
      </c>
      <c r="K14" s="17">
        <f t="shared" si="10"/>
        <v>25.080000000000002</v>
      </c>
      <c r="M14" s="17">
        <f t="shared" si="7"/>
        <v>709.12029376828821</v>
      </c>
      <c r="N14" s="17">
        <f t="shared" si="8"/>
        <v>6.4599999999999991</v>
      </c>
      <c r="O14">
        <v>150</v>
      </c>
      <c r="P14">
        <v>6.9</v>
      </c>
      <c r="R14" s="2">
        <f t="shared" si="0"/>
        <v>3.6000000000000001E-5</v>
      </c>
      <c r="S14" s="2">
        <f t="shared" si="1"/>
        <v>7.0912029376828816E-10</v>
      </c>
      <c r="T14" s="2">
        <f t="shared" si="2"/>
        <v>6.4599999999999991E-6</v>
      </c>
      <c r="U14" s="2">
        <f t="shared" si="3"/>
        <v>150000000</v>
      </c>
      <c r="V14" s="16">
        <f t="shared" si="4"/>
        <v>3.6022236209154603</v>
      </c>
      <c r="W14" s="11">
        <f t="shared" si="5"/>
        <v>9.0055590522886503E-2</v>
      </c>
      <c r="X14" s="15">
        <f t="shared" si="6"/>
        <v>3602.2236209154603</v>
      </c>
      <c r="Y14" t="s">
        <v>39</v>
      </c>
      <c r="Z14" t="s">
        <v>219</v>
      </c>
    </row>
    <row r="15" spans="1:28">
      <c r="A15" s="24" t="s">
        <v>41</v>
      </c>
      <c r="B15" s="24" t="s">
        <v>40</v>
      </c>
      <c r="C15" s="24" t="s">
        <v>7</v>
      </c>
      <c r="D15" t="s">
        <v>38</v>
      </c>
      <c r="E15" t="s">
        <v>34</v>
      </c>
      <c r="F15">
        <v>35</v>
      </c>
      <c r="G15">
        <v>28</v>
      </c>
      <c r="H15">
        <v>0.8</v>
      </c>
      <c r="I15">
        <f t="shared" si="9"/>
        <v>28</v>
      </c>
      <c r="J15">
        <v>0.66</v>
      </c>
      <c r="K15" s="17">
        <f t="shared" si="10"/>
        <v>18.48</v>
      </c>
      <c r="M15" s="17">
        <f t="shared" si="7"/>
        <v>406.39642566837563</v>
      </c>
      <c r="N15" s="17">
        <f t="shared" si="8"/>
        <v>4.76</v>
      </c>
      <c r="O15">
        <v>200</v>
      </c>
      <c r="P15">
        <v>10.9</v>
      </c>
      <c r="R15" s="2">
        <f t="shared" si="0"/>
        <v>2.8E-5</v>
      </c>
      <c r="S15" s="2">
        <f t="shared" si="1"/>
        <v>4.0639642566837559E-10</v>
      </c>
      <c r="T15" s="2">
        <f t="shared" si="2"/>
        <v>4.7599999999999993E-6</v>
      </c>
      <c r="U15" s="2">
        <f t="shared" si="3"/>
        <v>200000000</v>
      </c>
      <c r="V15" s="16">
        <f t="shared" si="4"/>
        <v>3.6569655478829679</v>
      </c>
      <c r="W15" s="11">
        <f t="shared" si="5"/>
        <v>9.1424138697074192E-2</v>
      </c>
      <c r="X15" s="15">
        <f t="shared" si="6"/>
        <v>3656.9655478829677</v>
      </c>
      <c r="Y15" t="s">
        <v>39</v>
      </c>
      <c r="Z15" t="s">
        <v>219</v>
      </c>
    </row>
    <row r="16" spans="1:28">
      <c r="A16" s="24" t="s">
        <v>36</v>
      </c>
      <c r="B16" s="24" t="s">
        <v>40</v>
      </c>
      <c r="C16" s="24" t="s">
        <v>7</v>
      </c>
      <c r="D16" t="s">
        <v>38</v>
      </c>
      <c r="E16" t="s">
        <v>34</v>
      </c>
      <c r="F16">
        <v>40</v>
      </c>
      <c r="G16">
        <v>18</v>
      </c>
      <c r="H16">
        <v>0.8</v>
      </c>
      <c r="I16">
        <f t="shared" si="9"/>
        <v>32</v>
      </c>
      <c r="J16">
        <v>0.66</v>
      </c>
      <c r="K16" s="17">
        <f t="shared" si="10"/>
        <v>11.88</v>
      </c>
      <c r="M16" s="17">
        <f t="shared" si="7"/>
        <v>298.57696579717395</v>
      </c>
      <c r="N16" s="17">
        <f t="shared" si="8"/>
        <v>3.0599999999999996</v>
      </c>
      <c r="O16">
        <v>225</v>
      </c>
      <c r="P16">
        <v>9</v>
      </c>
      <c r="R16" s="2">
        <f t="shared" si="0"/>
        <v>3.1999999999999999E-5</v>
      </c>
      <c r="S16" s="2">
        <f t="shared" si="1"/>
        <v>2.9857696579717395E-10</v>
      </c>
      <c r="T16" s="2">
        <f t="shared" si="2"/>
        <v>3.0599999999999995E-6</v>
      </c>
      <c r="U16" s="2">
        <f t="shared" si="3"/>
        <v>225000000</v>
      </c>
      <c r="V16" s="16">
        <f t="shared" si="4"/>
        <v>3.7221250747580328</v>
      </c>
      <c r="W16" s="11">
        <f t="shared" si="5"/>
        <v>9.3053126868950814E-2</v>
      </c>
      <c r="X16" s="15">
        <f t="shared" si="6"/>
        <v>3722.125074758033</v>
      </c>
      <c r="Y16" t="s">
        <v>39</v>
      </c>
      <c r="Z16" t="s">
        <v>219</v>
      </c>
    </row>
    <row r="17" spans="1:26">
      <c r="A17" s="24" t="s">
        <v>52</v>
      </c>
      <c r="B17" s="24" t="s">
        <v>40</v>
      </c>
      <c r="C17" s="24" t="s">
        <v>7</v>
      </c>
      <c r="D17" t="s">
        <v>38</v>
      </c>
      <c r="E17" t="s">
        <v>34</v>
      </c>
      <c r="F17">
        <v>38</v>
      </c>
      <c r="G17">
        <v>26</v>
      </c>
      <c r="H17">
        <v>0.8</v>
      </c>
      <c r="I17">
        <f t="shared" si="9"/>
        <v>30.400000000000002</v>
      </c>
      <c r="J17">
        <v>0.66</v>
      </c>
      <c r="K17" s="17">
        <f t="shared" si="10"/>
        <v>17.16</v>
      </c>
      <c r="M17" s="17">
        <f t="shared" si="7"/>
        <v>409.71394751056647</v>
      </c>
      <c r="N17" s="17">
        <f t="shared" si="8"/>
        <v>4.42</v>
      </c>
      <c r="O17">
        <v>200</v>
      </c>
      <c r="P17">
        <v>8.1999999999999993</v>
      </c>
      <c r="R17" s="2">
        <f t="shared" si="0"/>
        <v>3.04E-5</v>
      </c>
      <c r="S17" s="2">
        <f t="shared" si="1"/>
        <v>4.0971394751056644E-10</v>
      </c>
      <c r="T17" s="2">
        <f t="shared" si="2"/>
        <v>4.42E-6</v>
      </c>
      <c r="U17" s="2">
        <f t="shared" si="3"/>
        <v>200000000</v>
      </c>
      <c r="V17" s="16">
        <f t="shared" si="4"/>
        <v>3.7308829536428374</v>
      </c>
      <c r="W17" s="11">
        <f t="shared" si="5"/>
        <v>9.3272073841070932E-2</v>
      </c>
      <c r="X17" s="15">
        <f t="shared" si="6"/>
        <v>3730.8829536428375</v>
      </c>
      <c r="Y17" t="s">
        <v>39</v>
      </c>
      <c r="Z17" t="s">
        <v>219</v>
      </c>
    </row>
    <row r="18" spans="1:26">
      <c r="A18" s="24" t="s">
        <v>44</v>
      </c>
      <c r="B18" s="24" t="s">
        <v>40</v>
      </c>
      <c r="C18" s="24" t="s">
        <v>7</v>
      </c>
      <c r="E18">
        <v>305</v>
      </c>
      <c r="F18">
        <v>40</v>
      </c>
      <c r="G18">
        <v>25</v>
      </c>
      <c r="H18">
        <v>0.8</v>
      </c>
      <c r="I18">
        <f t="shared" si="9"/>
        <v>32</v>
      </c>
      <c r="J18">
        <v>0.66</v>
      </c>
      <c r="K18" s="17">
        <f t="shared" si="10"/>
        <v>16.5</v>
      </c>
      <c r="L18">
        <v>1125</v>
      </c>
      <c r="M18" s="17">
        <f t="shared" si="7"/>
        <v>414.69023027385271</v>
      </c>
      <c r="N18" s="17">
        <f t="shared" si="8"/>
        <v>4.25</v>
      </c>
      <c r="O18">
        <v>200</v>
      </c>
      <c r="R18" s="2">
        <f t="shared" si="0"/>
        <v>3.1999999999999999E-5</v>
      </c>
      <c r="S18" s="2">
        <f t="shared" si="1"/>
        <v>4.146902302738527E-10</v>
      </c>
      <c r="T18" s="2">
        <f t="shared" si="2"/>
        <v>4.25E-6</v>
      </c>
      <c r="U18" s="2">
        <f t="shared" si="3"/>
        <v>200000000</v>
      </c>
      <c r="V18" s="16">
        <f t="shared" si="4"/>
        <v>3.7865943586339084</v>
      </c>
      <c r="W18" s="11">
        <f t="shared" si="5"/>
        <v>9.4664858965847712E-2</v>
      </c>
      <c r="X18" s="15">
        <f t="shared" si="6"/>
        <v>3786.5943586339085</v>
      </c>
      <c r="Y18" t="s">
        <v>8</v>
      </c>
      <c r="Z18" t="s">
        <v>184</v>
      </c>
    </row>
    <row r="19" spans="1:26">
      <c r="A19" s="24" t="s">
        <v>64</v>
      </c>
      <c r="B19" s="24" t="s">
        <v>60</v>
      </c>
      <c r="C19" s="24" t="s">
        <v>7</v>
      </c>
      <c r="D19" t="s">
        <v>13</v>
      </c>
      <c r="F19">
        <v>24</v>
      </c>
      <c r="G19">
        <v>18</v>
      </c>
      <c r="H19">
        <v>0.8</v>
      </c>
      <c r="I19">
        <f t="shared" si="9"/>
        <v>19.200000000000003</v>
      </c>
      <c r="J19">
        <v>0.66</v>
      </c>
      <c r="K19" s="17">
        <f t="shared" si="10"/>
        <v>11.88</v>
      </c>
      <c r="M19" s="17">
        <f t="shared" si="7"/>
        <v>179.14617947830439</v>
      </c>
      <c r="N19" s="17">
        <f t="shared" si="8"/>
        <v>3.0599999999999996</v>
      </c>
      <c r="O19">
        <v>350</v>
      </c>
      <c r="P19">
        <v>12.3</v>
      </c>
      <c r="Q19">
        <f>300*(100-P19)/P19</f>
        <v>2139.0243902439024</v>
      </c>
      <c r="R19" s="2">
        <f t="shared" si="0"/>
        <v>1.9200000000000003E-5</v>
      </c>
      <c r="S19" s="2">
        <f t="shared" si="1"/>
        <v>1.7914617947830439E-10</v>
      </c>
      <c r="T19" s="2">
        <f t="shared" si="2"/>
        <v>3.0599999999999995E-6</v>
      </c>
      <c r="U19" s="2">
        <f t="shared" si="3"/>
        <v>350000000</v>
      </c>
      <c r="V19" s="16">
        <f t="shared" si="4"/>
        <v>4.2775862007742713</v>
      </c>
      <c r="W19" s="11">
        <f t="shared" si="5"/>
        <v>0.10693965501935677</v>
      </c>
      <c r="X19" s="15">
        <f t="shared" si="6"/>
        <v>4277.5862007742717</v>
      </c>
      <c r="Y19" t="s">
        <v>14</v>
      </c>
      <c r="Z19" t="s">
        <v>219</v>
      </c>
    </row>
    <row r="20" spans="1:26">
      <c r="A20" s="24" t="s">
        <v>59</v>
      </c>
      <c r="B20" s="24" t="s">
        <v>40</v>
      </c>
      <c r="C20" s="24" t="s">
        <v>7</v>
      </c>
      <c r="D20" t="s">
        <v>38</v>
      </c>
      <c r="E20" t="s">
        <v>34</v>
      </c>
      <c r="F20">
        <v>45</v>
      </c>
      <c r="G20">
        <v>30</v>
      </c>
      <c r="H20">
        <v>0.8</v>
      </c>
      <c r="I20">
        <f t="shared" si="9"/>
        <v>36</v>
      </c>
      <c r="J20">
        <v>0.66</v>
      </c>
      <c r="K20" s="17">
        <f t="shared" si="10"/>
        <v>19.8</v>
      </c>
      <c r="M20" s="17">
        <f t="shared" si="7"/>
        <v>559.83181086970114</v>
      </c>
      <c r="N20" s="17">
        <f t="shared" si="8"/>
        <v>5.0999999999999996</v>
      </c>
      <c r="O20">
        <v>200</v>
      </c>
      <c r="P20">
        <v>17</v>
      </c>
      <c r="R20" s="2">
        <f t="shared" si="0"/>
        <v>3.6000000000000001E-5</v>
      </c>
      <c r="S20" s="2">
        <f t="shared" si="1"/>
        <v>5.5983181086970113E-10</v>
      </c>
      <c r="T20" s="2">
        <f t="shared" si="2"/>
        <v>5.0999999999999995E-6</v>
      </c>
      <c r="U20" s="2">
        <f t="shared" si="3"/>
        <v>200000000</v>
      </c>
      <c r="V20" s="16">
        <f t="shared" si="4"/>
        <v>4.3722934478665954</v>
      </c>
      <c r="W20" s="11">
        <f t="shared" si="5"/>
        <v>0.10930733619666488</v>
      </c>
      <c r="X20" s="15">
        <f t="shared" si="6"/>
        <v>4372.2934478665957</v>
      </c>
      <c r="Y20" t="s">
        <v>61</v>
      </c>
      <c r="Z20" t="s">
        <v>219</v>
      </c>
    </row>
    <row r="21" spans="1:26">
      <c r="A21" s="24" t="s">
        <v>35</v>
      </c>
      <c r="B21" s="24" t="s">
        <v>33</v>
      </c>
      <c r="C21" s="24" t="s">
        <v>7</v>
      </c>
      <c r="D21" t="s">
        <v>10</v>
      </c>
      <c r="F21">
        <v>35</v>
      </c>
      <c r="G21">
        <v>26</v>
      </c>
      <c r="H21">
        <v>0.8</v>
      </c>
      <c r="I21">
        <f t="shared" si="9"/>
        <v>28</v>
      </c>
      <c r="J21">
        <v>0.66</v>
      </c>
      <c r="K21" s="17">
        <f t="shared" si="10"/>
        <v>17.16</v>
      </c>
      <c r="M21" s="17">
        <f t="shared" si="7"/>
        <v>377.36810954920594</v>
      </c>
      <c r="N21" s="17">
        <f t="shared" si="8"/>
        <v>4.42</v>
      </c>
      <c r="O21">
        <v>250</v>
      </c>
      <c r="R21" s="2">
        <f t="shared" si="0"/>
        <v>2.8E-5</v>
      </c>
      <c r="S21" s="2">
        <f t="shared" si="1"/>
        <v>3.7736810954920592E-10</v>
      </c>
      <c r="T21" s="2">
        <f t="shared" si="2"/>
        <v>4.42E-6</v>
      </c>
      <c r="U21" s="2">
        <f t="shared" si="3"/>
        <v>250000000</v>
      </c>
      <c r="V21" s="16">
        <f t="shared" si="4"/>
        <v>4.4388950647170242</v>
      </c>
      <c r="W21" s="11">
        <f t="shared" si="5"/>
        <v>0.11097237661792561</v>
      </c>
      <c r="X21" s="15">
        <f t="shared" si="6"/>
        <v>4438.8950647170241</v>
      </c>
      <c r="Y21" t="s">
        <v>11</v>
      </c>
      <c r="Z21" t="s">
        <v>219</v>
      </c>
    </row>
    <row r="22" spans="1:26">
      <c r="A22" s="24" t="s">
        <v>47</v>
      </c>
      <c r="B22" s="24" t="s">
        <v>40</v>
      </c>
      <c r="C22" s="24" t="s">
        <v>7</v>
      </c>
      <c r="E22">
        <v>305</v>
      </c>
      <c r="F22">
        <v>45</v>
      </c>
      <c r="G22">
        <v>35</v>
      </c>
      <c r="H22">
        <v>0.8</v>
      </c>
      <c r="I22">
        <f t="shared" si="9"/>
        <v>36</v>
      </c>
      <c r="J22">
        <v>0.66</v>
      </c>
      <c r="K22" s="17">
        <f t="shared" si="10"/>
        <v>23.1</v>
      </c>
      <c r="L22">
        <v>1575</v>
      </c>
      <c r="M22" s="17">
        <f t="shared" si="7"/>
        <v>653.13711268131806</v>
      </c>
      <c r="N22" s="17">
        <f t="shared" si="8"/>
        <v>5.9499999999999993</v>
      </c>
      <c r="O22">
        <v>200</v>
      </c>
      <c r="R22" s="2">
        <f t="shared" si="0"/>
        <v>3.6000000000000001E-5</v>
      </c>
      <c r="S22" s="2">
        <f t="shared" si="1"/>
        <v>6.5313711268131808E-10</v>
      </c>
      <c r="T22" s="2">
        <f t="shared" si="2"/>
        <v>5.9499999999999989E-6</v>
      </c>
      <c r="U22" s="2">
        <f t="shared" si="3"/>
        <v>200000000</v>
      </c>
      <c r="V22" s="16">
        <f t="shared" si="4"/>
        <v>4.6497319482790713</v>
      </c>
      <c r="W22" s="11">
        <f t="shared" si="5"/>
        <v>0.11624329870697679</v>
      </c>
      <c r="X22" s="15">
        <f t="shared" si="6"/>
        <v>4649.7319482790717</v>
      </c>
      <c r="Y22" t="s">
        <v>8</v>
      </c>
      <c r="Z22" t="s">
        <v>184</v>
      </c>
    </row>
    <row r="23" spans="1:26">
      <c r="A23" s="24" t="s">
        <v>57</v>
      </c>
      <c r="B23" s="24" t="s">
        <v>40</v>
      </c>
      <c r="C23" s="24" t="s">
        <v>7</v>
      </c>
      <c r="D23" t="s">
        <v>38</v>
      </c>
      <c r="E23" t="s">
        <v>34</v>
      </c>
      <c r="F23">
        <v>45</v>
      </c>
      <c r="G23">
        <v>30</v>
      </c>
      <c r="H23">
        <v>0.8</v>
      </c>
      <c r="I23">
        <f t="shared" si="9"/>
        <v>36</v>
      </c>
      <c r="J23">
        <v>0.66</v>
      </c>
      <c r="K23" s="17">
        <f t="shared" si="10"/>
        <v>19.8</v>
      </c>
      <c r="M23" s="17">
        <f t="shared" si="7"/>
        <v>559.83181086970114</v>
      </c>
      <c r="N23" s="17">
        <f t="shared" si="8"/>
        <v>5.0999999999999996</v>
      </c>
      <c r="O23">
        <v>250</v>
      </c>
      <c r="P23">
        <v>9.1999999999999993</v>
      </c>
      <c r="R23" s="2">
        <f t="shared" si="0"/>
        <v>3.6000000000000001E-5</v>
      </c>
      <c r="S23" s="2">
        <f t="shared" si="1"/>
        <v>5.5983181086970113E-10</v>
      </c>
      <c r="T23" s="2">
        <f t="shared" si="2"/>
        <v>5.0999999999999995E-6</v>
      </c>
      <c r="U23" s="2">
        <f t="shared" si="3"/>
        <v>250000000</v>
      </c>
      <c r="V23" s="16">
        <f t="shared" si="4"/>
        <v>5.4653668098332444</v>
      </c>
      <c r="W23" s="11">
        <f t="shared" si="5"/>
        <v>0.1366341702458311</v>
      </c>
      <c r="X23" s="15">
        <f t="shared" si="6"/>
        <v>5465.3668098332446</v>
      </c>
      <c r="Y23" t="s">
        <v>54</v>
      </c>
      <c r="Z23" t="s">
        <v>219</v>
      </c>
    </row>
    <row r="24" spans="1:26">
      <c r="A24" s="24" t="s">
        <v>43</v>
      </c>
      <c r="B24" s="24" t="s">
        <v>40</v>
      </c>
      <c r="C24" s="24" t="s">
        <v>7</v>
      </c>
      <c r="D24" t="s">
        <v>38</v>
      </c>
      <c r="E24" t="s">
        <v>34</v>
      </c>
      <c r="F24">
        <v>43</v>
      </c>
      <c r="G24">
        <v>18</v>
      </c>
      <c r="H24">
        <v>0.8</v>
      </c>
      <c r="I24">
        <f t="shared" si="9"/>
        <v>34.4</v>
      </c>
      <c r="J24">
        <v>0.66</v>
      </c>
      <c r="K24" s="17">
        <f t="shared" si="10"/>
        <v>11.88</v>
      </c>
      <c r="M24" s="17">
        <f t="shared" si="7"/>
        <v>320.97023823196201</v>
      </c>
      <c r="N24" s="17">
        <f t="shared" si="8"/>
        <v>3.0599999999999996</v>
      </c>
      <c r="O24">
        <v>325</v>
      </c>
      <c r="P24">
        <v>9.1999999999999993</v>
      </c>
      <c r="R24" s="2">
        <f t="shared" si="0"/>
        <v>3.4399999999999996E-5</v>
      </c>
      <c r="S24" s="2">
        <f t="shared" si="1"/>
        <v>3.2097023823196199E-10</v>
      </c>
      <c r="T24" s="2">
        <f t="shared" si="2"/>
        <v>3.0599999999999995E-6</v>
      </c>
      <c r="U24" s="2">
        <f t="shared" si="3"/>
        <v>325000000</v>
      </c>
      <c r="V24" s="16">
        <f t="shared" si="4"/>
        <v>5.6075402194256787</v>
      </c>
      <c r="W24" s="11">
        <f t="shared" si="5"/>
        <v>0.14018850548564196</v>
      </c>
      <c r="X24" s="15">
        <f t="shared" si="6"/>
        <v>5607.5402194256785</v>
      </c>
      <c r="Y24" t="s">
        <v>39</v>
      </c>
      <c r="Z24" t="s">
        <v>219</v>
      </c>
    </row>
    <row r="25" spans="1:26">
      <c r="A25" s="24" t="s">
        <v>59</v>
      </c>
      <c r="B25" s="24" t="s">
        <v>63</v>
      </c>
      <c r="C25" s="24" t="s">
        <v>7</v>
      </c>
      <c r="D25" t="s">
        <v>38</v>
      </c>
      <c r="E25" t="s">
        <v>34</v>
      </c>
      <c r="F25">
        <v>40</v>
      </c>
      <c r="G25">
        <v>28</v>
      </c>
      <c r="H25">
        <v>0.8</v>
      </c>
      <c r="I25">
        <f t="shared" si="9"/>
        <v>32</v>
      </c>
      <c r="J25">
        <v>0.66</v>
      </c>
      <c r="K25" s="17">
        <f t="shared" si="10"/>
        <v>18.48</v>
      </c>
      <c r="M25" s="17">
        <f t="shared" si="7"/>
        <v>464.453057906715</v>
      </c>
      <c r="N25" s="17">
        <f t="shared" si="8"/>
        <v>4.76</v>
      </c>
      <c r="O25">
        <v>300</v>
      </c>
      <c r="R25" s="2">
        <f t="shared" si="0"/>
        <v>3.1999999999999999E-5</v>
      </c>
      <c r="S25" s="2">
        <f t="shared" si="1"/>
        <v>4.6445305790671499E-10</v>
      </c>
      <c r="T25" s="2">
        <f t="shared" si="2"/>
        <v>4.7599999999999993E-6</v>
      </c>
      <c r="U25" s="2">
        <f t="shared" si="3"/>
        <v>300000000</v>
      </c>
      <c r="V25" s="16">
        <f t="shared" si="4"/>
        <v>5.9449684714923485</v>
      </c>
      <c r="W25" s="11">
        <f t="shared" si="5"/>
        <v>0.14862421178730872</v>
      </c>
      <c r="X25" s="15">
        <f t="shared" si="6"/>
        <v>5944.9684714923487</v>
      </c>
      <c r="Y25" t="s">
        <v>61</v>
      </c>
      <c r="Z25" t="s">
        <v>219</v>
      </c>
    </row>
    <row r="26" spans="1:26">
      <c r="A26" s="24" t="s">
        <v>42</v>
      </c>
      <c r="B26" s="24" t="s">
        <v>40</v>
      </c>
      <c r="C26" s="24" t="s">
        <v>7</v>
      </c>
      <c r="D26" t="s">
        <v>38</v>
      </c>
      <c r="E26" t="s">
        <v>34</v>
      </c>
      <c r="F26">
        <v>40</v>
      </c>
      <c r="G26">
        <v>20</v>
      </c>
      <c r="H26">
        <v>0.8</v>
      </c>
      <c r="I26">
        <f t="shared" si="9"/>
        <v>32</v>
      </c>
      <c r="J26">
        <v>0.66</v>
      </c>
      <c r="K26" s="17">
        <f t="shared" si="10"/>
        <v>13.200000000000001</v>
      </c>
      <c r="M26" s="17">
        <f t="shared" si="7"/>
        <v>331.75218421908215</v>
      </c>
      <c r="N26" s="17">
        <f t="shared" si="8"/>
        <v>3.3999999999999995</v>
      </c>
      <c r="O26">
        <v>450</v>
      </c>
      <c r="P26">
        <v>14.4</v>
      </c>
      <c r="R26" s="2">
        <f t="shared" si="0"/>
        <v>3.1999999999999999E-5</v>
      </c>
      <c r="S26" s="2">
        <f t="shared" si="1"/>
        <v>3.3175218421908213E-10</v>
      </c>
      <c r="T26" s="2">
        <f t="shared" si="2"/>
        <v>3.3999999999999992E-6</v>
      </c>
      <c r="U26" s="2">
        <f t="shared" si="3"/>
        <v>450000000</v>
      </c>
      <c r="V26" s="16">
        <f t="shared" si="4"/>
        <v>7.7768682021939091</v>
      </c>
      <c r="W26" s="11">
        <f t="shared" si="5"/>
        <v>0.19442170505484774</v>
      </c>
      <c r="X26" s="15">
        <f t="shared" si="6"/>
        <v>7776.8682021939094</v>
      </c>
      <c r="Y26" t="s">
        <v>39</v>
      </c>
      <c r="Z26" t="s">
        <v>219</v>
      </c>
    </row>
    <row r="27" spans="1:26">
      <c r="A27" s="24" t="s">
        <v>64</v>
      </c>
      <c r="B27" s="24" t="s">
        <v>40</v>
      </c>
      <c r="C27" s="24" t="s">
        <v>7</v>
      </c>
      <c r="D27" t="s">
        <v>13</v>
      </c>
      <c r="F27">
        <v>35</v>
      </c>
      <c r="G27">
        <v>25</v>
      </c>
      <c r="H27">
        <v>0.8</v>
      </c>
      <c r="I27">
        <f t="shared" si="9"/>
        <v>28</v>
      </c>
      <c r="J27">
        <v>0.66</v>
      </c>
      <c r="K27" s="17">
        <f t="shared" si="10"/>
        <v>16.5</v>
      </c>
      <c r="M27" s="17">
        <f t="shared" si="7"/>
        <v>362.85395148962112</v>
      </c>
      <c r="N27" s="17">
        <f t="shared" si="8"/>
        <v>4.25</v>
      </c>
      <c r="O27">
        <v>475</v>
      </c>
      <c r="P27">
        <v>17.3</v>
      </c>
      <c r="Q27">
        <f>450*(100-P27)/P27</f>
        <v>2151.1560693641618</v>
      </c>
      <c r="R27" s="2">
        <f t="shared" si="0"/>
        <v>2.8E-5</v>
      </c>
      <c r="S27" s="2">
        <f t="shared" si="1"/>
        <v>3.6285395148962113E-10</v>
      </c>
      <c r="T27" s="2">
        <f t="shared" si="2"/>
        <v>4.25E-6</v>
      </c>
      <c r="U27" s="2">
        <f t="shared" si="3"/>
        <v>475000000</v>
      </c>
      <c r="V27" s="16">
        <f t="shared" si="4"/>
        <v>8.3030597997135693</v>
      </c>
      <c r="W27" s="11">
        <f t="shared" si="5"/>
        <v>0.20757649499283923</v>
      </c>
      <c r="X27" s="15">
        <f t="shared" si="6"/>
        <v>8303.0597997135701</v>
      </c>
      <c r="Y27" t="s">
        <v>14</v>
      </c>
      <c r="Z27" t="s">
        <v>219</v>
      </c>
    </row>
    <row r="28" spans="1:26">
      <c r="A28" s="24" t="s">
        <v>42</v>
      </c>
      <c r="B28" s="24" t="s">
        <v>40</v>
      </c>
      <c r="C28" s="24" t="s">
        <v>7</v>
      </c>
      <c r="E28">
        <v>305</v>
      </c>
      <c r="F28">
        <v>40</v>
      </c>
      <c r="G28">
        <v>25</v>
      </c>
      <c r="H28">
        <v>0.8</v>
      </c>
      <c r="I28">
        <f t="shared" si="9"/>
        <v>32</v>
      </c>
      <c r="J28">
        <v>0.66</v>
      </c>
      <c r="K28" s="17">
        <f t="shared" si="10"/>
        <v>16.5</v>
      </c>
      <c r="L28">
        <v>1000</v>
      </c>
      <c r="M28" s="17">
        <f t="shared" si="7"/>
        <v>414.69023027385271</v>
      </c>
      <c r="N28" s="17">
        <f t="shared" si="8"/>
        <v>4.25</v>
      </c>
      <c r="O28">
        <v>450</v>
      </c>
      <c r="R28" s="2">
        <f t="shared" si="0"/>
        <v>3.1999999999999999E-5</v>
      </c>
      <c r="S28" s="2">
        <f t="shared" si="1"/>
        <v>4.146902302738527E-10</v>
      </c>
      <c r="T28" s="2">
        <f t="shared" si="2"/>
        <v>4.25E-6</v>
      </c>
      <c r="U28" s="2">
        <f t="shared" si="3"/>
        <v>450000000</v>
      </c>
      <c r="V28" s="16">
        <f t="shared" si="4"/>
        <v>8.5198373069262949</v>
      </c>
      <c r="W28" s="11">
        <f t="shared" si="5"/>
        <v>0.21299593267315736</v>
      </c>
      <c r="X28" s="15">
        <f t="shared" si="6"/>
        <v>8519.8373069262943</v>
      </c>
      <c r="Y28" t="s">
        <v>8</v>
      </c>
      <c r="Z28" t="s">
        <v>184</v>
      </c>
    </row>
    <row r="29" spans="1:26">
      <c r="A29" s="24" t="s">
        <v>32</v>
      </c>
      <c r="B29" s="24" t="s">
        <v>222</v>
      </c>
      <c r="C29" s="24" t="s">
        <v>7</v>
      </c>
      <c r="D29" t="s">
        <v>12</v>
      </c>
      <c r="E29" t="s">
        <v>34</v>
      </c>
      <c r="F29">
        <v>45</v>
      </c>
      <c r="G29">
        <v>30</v>
      </c>
      <c r="H29">
        <v>0.8</v>
      </c>
      <c r="I29">
        <f t="shared" si="9"/>
        <v>36</v>
      </c>
      <c r="J29">
        <v>0.66</v>
      </c>
      <c r="K29" s="17">
        <f t="shared" si="10"/>
        <v>19.8</v>
      </c>
      <c r="M29" s="17">
        <f t="shared" si="7"/>
        <v>559.83181086970114</v>
      </c>
      <c r="N29" s="17">
        <f t="shared" si="8"/>
        <v>5.0999999999999996</v>
      </c>
      <c r="O29" s="3" t="s">
        <v>9</v>
      </c>
      <c r="R29" s="2">
        <f t="shared" si="0"/>
        <v>3.6000000000000001E-5</v>
      </c>
      <c r="S29" s="2">
        <f t="shared" si="1"/>
        <v>5.5983181086970113E-10</v>
      </c>
      <c r="T29" s="2">
        <f t="shared" si="2"/>
        <v>5.0999999999999995E-6</v>
      </c>
      <c r="U29" s="2"/>
      <c r="V29" s="16"/>
      <c r="W29" s="11"/>
      <c r="X29" s="15"/>
      <c r="Y29" t="s">
        <v>11</v>
      </c>
      <c r="Z29" t="s">
        <v>219</v>
      </c>
    </row>
    <row r="30" spans="1:26">
      <c r="A30" s="24" t="s">
        <v>221</v>
      </c>
      <c r="B30" s="24" t="s">
        <v>40</v>
      </c>
      <c r="C30" s="24" t="s">
        <v>7</v>
      </c>
      <c r="F30">
        <v>48</v>
      </c>
      <c r="G30">
        <v>30</v>
      </c>
      <c r="H30">
        <v>0.8</v>
      </c>
      <c r="I30">
        <f t="shared" si="9"/>
        <v>38.400000000000006</v>
      </c>
      <c r="J30">
        <v>0.66</v>
      </c>
      <c r="K30" s="17">
        <f t="shared" si="10"/>
        <v>19.8</v>
      </c>
      <c r="M30" s="17">
        <f t="shared" si="7"/>
        <v>597.15393159434802</v>
      </c>
      <c r="N30" s="17">
        <f t="shared" si="8"/>
        <v>5.0999999999999996</v>
      </c>
      <c r="R30" s="2">
        <f t="shared" si="0"/>
        <v>3.8400000000000005E-5</v>
      </c>
      <c r="S30" s="2">
        <f t="shared" si="1"/>
        <v>5.9715393159434801E-10</v>
      </c>
      <c r="T30" s="2">
        <f t="shared" si="2"/>
        <v>5.0999999999999995E-6</v>
      </c>
      <c r="U30" s="2"/>
      <c r="V30" s="16"/>
      <c r="W30" s="11"/>
      <c r="X30" s="15"/>
      <c r="Y30" t="s">
        <v>39</v>
      </c>
      <c r="Z30" t="s">
        <v>219</v>
      </c>
    </row>
    <row r="31" spans="1:26">
      <c r="A31" s="24" t="s">
        <v>220</v>
      </c>
      <c r="B31" s="24" t="s">
        <v>40</v>
      </c>
      <c r="C31" s="24" t="s">
        <v>7</v>
      </c>
      <c r="F31">
        <v>50</v>
      </c>
      <c r="G31">
        <v>30</v>
      </c>
      <c r="H31">
        <v>0.8</v>
      </c>
      <c r="I31">
        <f t="shared" si="9"/>
        <v>40</v>
      </c>
      <c r="J31">
        <v>0.66</v>
      </c>
      <c r="K31" s="17">
        <f t="shared" si="10"/>
        <v>19.8</v>
      </c>
      <c r="M31" s="17">
        <f t="shared" si="7"/>
        <v>622.03534541077909</v>
      </c>
      <c r="N31" s="17">
        <f t="shared" si="8"/>
        <v>5.0999999999999996</v>
      </c>
      <c r="R31" s="2">
        <f t="shared" si="0"/>
        <v>3.9999999999999996E-5</v>
      </c>
      <c r="S31" s="2">
        <f t="shared" si="1"/>
        <v>6.2203534541077903E-10</v>
      </c>
      <c r="T31" s="2">
        <f t="shared" si="2"/>
        <v>5.0999999999999995E-6</v>
      </c>
      <c r="U31" s="2"/>
      <c r="V31" s="16"/>
      <c r="W31" s="11"/>
      <c r="X31" s="15"/>
      <c r="Y31" t="s">
        <v>39</v>
      </c>
      <c r="Z31" t="s">
        <v>219</v>
      </c>
    </row>
    <row r="32" spans="1:26">
      <c r="A32" s="24" t="s">
        <v>64</v>
      </c>
      <c r="B32" s="24" t="s">
        <v>62</v>
      </c>
      <c r="C32" s="24" t="s">
        <v>7</v>
      </c>
      <c r="D32" t="s">
        <v>13</v>
      </c>
      <c r="E32" s="3"/>
      <c r="F32" s="3" t="s">
        <v>9</v>
      </c>
      <c r="G32" s="3" t="s">
        <v>9</v>
      </c>
      <c r="H32" s="3"/>
      <c r="I32" s="3"/>
      <c r="J32" s="3"/>
      <c r="K32" s="58"/>
      <c r="L32" s="3"/>
      <c r="M32" s="58"/>
      <c r="N32" s="58"/>
      <c r="O32" s="3">
        <v>300</v>
      </c>
      <c r="P32" s="3">
        <v>12.3</v>
      </c>
      <c r="Q32" s="3"/>
      <c r="R32" s="33"/>
      <c r="S32" s="33"/>
      <c r="T32" s="33"/>
      <c r="U32" s="33">
        <f t="shared" ref="U32:U70" si="11">O32*10^6</f>
        <v>300000000</v>
      </c>
      <c r="V32" s="16"/>
      <c r="W32" s="11"/>
      <c r="X32" s="16"/>
      <c r="Y32" t="s">
        <v>14</v>
      </c>
      <c r="Z32" t="s">
        <v>219</v>
      </c>
    </row>
    <row r="33" spans="1:28" s="19" customFormat="1">
      <c r="A33" s="57" t="s">
        <v>152</v>
      </c>
      <c r="B33" s="56"/>
      <c r="C33" s="56" t="s">
        <v>202</v>
      </c>
      <c r="D33" s="19" t="s">
        <v>214</v>
      </c>
      <c r="E33" s="53" t="s">
        <v>148</v>
      </c>
      <c r="F33" s="53">
        <v>57</v>
      </c>
      <c r="G33" s="53">
        <f>18*3</f>
        <v>54</v>
      </c>
      <c r="H33" s="55">
        <v>0.50877192982456143</v>
      </c>
      <c r="I33" s="53">
        <f>F33*H33</f>
        <v>29</v>
      </c>
      <c r="J33" s="53">
        <v>0.33</v>
      </c>
      <c r="K33" s="54">
        <f>G33*J33</f>
        <v>17.82</v>
      </c>
      <c r="L33" s="52"/>
      <c r="M33" s="54">
        <f t="shared" ref="M33:M46" si="12">PI()*(I33/2)*(K33/2)</f>
        <v>405.87806288053332</v>
      </c>
      <c r="N33" s="54">
        <f t="shared" ref="N33:N70" si="13">(G33-K33)/2</f>
        <v>18.09</v>
      </c>
      <c r="O33" s="53">
        <v>108</v>
      </c>
      <c r="P33" s="52"/>
      <c r="Q33" s="52"/>
      <c r="R33" s="50">
        <f t="shared" ref="R33:R70" si="14">I33*10^-6</f>
        <v>2.9E-5</v>
      </c>
      <c r="S33" s="50">
        <f t="shared" ref="S33:S70" si="15">M33*10^-12</f>
        <v>4.0587806288053333E-10</v>
      </c>
      <c r="T33" s="51">
        <f t="shared" ref="T33:T70" si="16">N33*10^-6</f>
        <v>1.8089999999999998E-5</v>
      </c>
      <c r="U33" s="50">
        <f t="shared" si="11"/>
        <v>108000000</v>
      </c>
      <c r="V33" s="49">
        <f t="shared" ref="V33:V70" si="17">(U33*(0.0000249)*S33)/((0.02446*(T33+(PI()/2)*(SQRT(S33/PI())))))</f>
        <v>1.2414586162484602</v>
      </c>
      <c r="W33" s="11">
        <f t="shared" ref="W33:W70" si="18">(V33/0.04)/1000</f>
        <v>3.1036465406211505E-2</v>
      </c>
      <c r="X33" s="48">
        <f t="shared" ref="X33:X70" si="19">V33*1000</f>
        <v>1241.4586162484602</v>
      </c>
      <c r="Y33" s="47" t="s">
        <v>156</v>
      </c>
      <c r="Z33" s="47" t="s">
        <v>200</v>
      </c>
      <c r="AA33" s="19" t="s">
        <v>205</v>
      </c>
    </row>
    <row r="34" spans="1:28" s="90" customFormat="1">
      <c r="A34" s="89" t="s">
        <v>152</v>
      </c>
      <c r="C34" s="90" t="s">
        <v>202</v>
      </c>
      <c r="D34" s="90" t="s">
        <v>214</v>
      </c>
      <c r="E34" s="91" t="s">
        <v>148</v>
      </c>
      <c r="F34" s="91">
        <v>41.9</v>
      </c>
      <c r="G34" s="91">
        <f>9.5*3</f>
        <v>28.5</v>
      </c>
      <c r="H34" s="92">
        <v>0.40811455847255373</v>
      </c>
      <c r="I34" s="91">
        <f>F34*H34</f>
        <v>17.100000000000001</v>
      </c>
      <c r="J34" s="91">
        <v>0.33</v>
      </c>
      <c r="K34" s="93">
        <f>G34*J34</f>
        <v>9.4050000000000011</v>
      </c>
      <c r="L34" s="94"/>
      <c r="M34" s="93">
        <f t="shared" si="12"/>
        <v>126.31205232747635</v>
      </c>
      <c r="N34" s="93">
        <f t="shared" si="13"/>
        <v>9.5474999999999994</v>
      </c>
      <c r="O34" s="91">
        <v>108</v>
      </c>
      <c r="P34" s="94"/>
      <c r="Q34" s="94"/>
      <c r="R34" s="95">
        <f t="shared" si="14"/>
        <v>1.7100000000000002E-5</v>
      </c>
      <c r="S34" s="95">
        <f t="shared" si="15"/>
        <v>1.2631205232747636E-10</v>
      </c>
      <c r="T34" s="96">
        <f t="shared" si="16"/>
        <v>9.5474999999999996E-6</v>
      </c>
      <c r="U34" s="95">
        <f t="shared" si="11"/>
        <v>108000000</v>
      </c>
      <c r="V34" s="97">
        <f t="shared" si="17"/>
        <v>0.71187827977937723</v>
      </c>
      <c r="W34" s="98">
        <f t="shared" si="18"/>
        <v>1.7796956994484428E-2</v>
      </c>
      <c r="X34" s="99">
        <f t="shared" si="19"/>
        <v>711.87827977937718</v>
      </c>
      <c r="Y34" s="100" t="s">
        <v>157</v>
      </c>
      <c r="Z34" s="100" t="s">
        <v>200</v>
      </c>
      <c r="AA34" s="90" t="s">
        <v>218</v>
      </c>
    </row>
    <row r="35" spans="1:28">
      <c r="A35" s="38" t="s">
        <v>152</v>
      </c>
      <c r="B35" s="37"/>
      <c r="C35" s="37" t="s">
        <v>202</v>
      </c>
      <c r="D35" t="s">
        <v>214</v>
      </c>
      <c r="E35" s="35" t="s">
        <v>148</v>
      </c>
      <c r="F35" s="35">
        <v>31</v>
      </c>
      <c r="G35" s="35">
        <f>5*3</f>
        <v>15</v>
      </c>
      <c r="H35" s="44">
        <v>0.38709677419354838</v>
      </c>
      <c r="I35" s="35">
        <f>F35*H35</f>
        <v>12</v>
      </c>
      <c r="J35" s="35">
        <v>0.33</v>
      </c>
      <c r="K35" s="36">
        <f>G35*J35</f>
        <v>4.95</v>
      </c>
      <c r="L35" s="3"/>
      <c r="M35" s="36">
        <f t="shared" si="12"/>
        <v>46.652650905808429</v>
      </c>
      <c r="N35" s="36">
        <f t="shared" si="13"/>
        <v>5.0250000000000004</v>
      </c>
      <c r="O35" s="35">
        <v>108</v>
      </c>
      <c r="P35" s="3"/>
      <c r="Q35" s="3"/>
      <c r="R35" s="33">
        <f t="shared" si="14"/>
        <v>1.2E-5</v>
      </c>
      <c r="S35" s="33">
        <f t="shared" si="15"/>
        <v>4.6652650905808427E-11</v>
      </c>
      <c r="T35" s="34">
        <f t="shared" si="16"/>
        <v>5.0250000000000002E-6</v>
      </c>
      <c r="U35" s="33">
        <f t="shared" si="11"/>
        <v>108000000</v>
      </c>
      <c r="V35" s="32">
        <f t="shared" si="17"/>
        <v>0.46299342506155328</v>
      </c>
      <c r="W35" s="11">
        <f t="shared" si="18"/>
        <v>1.1574835626538832E-2</v>
      </c>
      <c r="X35" s="31">
        <f t="shared" si="19"/>
        <v>462.9934250615533</v>
      </c>
      <c r="Y35" s="30" t="s">
        <v>157</v>
      </c>
      <c r="Z35" s="30" t="s">
        <v>200</v>
      </c>
      <c r="AA35" t="s">
        <v>199</v>
      </c>
    </row>
    <row r="36" spans="1:28">
      <c r="A36" s="38" t="s">
        <v>152</v>
      </c>
      <c r="B36" s="37"/>
      <c r="C36" s="37" t="s">
        <v>202</v>
      </c>
      <c r="D36" t="s">
        <v>214</v>
      </c>
      <c r="E36" s="35" t="s">
        <v>148</v>
      </c>
      <c r="F36" s="35"/>
      <c r="G36" s="46">
        <f>K36/J36</f>
        <v>28.787878787878785</v>
      </c>
      <c r="H36" s="44">
        <v>0.50877192982456143</v>
      </c>
      <c r="I36" s="35">
        <v>29</v>
      </c>
      <c r="J36" s="35">
        <v>0.33</v>
      </c>
      <c r="K36" s="36">
        <v>9.5</v>
      </c>
      <c r="L36" s="3"/>
      <c r="M36" s="36">
        <f t="shared" si="12"/>
        <v>216.37719401599702</v>
      </c>
      <c r="N36" s="36">
        <f t="shared" si="13"/>
        <v>9.6439393939393927</v>
      </c>
      <c r="O36" s="35">
        <v>108</v>
      </c>
      <c r="P36" s="3"/>
      <c r="Q36" s="3"/>
      <c r="R36" s="33">
        <f t="shared" si="14"/>
        <v>2.9E-5</v>
      </c>
      <c r="S36" s="33">
        <f t="shared" si="15"/>
        <v>2.16377194015997E-10</v>
      </c>
      <c r="T36" s="34">
        <f t="shared" si="16"/>
        <v>9.6439393939393919E-6</v>
      </c>
      <c r="U36" s="33">
        <f t="shared" si="11"/>
        <v>108000000</v>
      </c>
      <c r="V36" s="32">
        <f t="shared" si="17"/>
        <v>1.0488964262423028</v>
      </c>
      <c r="W36" s="11">
        <f t="shared" si="18"/>
        <v>2.6222410656057567E-2</v>
      </c>
      <c r="X36" s="31">
        <f t="shared" si="19"/>
        <v>1048.8964262423028</v>
      </c>
      <c r="Y36" s="30" t="s">
        <v>157</v>
      </c>
      <c r="Z36" s="30" t="s">
        <v>200</v>
      </c>
      <c r="AA36" t="s">
        <v>217</v>
      </c>
      <c r="AB36" s="88" t="s">
        <v>216</v>
      </c>
    </row>
    <row r="37" spans="1:28" s="90" customFormat="1">
      <c r="A37" s="89" t="s">
        <v>152</v>
      </c>
      <c r="C37" s="90" t="s">
        <v>202</v>
      </c>
      <c r="D37" s="90" t="s">
        <v>214</v>
      </c>
      <c r="E37" s="91" t="s">
        <v>148</v>
      </c>
      <c r="F37" s="91"/>
      <c r="G37" s="101">
        <f>K37/J37</f>
        <v>28.787878787878785</v>
      </c>
      <c r="H37" s="92">
        <v>0.40811455847255373</v>
      </c>
      <c r="I37" s="91">
        <v>17.100000000000001</v>
      </c>
      <c r="J37" s="91">
        <v>0.33</v>
      </c>
      <c r="K37" s="93">
        <v>9.5</v>
      </c>
      <c r="L37" s="94"/>
      <c r="M37" s="93">
        <f t="shared" si="12"/>
        <v>127.58793164391548</v>
      </c>
      <c r="N37" s="93">
        <f t="shared" si="13"/>
        <v>9.6439393939393927</v>
      </c>
      <c r="O37" s="91">
        <v>108</v>
      </c>
      <c r="P37" s="94"/>
      <c r="Q37" s="94"/>
      <c r="R37" s="95">
        <f t="shared" si="14"/>
        <v>1.7100000000000002E-5</v>
      </c>
      <c r="S37" s="95">
        <f t="shared" si="15"/>
        <v>1.2758793164391549E-10</v>
      </c>
      <c r="T37" s="96">
        <f t="shared" si="16"/>
        <v>9.6439393939393919E-6</v>
      </c>
      <c r="U37" s="95">
        <f t="shared" si="11"/>
        <v>108000000</v>
      </c>
      <c r="V37" s="97">
        <f t="shared" si="17"/>
        <v>0.71370486580088899</v>
      </c>
      <c r="W37" s="98">
        <f t="shared" si="18"/>
        <v>1.7842621645022223E-2</v>
      </c>
      <c r="X37" s="99">
        <f t="shared" si="19"/>
        <v>713.70486580088902</v>
      </c>
      <c r="Y37" s="100" t="s">
        <v>157</v>
      </c>
      <c r="Z37" s="100" t="s">
        <v>200</v>
      </c>
      <c r="AA37" s="90" t="s">
        <v>215</v>
      </c>
      <c r="AB37" s="88"/>
    </row>
    <row r="38" spans="1:28">
      <c r="A38" s="38" t="s">
        <v>152</v>
      </c>
      <c r="B38" s="37"/>
      <c r="C38" s="37" t="s">
        <v>202</v>
      </c>
      <c r="D38" t="s">
        <v>214</v>
      </c>
      <c r="E38" s="35" t="s">
        <v>148</v>
      </c>
      <c r="F38" s="35"/>
      <c r="G38" s="46">
        <f>K38/J38</f>
        <v>28.787878787878785</v>
      </c>
      <c r="H38" s="44">
        <v>0.38709677419354838</v>
      </c>
      <c r="I38" s="35">
        <v>12</v>
      </c>
      <c r="J38" s="35">
        <v>0.33</v>
      </c>
      <c r="K38" s="36">
        <v>9.5</v>
      </c>
      <c r="L38" s="3"/>
      <c r="M38" s="36">
        <f t="shared" si="12"/>
        <v>89.535390627309098</v>
      </c>
      <c r="N38" s="36">
        <f t="shared" si="13"/>
        <v>9.6439393939393927</v>
      </c>
      <c r="O38" s="35">
        <v>108</v>
      </c>
      <c r="P38" s="3"/>
      <c r="Q38" s="3"/>
      <c r="R38" s="33">
        <f t="shared" si="14"/>
        <v>1.2E-5</v>
      </c>
      <c r="S38" s="33">
        <f t="shared" si="15"/>
        <v>8.95353906273091E-11</v>
      </c>
      <c r="T38" s="34">
        <f t="shared" si="16"/>
        <v>9.6439393939393919E-6</v>
      </c>
      <c r="U38" s="33">
        <f t="shared" si="11"/>
        <v>108000000</v>
      </c>
      <c r="V38" s="32">
        <f t="shared" si="17"/>
        <v>0.54597524685981669</v>
      </c>
      <c r="W38" s="11">
        <f t="shared" si="18"/>
        <v>1.3649381171495417E-2</v>
      </c>
      <c r="X38" s="31">
        <f t="shared" si="19"/>
        <v>545.97524685981671</v>
      </c>
      <c r="Y38" s="30" t="s">
        <v>157</v>
      </c>
      <c r="Z38" s="30" t="s">
        <v>200</v>
      </c>
      <c r="AA38" t="s">
        <v>213</v>
      </c>
      <c r="AB38" s="88"/>
    </row>
    <row r="39" spans="1:28">
      <c r="A39" s="38" t="s">
        <v>153</v>
      </c>
      <c r="B39" s="37"/>
      <c r="C39" s="37" t="s">
        <v>202</v>
      </c>
      <c r="D39" t="s">
        <v>212</v>
      </c>
      <c r="E39" s="35"/>
      <c r="F39" s="35">
        <v>23</v>
      </c>
      <c r="G39" s="35">
        <v>6</v>
      </c>
      <c r="H39" s="35">
        <v>0.45</v>
      </c>
      <c r="I39" s="35">
        <f>F39*H39</f>
        <v>10.35</v>
      </c>
      <c r="J39" s="35">
        <v>0.33</v>
      </c>
      <c r="K39" s="36">
        <f>G39*J39</f>
        <v>1.98</v>
      </c>
      <c r="L39" s="3"/>
      <c r="M39" s="36">
        <f t="shared" si="12"/>
        <v>16.095164562503907</v>
      </c>
      <c r="N39" s="36">
        <f t="shared" si="13"/>
        <v>2.0099999999999998</v>
      </c>
      <c r="O39" s="35">
        <v>38</v>
      </c>
      <c r="P39" s="3"/>
      <c r="Q39" s="3"/>
      <c r="R39" s="33">
        <f t="shared" si="14"/>
        <v>1.0349999999999999E-5</v>
      </c>
      <c r="S39" s="33">
        <f t="shared" si="15"/>
        <v>1.6095164562503908E-11</v>
      </c>
      <c r="T39" s="34">
        <f t="shared" si="16"/>
        <v>2.0099999999999998E-6</v>
      </c>
      <c r="U39" s="33">
        <f t="shared" si="11"/>
        <v>38000000</v>
      </c>
      <c r="V39" s="32">
        <f t="shared" si="17"/>
        <v>0.11187237454214018</v>
      </c>
      <c r="W39" s="11">
        <f t="shared" si="18"/>
        <v>2.7968093635535045E-3</v>
      </c>
      <c r="X39" s="31">
        <f t="shared" si="19"/>
        <v>111.87237454214018</v>
      </c>
      <c r="Y39" s="30" t="s">
        <v>158</v>
      </c>
      <c r="Z39" s="30" t="s">
        <v>200</v>
      </c>
      <c r="AA39" t="s">
        <v>210</v>
      </c>
    </row>
    <row r="40" spans="1:28">
      <c r="A40" s="38" t="s">
        <v>153</v>
      </c>
      <c r="B40" s="37"/>
      <c r="C40" s="37" t="s">
        <v>202</v>
      </c>
      <c r="D40" t="s">
        <v>212</v>
      </c>
      <c r="E40" s="35"/>
      <c r="F40" s="35"/>
      <c r="G40" s="35">
        <v>6</v>
      </c>
      <c r="H40" s="35"/>
      <c r="I40" s="35">
        <v>17</v>
      </c>
      <c r="J40" s="35">
        <v>0.33</v>
      </c>
      <c r="K40" s="36">
        <v>3</v>
      </c>
      <c r="L40" s="3"/>
      <c r="M40" s="36">
        <f t="shared" si="12"/>
        <v>40.055306333269868</v>
      </c>
      <c r="N40" s="36">
        <f t="shared" si="13"/>
        <v>1.5</v>
      </c>
      <c r="O40" s="35">
        <v>38</v>
      </c>
      <c r="P40" s="3"/>
      <c r="Q40" s="3"/>
      <c r="R40" s="33">
        <f t="shared" si="14"/>
        <v>1.7E-5</v>
      </c>
      <c r="S40" s="33">
        <f t="shared" si="15"/>
        <v>4.0055306333269867E-11</v>
      </c>
      <c r="T40" s="34">
        <f t="shared" si="16"/>
        <v>1.5E-6</v>
      </c>
      <c r="U40" s="33">
        <f t="shared" si="11"/>
        <v>38000000</v>
      </c>
      <c r="V40" s="32">
        <f t="shared" si="17"/>
        <v>0.21796476597019149</v>
      </c>
      <c r="W40" s="11">
        <f t="shared" si="18"/>
        <v>5.449119149254787E-3</v>
      </c>
      <c r="X40" s="31">
        <f t="shared" si="19"/>
        <v>217.96476597019148</v>
      </c>
      <c r="Y40" s="30" t="s">
        <v>158</v>
      </c>
      <c r="Z40" s="30" t="s">
        <v>200</v>
      </c>
      <c r="AA40" t="s">
        <v>211</v>
      </c>
    </row>
    <row r="41" spans="1:28">
      <c r="A41" s="38" t="s">
        <v>154</v>
      </c>
      <c r="B41" s="37"/>
      <c r="C41" s="37" t="s">
        <v>202</v>
      </c>
      <c r="D41" t="s">
        <v>209</v>
      </c>
      <c r="E41" s="35" t="s">
        <v>149</v>
      </c>
      <c r="F41" s="35">
        <v>35</v>
      </c>
      <c r="G41" s="35">
        <v>7</v>
      </c>
      <c r="H41" s="44">
        <v>0.45714285714285713</v>
      </c>
      <c r="I41" s="35">
        <f>F41*H41</f>
        <v>16</v>
      </c>
      <c r="J41" s="35">
        <v>0.33</v>
      </c>
      <c r="K41" s="36">
        <f t="shared" ref="K41:K70" si="20">G41*J41</f>
        <v>2.31</v>
      </c>
      <c r="L41" s="3"/>
      <c r="M41" s="36">
        <f t="shared" si="12"/>
        <v>29.028316119169688</v>
      </c>
      <c r="N41" s="36">
        <f t="shared" si="13"/>
        <v>2.3449999999999998</v>
      </c>
      <c r="O41" s="35">
        <v>130</v>
      </c>
      <c r="P41" s="3"/>
      <c r="Q41" s="3"/>
      <c r="R41" s="33">
        <f t="shared" si="14"/>
        <v>1.5999999999999999E-5</v>
      </c>
      <c r="S41" s="33">
        <f t="shared" si="15"/>
        <v>2.9028316119169687E-11</v>
      </c>
      <c r="T41" s="34">
        <f t="shared" si="16"/>
        <v>2.3449999999999996E-6</v>
      </c>
      <c r="U41" s="33">
        <f t="shared" si="11"/>
        <v>130000000</v>
      </c>
      <c r="V41" s="32">
        <f t="shared" si="17"/>
        <v>0.53956011941298554</v>
      </c>
      <c r="W41" s="11">
        <f t="shared" si="18"/>
        <v>1.348900298532464E-2</v>
      </c>
      <c r="X41" s="31">
        <f t="shared" si="19"/>
        <v>539.5601194129855</v>
      </c>
      <c r="Y41" s="30" t="s">
        <v>159</v>
      </c>
      <c r="Z41" s="30" t="s">
        <v>200</v>
      </c>
      <c r="AA41" t="s">
        <v>210</v>
      </c>
    </row>
    <row r="42" spans="1:28">
      <c r="A42" s="38" t="s">
        <v>154</v>
      </c>
      <c r="B42" s="37"/>
      <c r="C42" s="37" t="s">
        <v>202</v>
      </c>
      <c r="D42" s="45" t="s">
        <v>209</v>
      </c>
      <c r="E42" s="35" t="s">
        <v>149</v>
      </c>
      <c r="F42" s="35">
        <v>35</v>
      </c>
      <c r="G42" s="35">
        <v>7</v>
      </c>
      <c r="H42" s="44">
        <v>0.45714285714285713</v>
      </c>
      <c r="I42" s="35">
        <v>16</v>
      </c>
      <c r="J42" s="35">
        <v>0.33</v>
      </c>
      <c r="K42" s="36">
        <f t="shared" si="20"/>
        <v>2.31</v>
      </c>
      <c r="L42" s="3"/>
      <c r="M42" s="36">
        <f t="shared" si="12"/>
        <v>29.028316119169688</v>
      </c>
      <c r="N42" s="36">
        <f t="shared" si="13"/>
        <v>2.3449999999999998</v>
      </c>
      <c r="O42" s="35">
        <v>130</v>
      </c>
      <c r="P42" s="3"/>
      <c r="Q42" s="3"/>
      <c r="R42" s="42">
        <f t="shared" si="14"/>
        <v>1.5999999999999999E-5</v>
      </c>
      <c r="S42" s="42">
        <f t="shared" si="15"/>
        <v>2.9028316119169687E-11</v>
      </c>
      <c r="T42" s="43">
        <f t="shared" si="16"/>
        <v>2.3449999999999996E-6</v>
      </c>
      <c r="U42" s="42">
        <f t="shared" si="11"/>
        <v>130000000</v>
      </c>
      <c r="V42" s="41">
        <f t="shared" si="17"/>
        <v>0.53956011941298554</v>
      </c>
      <c r="W42" s="11">
        <f t="shared" si="18"/>
        <v>1.348900298532464E-2</v>
      </c>
      <c r="X42" s="40">
        <f t="shared" si="19"/>
        <v>539.5601194129855</v>
      </c>
      <c r="Y42" s="30" t="s">
        <v>159</v>
      </c>
      <c r="Z42" s="30" t="s">
        <v>200</v>
      </c>
      <c r="AA42" s="39" t="s">
        <v>208</v>
      </c>
      <c r="AB42" s="13" t="s">
        <v>207</v>
      </c>
    </row>
    <row r="43" spans="1:28">
      <c r="A43" s="38" t="s">
        <v>155</v>
      </c>
      <c r="B43" s="37" t="s">
        <v>203</v>
      </c>
      <c r="C43" s="37" t="s">
        <v>202</v>
      </c>
      <c r="D43" t="s">
        <v>201</v>
      </c>
      <c r="E43" s="35" t="s">
        <v>150</v>
      </c>
      <c r="F43" s="35">
        <v>32</v>
      </c>
      <c r="G43" s="35">
        <v>14</v>
      </c>
      <c r="H43" s="35">
        <v>0.45</v>
      </c>
      <c r="I43" s="35">
        <f t="shared" ref="I43:I70" si="21">F43*H43</f>
        <v>14.4</v>
      </c>
      <c r="J43" s="35">
        <v>0.33</v>
      </c>
      <c r="K43" s="36">
        <f t="shared" si="20"/>
        <v>4.62</v>
      </c>
      <c r="L43" s="3"/>
      <c r="M43" s="36">
        <f t="shared" si="12"/>
        <v>52.250969014505444</v>
      </c>
      <c r="N43" s="36">
        <f t="shared" si="13"/>
        <v>4.6899999999999995</v>
      </c>
      <c r="O43" s="35">
        <v>90</v>
      </c>
      <c r="P43" s="3"/>
      <c r="Q43" s="3"/>
      <c r="R43" s="33">
        <f t="shared" si="14"/>
        <v>1.4399999999999999E-5</v>
      </c>
      <c r="S43" s="33">
        <f t="shared" si="15"/>
        <v>5.2250969014505443E-11</v>
      </c>
      <c r="T43" s="34">
        <f t="shared" si="16"/>
        <v>4.6899999999999991E-6</v>
      </c>
      <c r="U43" s="33">
        <f t="shared" si="11"/>
        <v>90000000</v>
      </c>
      <c r="V43" s="32">
        <f t="shared" si="17"/>
        <v>0.43142997291451418</v>
      </c>
      <c r="W43" s="11">
        <f t="shared" si="18"/>
        <v>1.0785749322862853E-2</v>
      </c>
      <c r="X43" s="31">
        <f t="shared" si="19"/>
        <v>431.42997291451417</v>
      </c>
      <c r="Y43" s="30" t="s">
        <v>160</v>
      </c>
      <c r="Z43" s="30" t="s">
        <v>200</v>
      </c>
      <c r="AA43" t="s">
        <v>205</v>
      </c>
      <c r="AB43" s="88" t="s">
        <v>206</v>
      </c>
    </row>
    <row r="44" spans="1:28">
      <c r="A44" s="38" t="s">
        <v>155</v>
      </c>
      <c r="B44" s="37" t="s">
        <v>203</v>
      </c>
      <c r="C44" s="37" t="s">
        <v>202</v>
      </c>
      <c r="D44" t="s">
        <v>201</v>
      </c>
      <c r="E44" s="35" t="s">
        <v>150</v>
      </c>
      <c r="F44" s="35">
        <v>26</v>
      </c>
      <c r="G44" s="35">
        <v>10</v>
      </c>
      <c r="H44" s="35">
        <v>0.45</v>
      </c>
      <c r="I44" s="35">
        <f t="shared" si="21"/>
        <v>11.700000000000001</v>
      </c>
      <c r="J44" s="35">
        <v>0.33</v>
      </c>
      <c r="K44" s="36">
        <f t="shared" si="20"/>
        <v>3.3000000000000003</v>
      </c>
      <c r="L44" s="3"/>
      <c r="M44" s="36">
        <f t="shared" si="12"/>
        <v>30.324223088775483</v>
      </c>
      <c r="N44" s="36">
        <f t="shared" si="13"/>
        <v>3.3499999999999996</v>
      </c>
      <c r="O44" s="35">
        <v>90</v>
      </c>
      <c r="P44" s="3" t="s">
        <v>151</v>
      </c>
      <c r="Q44" s="3"/>
      <c r="R44" s="33">
        <f t="shared" si="14"/>
        <v>1.17E-5</v>
      </c>
      <c r="S44" s="33">
        <f t="shared" si="15"/>
        <v>3.0324223088775485E-11</v>
      </c>
      <c r="T44" s="34">
        <f t="shared" si="16"/>
        <v>3.3499999999999997E-6</v>
      </c>
      <c r="U44" s="33">
        <f t="shared" si="11"/>
        <v>90000000</v>
      </c>
      <c r="V44" s="32">
        <f t="shared" si="17"/>
        <v>0.33756966759027557</v>
      </c>
      <c r="W44" s="11">
        <f t="shared" si="18"/>
        <v>8.4392416897568889E-3</v>
      </c>
      <c r="X44" s="31">
        <f t="shared" si="19"/>
        <v>337.56966759027557</v>
      </c>
      <c r="Y44" s="30" t="s">
        <v>160</v>
      </c>
      <c r="Z44" s="30" t="s">
        <v>200</v>
      </c>
      <c r="AA44" t="s">
        <v>199</v>
      </c>
      <c r="AB44" s="88"/>
    </row>
    <row r="45" spans="1:28">
      <c r="A45" s="38" t="s">
        <v>155</v>
      </c>
      <c r="B45" s="37" t="s">
        <v>203</v>
      </c>
      <c r="C45" s="37" t="s">
        <v>202</v>
      </c>
      <c r="D45" t="s">
        <v>201</v>
      </c>
      <c r="E45" s="35" t="s">
        <v>150</v>
      </c>
      <c r="F45" s="35">
        <v>32</v>
      </c>
      <c r="G45" s="35">
        <v>14</v>
      </c>
      <c r="H45" s="35">
        <v>0.45</v>
      </c>
      <c r="I45" s="35">
        <f t="shared" si="21"/>
        <v>14.4</v>
      </c>
      <c r="J45" s="35">
        <v>0.33</v>
      </c>
      <c r="K45" s="36">
        <f t="shared" si="20"/>
        <v>4.62</v>
      </c>
      <c r="L45" s="3"/>
      <c r="M45" s="36">
        <f t="shared" si="12"/>
        <v>52.250969014505444</v>
      </c>
      <c r="N45" s="36">
        <f t="shared" si="13"/>
        <v>4.6899999999999995</v>
      </c>
      <c r="O45" s="35">
        <v>83</v>
      </c>
      <c r="P45" s="3" t="s">
        <v>151</v>
      </c>
      <c r="Q45" s="3"/>
      <c r="R45" s="33">
        <f t="shared" si="14"/>
        <v>1.4399999999999999E-5</v>
      </c>
      <c r="S45" s="33">
        <f t="shared" si="15"/>
        <v>5.2250969014505443E-11</v>
      </c>
      <c r="T45" s="34">
        <f t="shared" si="16"/>
        <v>4.6899999999999991E-6</v>
      </c>
      <c r="U45" s="33">
        <f t="shared" si="11"/>
        <v>83000000</v>
      </c>
      <c r="V45" s="32">
        <f t="shared" si="17"/>
        <v>0.39787430835449639</v>
      </c>
      <c r="W45" s="11">
        <f t="shared" si="18"/>
        <v>9.9468577088624097E-3</v>
      </c>
      <c r="X45" s="31">
        <f t="shared" si="19"/>
        <v>397.87430835449641</v>
      </c>
      <c r="Y45" s="30" t="s">
        <v>160</v>
      </c>
      <c r="Z45" s="30" t="s">
        <v>200</v>
      </c>
      <c r="AA45" t="s">
        <v>205</v>
      </c>
      <c r="AB45" s="88" t="s">
        <v>204</v>
      </c>
    </row>
    <row r="46" spans="1:28">
      <c r="A46" s="38" t="s">
        <v>155</v>
      </c>
      <c r="B46" s="37" t="s">
        <v>203</v>
      </c>
      <c r="C46" s="37" t="s">
        <v>202</v>
      </c>
      <c r="D46" t="s">
        <v>201</v>
      </c>
      <c r="E46" s="35" t="s">
        <v>150</v>
      </c>
      <c r="F46" s="35">
        <v>26</v>
      </c>
      <c r="G46" s="35">
        <v>10</v>
      </c>
      <c r="H46" s="35">
        <v>0.45</v>
      </c>
      <c r="I46" s="35">
        <f t="shared" si="21"/>
        <v>11.700000000000001</v>
      </c>
      <c r="J46" s="35">
        <v>0.33</v>
      </c>
      <c r="K46" s="36">
        <f t="shared" si="20"/>
        <v>3.3000000000000003</v>
      </c>
      <c r="L46" s="3"/>
      <c r="M46" s="36">
        <f t="shared" si="12"/>
        <v>30.324223088775483</v>
      </c>
      <c r="N46" s="36">
        <f t="shared" si="13"/>
        <v>3.3499999999999996</v>
      </c>
      <c r="O46" s="35">
        <v>83</v>
      </c>
      <c r="P46" s="3" t="s">
        <v>151</v>
      </c>
      <c r="Q46" s="3"/>
      <c r="R46" s="33">
        <f t="shared" si="14"/>
        <v>1.17E-5</v>
      </c>
      <c r="S46" s="33">
        <f t="shared" si="15"/>
        <v>3.0324223088775485E-11</v>
      </c>
      <c r="T46" s="34">
        <f t="shared" si="16"/>
        <v>3.3499999999999997E-6</v>
      </c>
      <c r="U46" s="33">
        <f t="shared" si="11"/>
        <v>83000000</v>
      </c>
      <c r="V46" s="32">
        <f t="shared" si="17"/>
        <v>0.31131424899992077</v>
      </c>
      <c r="W46" s="11">
        <f t="shared" si="18"/>
        <v>7.7828562249980188E-3</v>
      </c>
      <c r="X46" s="31">
        <f t="shared" si="19"/>
        <v>311.31424899992078</v>
      </c>
      <c r="Y46" s="30" t="s">
        <v>160</v>
      </c>
      <c r="Z46" s="30" t="s">
        <v>200</v>
      </c>
      <c r="AA46" t="s">
        <v>199</v>
      </c>
      <c r="AB46" s="88"/>
    </row>
    <row r="47" spans="1:28" s="19" customFormat="1" ht="17">
      <c r="A47" s="29" t="s">
        <v>85</v>
      </c>
      <c r="B47" s="29"/>
      <c r="C47" s="29" t="s">
        <v>197</v>
      </c>
      <c r="E47" s="19">
        <v>310.60000000000002</v>
      </c>
      <c r="F47" s="19">
        <v>90</v>
      </c>
      <c r="G47" s="19">
        <v>45</v>
      </c>
      <c r="H47" s="19">
        <v>0.25</v>
      </c>
      <c r="I47" s="19">
        <f t="shared" si="21"/>
        <v>22.5</v>
      </c>
      <c r="J47" s="19">
        <v>0.66</v>
      </c>
      <c r="K47" s="23">
        <f t="shared" si="20"/>
        <v>29.700000000000003</v>
      </c>
      <c r="M47" s="23">
        <f t="shared" ref="M47:M70" si="22">PI()*I47/2*K47/2</f>
        <v>524.84232269034487</v>
      </c>
      <c r="N47" s="23">
        <f t="shared" si="13"/>
        <v>7.6499999999999986</v>
      </c>
      <c r="O47" s="19">
        <v>25</v>
      </c>
      <c r="P47" s="19">
        <v>1.8</v>
      </c>
      <c r="R47" s="25">
        <f t="shared" si="14"/>
        <v>2.2499999999999998E-5</v>
      </c>
      <c r="S47" s="25">
        <f t="shared" si="15"/>
        <v>5.2484232269034488E-10</v>
      </c>
      <c r="T47" s="25">
        <f t="shared" si="16"/>
        <v>7.6499999999999979E-6</v>
      </c>
      <c r="U47" s="25">
        <f t="shared" si="11"/>
        <v>25000000</v>
      </c>
      <c r="V47" s="22">
        <f t="shared" si="17"/>
        <v>0.47784158730761006</v>
      </c>
      <c r="W47" s="11">
        <f t="shared" si="18"/>
        <v>1.1946039682690252E-2</v>
      </c>
      <c r="X47" s="21">
        <f t="shared" si="19"/>
        <v>477.84158730761004</v>
      </c>
      <c r="Y47" s="28" t="s">
        <v>84</v>
      </c>
      <c r="Z47" s="20" t="s">
        <v>193</v>
      </c>
    </row>
    <row r="48" spans="1:28" ht="17">
      <c r="A48" s="27" t="s">
        <v>86</v>
      </c>
      <c r="B48" s="27"/>
      <c r="C48" s="27" t="s">
        <v>197</v>
      </c>
      <c r="E48">
        <v>313</v>
      </c>
      <c r="F48">
        <v>35</v>
      </c>
      <c r="G48">
        <v>25</v>
      </c>
      <c r="H48">
        <v>0.25</v>
      </c>
      <c r="I48">
        <f t="shared" si="21"/>
        <v>8.75</v>
      </c>
      <c r="J48">
        <v>0.66</v>
      </c>
      <c r="K48" s="17">
        <f t="shared" si="20"/>
        <v>16.5</v>
      </c>
      <c r="M48" s="17">
        <f t="shared" si="22"/>
        <v>113.3918598405066</v>
      </c>
      <c r="N48" s="17">
        <f t="shared" si="13"/>
        <v>4.25</v>
      </c>
      <c r="O48">
        <v>11</v>
      </c>
      <c r="P48">
        <v>0.75</v>
      </c>
      <c r="R48" s="2">
        <f t="shared" si="14"/>
        <v>8.7499999999999992E-6</v>
      </c>
      <c r="S48" s="2">
        <f t="shared" si="15"/>
        <v>1.133918598405066E-10</v>
      </c>
      <c r="T48" s="2">
        <f t="shared" si="16"/>
        <v>4.25E-6</v>
      </c>
      <c r="U48" s="2">
        <f t="shared" si="11"/>
        <v>11000000</v>
      </c>
      <c r="V48" s="16">
        <f t="shared" si="17"/>
        <v>9.277006559668495E-2</v>
      </c>
      <c r="W48" s="11">
        <f t="shared" si="18"/>
        <v>2.3192516399171237E-3</v>
      </c>
      <c r="X48" s="15">
        <f t="shared" si="19"/>
        <v>92.770065596684944</v>
      </c>
      <c r="Y48" s="12" t="s">
        <v>84</v>
      </c>
      <c r="Z48" s="14" t="s">
        <v>193</v>
      </c>
    </row>
    <row r="49" spans="1:26" ht="17">
      <c r="A49" s="27" t="s">
        <v>87</v>
      </c>
      <c r="B49" s="27"/>
      <c r="C49" s="27" t="s">
        <v>197</v>
      </c>
      <c r="E49">
        <v>310.60000000000002</v>
      </c>
      <c r="F49">
        <v>100</v>
      </c>
      <c r="G49">
        <v>16</v>
      </c>
      <c r="H49">
        <v>0.25</v>
      </c>
      <c r="I49">
        <f t="shared" si="21"/>
        <v>25</v>
      </c>
      <c r="J49">
        <v>0.66</v>
      </c>
      <c r="K49" s="17">
        <f t="shared" si="20"/>
        <v>10.56</v>
      </c>
      <c r="M49" s="17">
        <f t="shared" si="22"/>
        <v>207.34511513692635</v>
      </c>
      <c r="N49" s="17">
        <f t="shared" si="13"/>
        <v>2.7199999999999998</v>
      </c>
      <c r="O49">
        <v>23</v>
      </c>
      <c r="P49">
        <v>2.1</v>
      </c>
      <c r="R49" s="2">
        <f t="shared" si="14"/>
        <v>2.4999999999999998E-5</v>
      </c>
      <c r="S49" s="2">
        <f t="shared" si="15"/>
        <v>2.0734511513692635E-10</v>
      </c>
      <c r="T49" s="2">
        <f t="shared" si="16"/>
        <v>2.7199999999999998E-6</v>
      </c>
      <c r="U49" s="2">
        <f t="shared" si="11"/>
        <v>23000000</v>
      </c>
      <c r="V49" s="16">
        <f t="shared" si="17"/>
        <v>0.31358815192118344</v>
      </c>
      <c r="W49" s="11">
        <f t="shared" si="18"/>
        <v>7.8397037980295851E-3</v>
      </c>
      <c r="X49" s="15">
        <f t="shared" si="19"/>
        <v>313.58815192118345</v>
      </c>
      <c r="Y49" s="12" t="s">
        <v>84</v>
      </c>
      <c r="Z49" s="14" t="s">
        <v>193</v>
      </c>
    </row>
    <row r="50" spans="1:26" ht="17">
      <c r="A50" s="27" t="s">
        <v>88</v>
      </c>
      <c r="B50" s="27"/>
      <c r="C50" s="27" t="s">
        <v>197</v>
      </c>
      <c r="F50">
        <v>48</v>
      </c>
      <c r="G50">
        <v>42.5</v>
      </c>
      <c r="H50">
        <v>0.25</v>
      </c>
      <c r="I50">
        <f t="shared" si="21"/>
        <v>12</v>
      </c>
      <c r="J50">
        <v>0.66</v>
      </c>
      <c r="K50" s="17">
        <f t="shared" si="20"/>
        <v>28.05</v>
      </c>
      <c r="M50" s="17">
        <f t="shared" si="22"/>
        <v>264.36502179958109</v>
      </c>
      <c r="N50" s="17">
        <f t="shared" si="13"/>
        <v>7.2249999999999996</v>
      </c>
      <c r="O50">
        <v>25</v>
      </c>
      <c r="P50">
        <v>1.5</v>
      </c>
      <c r="R50" s="2">
        <f t="shared" si="14"/>
        <v>1.2E-5</v>
      </c>
      <c r="S50" s="2">
        <f t="shared" si="15"/>
        <v>2.6436502179958109E-10</v>
      </c>
      <c r="T50" s="2">
        <f t="shared" si="16"/>
        <v>7.2249999999999994E-6</v>
      </c>
      <c r="U50" s="2">
        <f t="shared" si="11"/>
        <v>25000000</v>
      </c>
      <c r="V50" s="16">
        <f t="shared" si="17"/>
        <v>0.31098636521566458</v>
      </c>
      <c r="W50" s="11">
        <f t="shared" si="18"/>
        <v>7.7746591303916148E-3</v>
      </c>
      <c r="X50" s="15">
        <f t="shared" si="19"/>
        <v>310.98636521566459</v>
      </c>
      <c r="Y50" s="12" t="s">
        <v>84</v>
      </c>
      <c r="Z50" s="14" t="s">
        <v>193</v>
      </c>
    </row>
    <row r="51" spans="1:26" ht="17">
      <c r="A51" s="27" t="s">
        <v>89</v>
      </c>
      <c r="B51" s="27"/>
      <c r="C51" s="27" t="s">
        <v>198</v>
      </c>
      <c r="F51">
        <v>70</v>
      </c>
      <c r="G51">
        <v>60</v>
      </c>
      <c r="H51">
        <v>0.25</v>
      </c>
      <c r="I51">
        <f t="shared" si="21"/>
        <v>17.5</v>
      </c>
      <c r="J51">
        <v>0.66</v>
      </c>
      <c r="K51" s="17">
        <f t="shared" si="20"/>
        <v>39.6</v>
      </c>
      <c r="M51" s="17">
        <f t="shared" si="22"/>
        <v>544.28092723443172</v>
      </c>
      <c r="N51" s="17">
        <f t="shared" si="13"/>
        <v>10.199999999999999</v>
      </c>
      <c r="O51">
        <v>90</v>
      </c>
      <c r="P51">
        <v>12</v>
      </c>
      <c r="R51" s="2">
        <f t="shared" si="14"/>
        <v>1.7499999999999998E-5</v>
      </c>
      <c r="S51" s="2">
        <f t="shared" si="15"/>
        <v>5.4428092723443175E-10</v>
      </c>
      <c r="T51" s="2">
        <f t="shared" si="16"/>
        <v>1.0199999999999999E-5</v>
      </c>
      <c r="U51" s="2">
        <f t="shared" si="11"/>
        <v>90000000</v>
      </c>
      <c r="V51" s="16">
        <f t="shared" si="17"/>
        <v>1.6150806003795601</v>
      </c>
      <c r="W51" s="11">
        <f t="shared" si="18"/>
        <v>4.0377015009489002E-2</v>
      </c>
      <c r="X51" s="15">
        <f t="shared" si="19"/>
        <v>1615.0806003795601</v>
      </c>
      <c r="Y51" s="12" t="s">
        <v>97</v>
      </c>
      <c r="Z51" s="14" t="s">
        <v>193</v>
      </c>
    </row>
    <row r="52" spans="1:26" ht="17">
      <c r="A52" s="27" t="s">
        <v>90</v>
      </c>
      <c r="B52" s="27"/>
      <c r="C52" s="27" t="s">
        <v>198</v>
      </c>
      <c r="F52">
        <v>50</v>
      </c>
      <c r="G52">
        <v>90</v>
      </c>
      <c r="H52">
        <v>0.25</v>
      </c>
      <c r="I52">
        <f t="shared" si="21"/>
        <v>12.5</v>
      </c>
      <c r="J52">
        <v>0.66</v>
      </c>
      <c r="K52" s="17">
        <f t="shared" si="20"/>
        <v>59.400000000000006</v>
      </c>
      <c r="M52" s="17">
        <f t="shared" si="22"/>
        <v>583.1581363226054</v>
      </c>
      <c r="N52" s="17">
        <f t="shared" si="13"/>
        <v>15.299999999999997</v>
      </c>
      <c r="O52">
        <v>35</v>
      </c>
      <c r="P52">
        <v>3.5</v>
      </c>
      <c r="R52" s="2">
        <f t="shared" si="14"/>
        <v>1.2499999999999999E-5</v>
      </c>
      <c r="S52" s="2">
        <f t="shared" si="15"/>
        <v>5.8315813632260539E-10</v>
      </c>
      <c r="T52" s="2">
        <f t="shared" si="16"/>
        <v>1.5299999999999996E-5</v>
      </c>
      <c r="U52" s="2">
        <f t="shared" si="11"/>
        <v>35000000</v>
      </c>
      <c r="V52" s="16">
        <f t="shared" si="17"/>
        <v>0.56613111229011825</v>
      </c>
      <c r="W52" s="11">
        <f t="shared" si="18"/>
        <v>1.4153277807252956E-2</v>
      </c>
      <c r="X52" s="15">
        <f t="shared" si="19"/>
        <v>566.13111229011827</v>
      </c>
      <c r="Y52" s="12" t="s">
        <v>97</v>
      </c>
      <c r="Z52" s="14" t="s">
        <v>193</v>
      </c>
    </row>
    <row r="53" spans="1:26" ht="17">
      <c r="A53" s="27" t="s">
        <v>91</v>
      </c>
      <c r="B53" s="27"/>
      <c r="C53" s="27" t="s">
        <v>198</v>
      </c>
      <c r="F53">
        <v>90</v>
      </c>
      <c r="G53">
        <v>45</v>
      </c>
      <c r="H53">
        <v>0.25</v>
      </c>
      <c r="I53">
        <f t="shared" si="21"/>
        <v>22.5</v>
      </c>
      <c r="J53">
        <v>0.66</v>
      </c>
      <c r="K53" s="17">
        <f t="shared" si="20"/>
        <v>29.700000000000003</v>
      </c>
      <c r="M53" s="17">
        <f t="shared" si="22"/>
        <v>524.84232269034487</v>
      </c>
      <c r="N53" s="17">
        <f t="shared" si="13"/>
        <v>7.6499999999999986</v>
      </c>
      <c r="O53">
        <v>104</v>
      </c>
      <c r="P53">
        <v>10.5</v>
      </c>
      <c r="R53" s="2">
        <f t="shared" si="14"/>
        <v>2.2499999999999998E-5</v>
      </c>
      <c r="S53" s="2">
        <f t="shared" si="15"/>
        <v>5.2484232269034488E-10</v>
      </c>
      <c r="T53" s="2">
        <f t="shared" si="16"/>
        <v>7.6499999999999979E-6</v>
      </c>
      <c r="U53" s="2">
        <f t="shared" si="11"/>
        <v>104000000</v>
      </c>
      <c r="V53" s="16">
        <f t="shared" si="17"/>
        <v>1.9878210031996577</v>
      </c>
      <c r="W53" s="11">
        <f t="shared" si="18"/>
        <v>4.9695525079991441E-2</v>
      </c>
      <c r="X53" s="15">
        <f t="shared" si="19"/>
        <v>1987.8210031996578</v>
      </c>
      <c r="Y53" s="12" t="s">
        <v>98</v>
      </c>
      <c r="Z53" s="14" t="s">
        <v>193</v>
      </c>
    </row>
    <row r="54" spans="1:26" ht="17">
      <c r="A54" s="27" t="s">
        <v>92</v>
      </c>
      <c r="B54" s="27"/>
      <c r="C54" s="27" t="s">
        <v>198</v>
      </c>
      <c r="F54">
        <v>70</v>
      </c>
      <c r="G54">
        <v>65</v>
      </c>
      <c r="H54">
        <v>0.25</v>
      </c>
      <c r="I54">
        <f t="shared" si="21"/>
        <v>17.5</v>
      </c>
      <c r="J54">
        <v>0.66</v>
      </c>
      <c r="K54" s="17">
        <f t="shared" si="20"/>
        <v>42.9</v>
      </c>
      <c r="M54" s="17">
        <f t="shared" si="22"/>
        <v>589.63767117063423</v>
      </c>
      <c r="N54" s="17">
        <f t="shared" si="13"/>
        <v>11.05</v>
      </c>
      <c r="O54">
        <v>7.5</v>
      </c>
      <c r="P54">
        <v>0.8</v>
      </c>
      <c r="R54" s="2">
        <f t="shared" si="14"/>
        <v>1.7499999999999998E-5</v>
      </c>
      <c r="S54" s="2">
        <f t="shared" si="15"/>
        <v>5.8963767117063418E-10</v>
      </c>
      <c r="T54" s="2">
        <f t="shared" si="16"/>
        <v>1.1050000000000001E-5</v>
      </c>
      <c r="U54" s="2">
        <f t="shared" si="11"/>
        <v>7500000</v>
      </c>
      <c r="V54" s="16">
        <f t="shared" si="17"/>
        <v>0.13822122477606338</v>
      </c>
      <c r="W54" s="11">
        <f t="shared" si="18"/>
        <v>3.4555306194015848E-3</v>
      </c>
      <c r="X54" s="15">
        <f t="shared" si="19"/>
        <v>138.22122477606339</v>
      </c>
      <c r="Y54" s="12" t="s">
        <v>99</v>
      </c>
      <c r="Z54" s="14" t="s">
        <v>193</v>
      </c>
    </row>
    <row r="55" spans="1:26" ht="17">
      <c r="A55" s="27" t="s">
        <v>93</v>
      </c>
      <c r="B55" s="27"/>
      <c r="C55" s="27" t="s">
        <v>197</v>
      </c>
      <c r="E55">
        <v>313</v>
      </c>
      <c r="F55">
        <v>70</v>
      </c>
      <c r="G55">
        <v>65</v>
      </c>
      <c r="H55">
        <v>0.25</v>
      </c>
      <c r="I55">
        <f t="shared" si="21"/>
        <v>17.5</v>
      </c>
      <c r="J55">
        <v>0.66</v>
      </c>
      <c r="K55" s="17">
        <f t="shared" si="20"/>
        <v>42.9</v>
      </c>
      <c r="M55" s="17">
        <f t="shared" si="22"/>
        <v>589.63767117063423</v>
      </c>
      <c r="N55" s="17">
        <f t="shared" si="13"/>
        <v>11.05</v>
      </c>
      <c r="O55">
        <v>3.5</v>
      </c>
      <c r="P55">
        <v>0.32</v>
      </c>
      <c r="R55" s="2">
        <f t="shared" si="14"/>
        <v>1.7499999999999998E-5</v>
      </c>
      <c r="S55" s="2">
        <f t="shared" si="15"/>
        <v>5.8963767117063418E-10</v>
      </c>
      <c r="T55" s="2">
        <f t="shared" si="16"/>
        <v>1.1050000000000001E-5</v>
      </c>
      <c r="U55" s="2">
        <f t="shared" si="11"/>
        <v>3500000</v>
      </c>
      <c r="V55" s="16">
        <f t="shared" si="17"/>
        <v>6.4503238228829571E-2</v>
      </c>
      <c r="W55" s="11">
        <f t="shared" si="18"/>
        <v>1.6125809557207393E-3</v>
      </c>
      <c r="X55" s="15">
        <f t="shared" si="19"/>
        <v>64.503238228829574</v>
      </c>
      <c r="Y55" s="12" t="s">
        <v>84</v>
      </c>
      <c r="Z55" s="14" t="s">
        <v>193</v>
      </c>
    </row>
    <row r="56" spans="1:26" ht="17">
      <c r="A56" s="27" t="s">
        <v>94</v>
      </c>
      <c r="B56" s="27"/>
      <c r="C56" s="27" t="s">
        <v>197</v>
      </c>
      <c r="F56">
        <v>29</v>
      </c>
      <c r="G56">
        <v>20</v>
      </c>
      <c r="H56">
        <v>0.25</v>
      </c>
      <c r="I56">
        <f t="shared" si="21"/>
        <v>7.25</v>
      </c>
      <c r="J56">
        <v>0.66</v>
      </c>
      <c r="K56" s="17">
        <f t="shared" si="20"/>
        <v>13.200000000000001</v>
      </c>
      <c r="M56" s="17">
        <f t="shared" si="22"/>
        <v>75.16260423713581</v>
      </c>
      <c r="N56" s="17">
        <f t="shared" si="13"/>
        <v>3.3999999999999995</v>
      </c>
      <c r="O56">
        <v>42</v>
      </c>
      <c r="P56">
        <v>2</v>
      </c>
      <c r="R56" s="2">
        <f t="shared" si="14"/>
        <v>7.25E-6</v>
      </c>
      <c r="S56" s="2">
        <f t="shared" si="15"/>
        <v>7.5162604237135808E-11</v>
      </c>
      <c r="T56" s="2">
        <f t="shared" si="16"/>
        <v>3.3999999999999992E-6</v>
      </c>
      <c r="U56" s="2">
        <f t="shared" si="11"/>
        <v>42000000</v>
      </c>
      <c r="V56" s="16">
        <f t="shared" si="17"/>
        <v>0.28995210130277693</v>
      </c>
      <c r="W56" s="11">
        <f t="shared" si="18"/>
        <v>7.248802532569423E-3</v>
      </c>
      <c r="X56" s="15">
        <f t="shared" si="19"/>
        <v>289.95210130277695</v>
      </c>
      <c r="Y56" s="12" t="s">
        <v>84</v>
      </c>
      <c r="Z56" s="14" t="s">
        <v>193</v>
      </c>
    </row>
    <row r="57" spans="1:26" ht="17">
      <c r="A57" s="27" t="s">
        <v>95</v>
      </c>
      <c r="B57" s="27"/>
      <c r="C57" s="27" t="s">
        <v>197</v>
      </c>
      <c r="E57">
        <v>314</v>
      </c>
      <c r="F57">
        <v>105</v>
      </c>
      <c r="G57">
        <v>60</v>
      </c>
      <c r="H57">
        <v>0.25</v>
      </c>
      <c r="I57">
        <f t="shared" si="21"/>
        <v>26.25</v>
      </c>
      <c r="J57">
        <v>0.66</v>
      </c>
      <c r="K57" s="17">
        <f t="shared" si="20"/>
        <v>39.6</v>
      </c>
      <c r="M57" s="17">
        <f t="shared" si="22"/>
        <v>816.42139085164752</v>
      </c>
      <c r="N57" s="17">
        <f t="shared" si="13"/>
        <v>10.199999999999999</v>
      </c>
      <c r="O57">
        <v>7</v>
      </c>
      <c r="P57">
        <v>0.8</v>
      </c>
      <c r="R57" s="2">
        <f t="shared" si="14"/>
        <v>2.6249999999999998E-5</v>
      </c>
      <c r="S57" s="2">
        <f t="shared" si="15"/>
        <v>8.1642139085164753E-10</v>
      </c>
      <c r="T57" s="2">
        <f t="shared" si="16"/>
        <v>1.0199999999999999E-5</v>
      </c>
      <c r="U57" s="2">
        <f t="shared" si="11"/>
        <v>7000000</v>
      </c>
      <c r="V57" s="16">
        <f t="shared" si="17"/>
        <v>0.16377777241870228</v>
      </c>
      <c r="W57" s="11">
        <f t="shared" si="18"/>
        <v>4.0944443104675571E-3</v>
      </c>
      <c r="X57" s="15">
        <f t="shared" si="19"/>
        <v>163.77777241870228</v>
      </c>
      <c r="Y57" s="12" t="s">
        <v>84</v>
      </c>
      <c r="Z57" s="14" t="s">
        <v>193</v>
      </c>
    </row>
    <row r="58" spans="1:26" ht="17">
      <c r="A58" s="27" t="s">
        <v>96</v>
      </c>
      <c r="B58" s="27"/>
      <c r="C58" s="27" t="s">
        <v>197</v>
      </c>
      <c r="E58">
        <v>313</v>
      </c>
      <c r="F58">
        <v>50</v>
      </c>
      <c r="G58">
        <v>60</v>
      </c>
      <c r="H58">
        <v>0.25</v>
      </c>
      <c r="I58">
        <f t="shared" si="21"/>
        <v>12.5</v>
      </c>
      <c r="J58">
        <v>0.66</v>
      </c>
      <c r="K58" s="17">
        <f t="shared" si="20"/>
        <v>39.6</v>
      </c>
      <c r="M58" s="17">
        <f t="shared" si="22"/>
        <v>388.77209088173691</v>
      </c>
      <c r="N58" s="17">
        <f t="shared" si="13"/>
        <v>10.199999999999999</v>
      </c>
      <c r="O58">
        <v>4</v>
      </c>
      <c r="P58">
        <v>0.5</v>
      </c>
      <c r="R58" s="2">
        <f t="shared" si="14"/>
        <v>1.2499999999999999E-5</v>
      </c>
      <c r="S58" s="2">
        <f t="shared" si="15"/>
        <v>3.8877209088173689E-10</v>
      </c>
      <c r="T58" s="2">
        <f t="shared" si="16"/>
        <v>1.0199999999999999E-5</v>
      </c>
      <c r="U58" s="2">
        <f t="shared" si="11"/>
        <v>4000000</v>
      </c>
      <c r="V58" s="16">
        <f t="shared" si="17"/>
        <v>5.7203939024871045E-2</v>
      </c>
      <c r="W58" s="11">
        <f t="shared" si="18"/>
        <v>1.430098475621776E-3</v>
      </c>
      <c r="X58" s="15">
        <f t="shared" si="19"/>
        <v>57.203939024871048</v>
      </c>
      <c r="Y58" s="12" t="s">
        <v>84</v>
      </c>
      <c r="Z58" s="14" t="s">
        <v>193</v>
      </c>
    </row>
    <row r="59" spans="1:26" ht="17">
      <c r="A59" s="27" t="s">
        <v>100</v>
      </c>
      <c r="B59" s="27"/>
      <c r="C59" s="27" t="s">
        <v>197</v>
      </c>
      <c r="F59">
        <v>64</v>
      </c>
      <c r="G59">
        <v>55</v>
      </c>
      <c r="H59">
        <v>0.25</v>
      </c>
      <c r="I59">
        <f t="shared" si="21"/>
        <v>16</v>
      </c>
      <c r="J59">
        <v>0.66</v>
      </c>
      <c r="K59" s="17">
        <f t="shared" si="20"/>
        <v>36.300000000000004</v>
      </c>
      <c r="M59" s="17">
        <f t="shared" si="22"/>
        <v>456.15925330123804</v>
      </c>
      <c r="N59" s="17">
        <f t="shared" si="13"/>
        <v>9.3499999999999979</v>
      </c>
      <c r="O59">
        <v>7</v>
      </c>
      <c r="P59">
        <v>0.5</v>
      </c>
      <c r="R59" s="2">
        <f t="shared" si="14"/>
        <v>1.5999999999999999E-5</v>
      </c>
      <c r="S59" s="2">
        <f t="shared" si="15"/>
        <v>4.5615925330123804E-10</v>
      </c>
      <c r="T59" s="2">
        <f t="shared" si="16"/>
        <v>9.3499999999999969E-6</v>
      </c>
      <c r="U59" s="2">
        <f t="shared" si="11"/>
        <v>7000000</v>
      </c>
      <c r="V59" s="16">
        <f t="shared" si="17"/>
        <v>0.11495020907553787</v>
      </c>
      <c r="W59" s="11">
        <f t="shared" si="18"/>
        <v>2.8737552268884468E-3</v>
      </c>
      <c r="X59" s="15">
        <f t="shared" si="19"/>
        <v>114.95020907553787</v>
      </c>
      <c r="Y59" s="12" t="s">
        <v>84</v>
      </c>
      <c r="Z59" s="14" t="s">
        <v>193</v>
      </c>
    </row>
    <row r="60" spans="1:26" ht="17">
      <c r="A60" s="27" t="s">
        <v>101</v>
      </c>
      <c r="B60" s="27"/>
      <c r="C60" s="27" t="s">
        <v>197</v>
      </c>
      <c r="E60">
        <v>310.60000000000002</v>
      </c>
      <c r="F60">
        <v>65</v>
      </c>
      <c r="G60">
        <v>45</v>
      </c>
      <c r="H60">
        <v>0.25</v>
      </c>
      <c r="I60">
        <f t="shared" si="21"/>
        <v>16.25</v>
      </c>
      <c r="J60">
        <v>0.66</v>
      </c>
      <c r="K60" s="17">
        <f t="shared" si="20"/>
        <v>29.700000000000003</v>
      </c>
      <c r="M60" s="17">
        <f t="shared" si="22"/>
        <v>379.05278860969349</v>
      </c>
      <c r="N60" s="17">
        <f t="shared" si="13"/>
        <v>7.6499999999999986</v>
      </c>
      <c r="O60">
        <v>476</v>
      </c>
      <c r="P60">
        <v>20.8</v>
      </c>
      <c r="R60" s="2">
        <f t="shared" si="14"/>
        <v>1.6249999999999999E-5</v>
      </c>
      <c r="S60" s="2">
        <f t="shared" si="15"/>
        <v>3.7905278860969351E-10</v>
      </c>
      <c r="T60" s="2">
        <f t="shared" si="16"/>
        <v>7.6499999999999979E-6</v>
      </c>
      <c r="U60" s="2">
        <f t="shared" si="11"/>
        <v>476000000</v>
      </c>
      <c r="V60" s="16">
        <f t="shared" si="17"/>
        <v>7.3752538814678932</v>
      </c>
      <c r="W60" s="11">
        <f t="shared" si="18"/>
        <v>0.18438134703669731</v>
      </c>
      <c r="X60" s="15">
        <f t="shared" si="19"/>
        <v>7375.2538814678928</v>
      </c>
      <c r="Y60" s="12" t="s">
        <v>84</v>
      </c>
      <c r="Z60" s="14" t="s">
        <v>193</v>
      </c>
    </row>
    <row r="61" spans="1:26" ht="17">
      <c r="A61" s="27" t="s">
        <v>102</v>
      </c>
      <c r="B61" s="27"/>
      <c r="C61" s="27" t="s">
        <v>197</v>
      </c>
      <c r="E61">
        <v>310.60000000000002</v>
      </c>
      <c r="F61">
        <v>100</v>
      </c>
      <c r="G61">
        <v>38</v>
      </c>
      <c r="H61">
        <v>0.25</v>
      </c>
      <c r="I61">
        <f t="shared" si="21"/>
        <v>25</v>
      </c>
      <c r="J61">
        <v>0.66</v>
      </c>
      <c r="K61" s="17">
        <f t="shared" si="20"/>
        <v>25.080000000000002</v>
      </c>
      <c r="M61" s="17">
        <f t="shared" si="22"/>
        <v>492.44464845020013</v>
      </c>
      <c r="N61" s="17">
        <f t="shared" si="13"/>
        <v>6.4599999999999991</v>
      </c>
      <c r="O61">
        <v>628</v>
      </c>
      <c r="P61">
        <v>20.3</v>
      </c>
      <c r="R61" s="2">
        <f t="shared" si="14"/>
        <v>2.4999999999999998E-5</v>
      </c>
      <c r="S61" s="2">
        <f t="shared" si="15"/>
        <v>4.9244464845020013E-10</v>
      </c>
      <c r="T61" s="2">
        <f t="shared" si="16"/>
        <v>6.4599999999999991E-6</v>
      </c>
      <c r="U61" s="2">
        <f t="shared" si="11"/>
        <v>628000000</v>
      </c>
      <c r="V61" s="16">
        <f t="shared" si="17"/>
        <v>12.049840664092383</v>
      </c>
      <c r="W61" s="11">
        <f t="shared" si="18"/>
        <v>0.30124601660230954</v>
      </c>
      <c r="X61" s="15">
        <f t="shared" si="19"/>
        <v>12049.840664092382</v>
      </c>
      <c r="Y61" s="12" t="s">
        <v>84</v>
      </c>
      <c r="Z61" s="14" t="s">
        <v>193</v>
      </c>
    </row>
    <row r="62" spans="1:26" ht="17">
      <c r="A62" s="27" t="s">
        <v>103</v>
      </c>
      <c r="B62" s="27"/>
      <c r="C62" s="27" t="s">
        <v>197</v>
      </c>
      <c r="E62">
        <v>310.60000000000002</v>
      </c>
      <c r="F62">
        <v>46</v>
      </c>
      <c r="G62">
        <v>44</v>
      </c>
      <c r="H62">
        <v>0.25</v>
      </c>
      <c r="I62">
        <f t="shared" si="21"/>
        <v>11.5</v>
      </c>
      <c r="J62">
        <v>0.66</v>
      </c>
      <c r="K62" s="17">
        <f t="shared" si="20"/>
        <v>29.040000000000003</v>
      </c>
      <c r="M62" s="17">
        <f t="shared" si="22"/>
        <v>262.29157064821186</v>
      </c>
      <c r="N62" s="17">
        <f t="shared" si="13"/>
        <v>7.4799999999999986</v>
      </c>
      <c r="O62">
        <v>181</v>
      </c>
      <c r="R62" s="2">
        <f t="shared" si="14"/>
        <v>1.15E-5</v>
      </c>
      <c r="S62" s="2">
        <f t="shared" si="15"/>
        <v>2.6229157064821186E-10</v>
      </c>
      <c r="T62" s="2">
        <f t="shared" si="16"/>
        <v>7.4799999999999987E-6</v>
      </c>
      <c r="U62" s="2">
        <f t="shared" si="11"/>
        <v>181000000</v>
      </c>
      <c r="V62" s="16">
        <f t="shared" si="17"/>
        <v>2.213584243235895</v>
      </c>
      <c r="W62" s="11">
        <f t="shared" si="18"/>
        <v>5.5339606080897379E-2</v>
      </c>
      <c r="X62" s="15">
        <f t="shared" si="19"/>
        <v>2213.584243235895</v>
      </c>
      <c r="Y62" s="12" t="s">
        <v>84</v>
      </c>
      <c r="Z62" s="14" t="s">
        <v>193</v>
      </c>
    </row>
    <row r="63" spans="1:26" ht="17">
      <c r="A63" s="27" t="s">
        <v>104</v>
      </c>
      <c r="B63" s="27"/>
      <c r="C63" s="27" t="s">
        <v>197</v>
      </c>
      <c r="E63">
        <v>313</v>
      </c>
      <c r="F63">
        <v>54</v>
      </c>
      <c r="G63">
        <v>47.5</v>
      </c>
      <c r="H63">
        <v>0.25</v>
      </c>
      <c r="I63">
        <f t="shared" si="21"/>
        <v>13.5</v>
      </c>
      <c r="J63">
        <v>0.66</v>
      </c>
      <c r="K63" s="17">
        <f t="shared" si="20"/>
        <v>31.35</v>
      </c>
      <c r="M63" s="17">
        <f t="shared" si="22"/>
        <v>332.40013770388504</v>
      </c>
      <c r="N63" s="17">
        <f t="shared" si="13"/>
        <v>8.0749999999999993</v>
      </c>
      <c r="O63">
        <v>224</v>
      </c>
      <c r="P63">
        <v>13</v>
      </c>
      <c r="R63" s="2">
        <f t="shared" si="14"/>
        <v>1.3499999999999999E-5</v>
      </c>
      <c r="S63" s="2">
        <f t="shared" si="15"/>
        <v>3.3240013770388503E-10</v>
      </c>
      <c r="T63" s="2">
        <f t="shared" si="16"/>
        <v>8.0749999999999998E-6</v>
      </c>
      <c r="U63" s="2">
        <f t="shared" si="11"/>
        <v>224000000</v>
      </c>
      <c r="V63" s="16">
        <f t="shared" si="17"/>
        <v>3.1279007951286979</v>
      </c>
      <c r="W63" s="11">
        <f t="shared" si="18"/>
        <v>7.819751987821745E-2</v>
      </c>
      <c r="X63" s="15">
        <f t="shared" si="19"/>
        <v>3127.9007951286981</v>
      </c>
      <c r="Y63" s="12" t="s">
        <v>84</v>
      </c>
      <c r="Z63" s="14" t="s">
        <v>193</v>
      </c>
    </row>
    <row r="64" spans="1:26" ht="17">
      <c r="A64" s="27" t="s">
        <v>105</v>
      </c>
      <c r="B64" s="27"/>
      <c r="C64" s="27" t="s">
        <v>197</v>
      </c>
      <c r="E64">
        <v>313</v>
      </c>
      <c r="F64">
        <v>47</v>
      </c>
      <c r="G64">
        <v>12</v>
      </c>
      <c r="H64">
        <v>0.25</v>
      </c>
      <c r="I64">
        <f t="shared" si="21"/>
        <v>11.75</v>
      </c>
      <c r="J64">
        <v>0.66</v>
      </c>
      <c r="K64" s="17">
        <f t="shared" si="20"/>
        <v>7.92</v>
      </c>
      <c r="M64" s="17">
        <f t="shared" si="22"/>
        <v>73.08915308576654</v>
      </c>
      <c r="N64" s="17">
        <f t="shared" si="13"/>
        <v>2.04</v>
      </c>
      <c r="O64">
        <v>206</v>
      </c>
      <c r="P64">
        <v>12.8</v>
      </c>
      <c r="R64" s="2">
        <f t="shared" si="14"/>
        <v>1.1749999999999999E-5</v>
      </c>
      <c r="S64" s="2">
        <f t="shared" si="15"/>
        <v>7.3089153085766544E-11</v>
      </c>
      <c r="T64" s="2">
        <f t="shared" si="16"/>
        <v>2.04E-6</v>
      </c>
      <c r="U64" s="2">
        <f t="shared" si="11"/>
        <v>206000000</v>
      </c>
      <c r="V64" s="16">
        <f t="shared" si="17"/>
        <v>1.5938366890831914</v>
      </c>
      <c r="W64" s="11">
        <f t="shared" si="18"/>
        <v>3.9845917227079787E-2</v>
      </c>
      <c r="X64" s="15">
        <f t="shared" si="19"/>
        <v>1593.8366890831915</v>
      </c>
      <c r="Y64" s="12" t="s">
        <v>84</v>
      </c>
      <c r="Z64" s="14" t="s">
        <v>193</v>
      </c>
    </row>
    <row r="65" spans="1:26" ht="17">
      <c r="A65" s="27" t="s">
        <v>106</v>
      </c>
      <c r="B65" s="27"/>
      <c r="C65" s="27" t="s">
        <v>197</v>
      </c>
      <c r="E65">
        <v>310.60000000000002</v>
      </c>
      <c r="F65">
        <v>80</v>
      </c>
      <c r="G65">
        <v>10</v>
      </c>
      <c r="H65">
        <v>0.25</v>
      </c>
      <c r="I65">
        <f t="shared" si="21"/>
        <v>20</v>
      </c>
      <c r="J65">
        <v>0.66</v>
      </c>
      <c r="K65" s="17">
        <f t="shared" si="20"/>
        <v>6.6000000000000005</v>
      </c>
      <c r="M65" s="17">
        <f t="shared" si="22"/>
        <v>103.67255756846318</v>
      </c>
      <c r="N65" s="17">
        <f t="shared" si="13"/>
        <v>1.6999999999999997</v>
      </c>
      <c r="O65">
        <v>472</v>
      </c>
      <c r="P65">
        <v>15.5</v>
      </c>
      <c r="R65" s="2">
        <f t="shared" si="14"/>
        <v>1.9999999999999998E-5</v>
      </c>
      <c r="S65" s="2">
        <f t="shared" si="15"/>
        <v>1.0367255756846318E-10</v>
      </c>
      <c r="T65" s="2">
        <f t="shared" si="16"/>
        <v>1.6999999999999996E-6</v>
      </c>
      <c r="U65" s="2">
        <f t="shared" si="11"/>
        <v>472000000</v>
      </c>
      <c r="V65" s="16">
        <f t="shared" si="17"/>
        <v>4.6452662836074143</v>
      </c>
      <c r="W65" s="11">
        <f t="shared" si="18"/>
        <v>0.11613165709018536</v>
      </c>
      <c r="X65" s="15">
        <f t="shared" si="19"/>
        <v>4645.2662836074142</v>
      </c>
      <c r="Y65" s="12" t="s">
        <v>84</v>
      </c>
      <c r="Z65" s="14" t="s">
        <v>193</v>
      </c>
    </row>
    <row r="66" spans="1:26" ht="17">
      <c r="A66" s="27" t="s">
        <v>107</v>
      </c>
      <c r="B66" s="27"/>
      <c r="C66" s="27" t="s">
        <v>197</v>
      </c>
      <c r="E66">
        <v>310.60000000000002</v>
      </c>
      <c r="F66">
        <v>45</v>
      </c>
      <c r="G66">
        <v>36</v>
      </c>
      <c r="H66">
        <v>0.25</v>
      </c>
      <c r="I66">
        <f t="shared" si="21"/>
        <v>11.25</v>
      </c>
      <c r="J66">
        <v>0.66</v>
      </c>
      <c r="K66" s="17">
        <f t="shared" si="20"/>
        <v>23.76</v>
      </c>
      <c r="M66" s="17">
        <f t="shared" si="22"/>
        <v>209.93692907613794</v>
      </c>
      <c r="N66" s="17">
        <f t="shared" si="13"/>
        <v>6.1199999999999992</v>
      </c>
      <c r="O66">
        <v>394</v>
      </c>
      <c r="P66">
        <v>18</v>
      </c>
      <c r="R66" s="2">
        <f t="shared" si="14"/>
        <v>1.1249999999999999E-5</v>
      </c>
      <c r="S66" s="2">
        <f t="shared" si="15"/>
        <v>2.0993692907613795E-10</v>
      </c>
      <c r="T66" s="2">
        <f t="shared" si="16"/>
        <v>6.119999999999999E-6</v>
      </c>
      <c r="U66" s="2">
        <f t="shared" si="11"/>
        <v>394000000</v>
      </c>
      <c r="V66" s="16">
        <f t="shared" si="17"/>
        <v>4.4409219639210971</v>
      </c>
      <c r="W66" s="11">
        <f t="shared" si="18"/>
        <v>0.11102304909802743</v>
      </c>
      <c r="X66" s="15">
        <f t="shared" si="19"/>
        <v>4440.9219639210969</v>
      </c>
      <c r="Y66" s="12" t="s">
        <v>84</v>
      </c>
      <c r="Z66" s="14" t="s">
        <v>193</v>
      </c>
    </row>
    <row r="67" spans="1:26" ht="17">
      <c r="A67" s="27" t="s">
        <v>108</v>
      </c>
      <c r="B67" s="27"/>
      <c r="C67" s="27" t="s">
        <v>197</v>
      </c>
      <c r="E67">
        <v>310.60000000000002</v>
      </c>
      <c r="F67">
        <v>34</v>
      </c>
      <c r="G67">
        <v>36</v>
      </c>
      <c r="H67">
        <v>0.25</v>
      </c>
      <c r="I67">
        <f t="shared" si="21"/>
        <v>8.5</v>
      </c>
      <c r="J67">
        <v>0.66</v>
      </c>
      <c r="K67" s="17">
        <f t="shared" si="20"/>
        <v>23.76</v>
      </c>
      <c r="M67" s="17">
        <f t="shared" si="22"/>
        <v>158.61901307974867</v>
      </c>
      <c r="N67" s="17">
        <f t="shared" si="13"/>
        <v>6.1199999999999992</v>
      </c>
      <c r="O67">
        <v>696</v>
      </c>
      <c r="P67">
        <v>17.45</v>
      </c>
      <c r="R67" s="2">
        <f t="shared" si="14"/>
        <v>8.4999999999999999E-6</v>
      </c>
      <c r="S67" s="2">
        <f t="shared" si="15"/>
        <v>1.5861901307974867E-10</v>
      </c>
      <c r="T67" s="2">
        <f t="shared" si="16"/>
        <v>6.119999999999999E-6</v>
      </c>
      <c r="U67" s="2">
        <f t="shared" si="11"/>
        <v>696000000</v>
      </c>
      <c r="V67" s="16">
        <f t="shared" si="17"/>
        <v>6.5031825095190836</v>
      </c>
      <c r="W67" s="11">
        <f t="shared" si="18"/>
        <v>0.16257956273797708</v>
      </c>
      <c r="X67" s="15">
        <f t="shared" si="19"/>
        <v>6503.1825095190834</v>
      </c>
      <c r="Y67" s="12" t="s">
        <v>84</v>
      </c>
      <c r="Z67" s="14" t="s">
        <v>193</v>
      </c>
    </row>
    <row r="68" spans="1:26" s="19" customFormat="1" ht="17">
      <c r="A68" s="26" t="s">
        <v>110</v>
      </c>
      <c r="B68" s="26"/>
      <c r="C68" s="26" t="s">
        <v>109</v>
      </c>
      <c r="E68" s="19">
        <v>280</v>
      </c>
      <c r="F68" s="19">
        <v>42</v>
      </c>
      <c r="G68" s="19">
        <v>20</v>
      </c>
      <c r="H68" s="19">
        <v>0.45</v>
      </c>
      <c r="I68" s="19">
        <f t="shared" si="21"/>
        <v>18.900000000000002</v>
      </c>
      <c r="J68" s="19">
        <v>0.33</v>
      </c>
      <c r="K68" s="23">
        <f t="shared" si="20"/>
        <v>6.6000000000000005</v>
      </c>
      <c r="M68" s="23">
        <f t="shared" si="22"/>
        <v>97.970566902197717</v>
      </c>
      <c r="N68" s="23">
        <f t="shared" si="13"/>
        <v>6.6999999999999993</v>
      </c>
      <c r="O68" s="19">
        <v>28</v>
      </c>
      <c r="R68" s="25">
        <f t="shared" si="14"/>
        <v>1.8900000000000002E-5</v>
      </c>
      <c r="S68" s="25">
        <f t="shared" si="15"/>
        <v>9.7970566902197715E-11</v>
      </c>
      <c r="T68" s="25">
        <f t="shared" si="16"/>
        <v>6.6999999999999994E-6</v>
      </c>
      <c r="U68" s="25">
        <f t="shared" si="11"/>
        <v>28000000</v>
      </c>
      <c r="V68" s="22">
        <f t="shared" si="17"/>
        <v>0.18049011395359696</v>
      </c>
      <c r="W68" s="11">
        <f t="shared" si="18"/>
        <v>4.5122528488399241E-3</v>
      </c>
      <c r="X68" s="21">
        <f t="shared" si="19"/>
        <v>180.49011395359696</v>
      </c>
      <c r="Y68" s="19" t="s">
        <v>112</v>
      </c>
      <c r="Z68" s="20" t="s">
        <v>193</v>
      </c>
    </row>
    <row r="69" spans="1:26" ht="17">
      <c r="A69" s="24" t="s">
        <v>111</v>
      </c>
      <c r="B69" s="24"/>
      <c r="C69" s="24" t="s">
        <v>109</v>
      </c>
      <c r="E69">
        <v>280</v>
      </c>
      <c r="F69">
        <v>45</v>
      </c>
      <c r="G69">
        <v>20</v>
      </c>
      <c r="H69">
        <v>0.45</v>
      </c>
      <c r="I69">
        <f t="shared" si="21"/>
        <v>20.25</v>
      </c>
      <c r="J69">
        <v>0.33</v>
      </c>
      <c r="K69" s="17">
        <f t="shared" si="20"/>
        <v>6.6000000000000005</v>
      </c>
      <c r="M69" s="17">
        <f t="shared" si="22"/>
        <v>104.96846453806897</v>
      </c>
      <c r="N69" s="17">
        <f t="shared" si="13"/>
        <v>6.6999999999999993</v>
      </c>
      <c r="O69">
        <v>38</v>
      </c>
      <c r="R69" s="2">
        <f t="shared" si="14"/>
        <v>2.0249999999999998E-5</v>
      </c>
      <c r="S69" s="2">
        <f t="shared" si="15"/>
        <v>1.0496846453806897E-10</v>
      </c>
      <c r="T69" s="2">
        <f t="shared" si="16"/>
        <v>6.6999999999999994E-6</v>
      </c>
      <c r="U69" s="2">
        <f t="shared" si="11"/>
        <v>38000000</v>
      </c>
      <c r="V69" s="16">
        <f t="shared" si="17"/>
        <v>0.25732675625435258</v>
      </c>
      <c r="W69" s="11">
        <f t="shared" si="18"/>
        <v>6.4331689063588148E-3</v>
      </c>
      <c r="X69" s="15">
        <f t="shared" si="19"/>
        <v>257.32675625435257</v>
      </c>
      <c r="Y69" t="s">
        <v>112</v>
      </c>
      <c r="Z69" s="14" t="s">
        <v>193</v>
      </c>
    </row>
    <row r="70" spans="1:26" s="64" customFormat="1" ht="17">
      <c r="A70" s="79" t="s">
        <v>137</v>
      </c>
      <c r="B70" s="79"/>
      <c r="C70" s="79" t="s">
        <v>196</v>
      </c>
      <c r="E70" s="64">
        <v>303.89999999999998</v>
      </c>
      <c r="F70" s="64">
        <v>48</v>
      </c>
      <c r="G70" s="64">
        <v>20</v>
      </c>
      <c r="H70" s="64">
        <v>0.45</v>
      </c>
      <c r="I70" s="64">
        <f t="shared" si="21"/>
        <v>21.6</v>
      </c>
      <c r="J70" s="64">
        <v>0.33</v>
      </c>
      <c r="K70" s="71">
        <f t="shared" si="20"/>
        <v>6.6000000000000005</v>
      </c>
      <c r="M70" s="71">
        <f t="shared" si="22"/>
        <v>111.96636217394024</v>
      </c>
      <c r="N70" s="71">
        <f t="shared" si="13"/>
        <v>6.6999999999999993</v>
      </c>
      <c r="O70" s="64">
        <v>55</v>
      </c>
      <c r="P70" s="64">
        <v>9</v>
      </c>
      <c r="R70" s="66">
        <f t="shared" si="14"/>
        <v>2.16E-5</v>
      </c>
      <c r="S70" s="66">
        <f t="shared" si="15"/>
        <v>1.1196636217394023E-10</v>
      </c>
      <c r="T70" s="66">
        <f t="shared" si="16"/>
        <v>6.6999999999999994E-6</v>
      </c>
      <c r="U70" s="66">
        <f t="shared" si="11"/>
        <v>55000000</v>
      </c>
      <c r="V70" s="67">
        <f t="shared" si="17"/>
        <v>0.38991834653235158</v>
      </c>
      <c r="W70" s="68">
        <f t="shared" si="18"/>
        <v>9.7479586633087891E-3</v>
      </c>
      <c r="X70" s="69">
        <f t="shared" si="19"/>
        <v>389.91834653235156</v>
      </c>
      <c r="Y70" s="80" t="s">
        <v>138</v>
      </c>
      <c r="Z70" s="81" t="s">
        <v>193</v>
      </c>
    </row>
    <row r="71" spans="1:26" ht="17">
      <c r="A71" s="73" t="s">
        <v>146</v>
      </c>
      <c r="B71" s="73"/>
      <c r="C71" s="73" t="s">
        <v>195</v>
      </c>
      <c r="E71" t="s">
        <v>194</v>
      </c>
      <c r="M71" s="17"/>
      <c r="N71" s="17"/>
      <c r="V71" s="16">
        <v>0.17</v>
      </c>
      <c r="W71" s="11"/>
      <c r="X71" s="15">
        <f>V71*1000</f>
        <v>170</v>
      </c>
      <c r="Z71" s="14" t="s">
        <v>193</v>
      </c>
    </row>
    <row r="72" spans="1:26" ht="17">
      <c r="A72" s="73" t="s">
        <v>141</v>
      </c>
      <c r="B72" s="73"/>
      <c r="C72" s="73" t="s">
        <v>195</v>
      </c>
      <c r="E72" t="s">
        <v>194</v>
      </c>
      <c r="M72" s="17"/>
      <c r="N72" s="17"/>
      <c r="V72" s="16">
        <f>X72/1000</f>
        <v>0.25</v>
      </c>
      <c r="W72" s="11">
        <f>(V72/0.04)/1000</f>
        <v>6.2500000000000003E-3</v>
      </c>
      <c r="X72" s="15">
        <v>250</v>
      </c>
      <c r="Y72" t="s">
        <v>142</v>
      </c>
      <c r="Z72" s="14" t="s">
        <v>193</v>
      </c>
    </row>
    <row r="73" spans="1:26" ht="17">
      <c r="A73" s="73" t="s">
        <v>139</v>
      </c>
      <c r="B73" s="73"/>
      <c r="C73" s="73" t="s">
        <v>195</v>
      </c>
      <c r="E73" t="s">
        <v>194</v>
      </c>
      <c r="M73" s="17"/>
      <c r="N73" s="17"/>
      <c r="V73" s="16">
        <v>0.1</v>
      </c>
      <c r="W73" s="11">
        <f>(V73/0.04)/1000</f>
        <v>2.5000000000000001E-3</v>
      </c>
      <c r="X73" s="15">
        <f>V73*1000</f>
        <v>100</v>
      </c>
      <c r="Y73" t="s">
        <v>140</v>
      </c>
      <c r="Z73" s="14" t="s">
        <v>193</v>
      </c>
    </row>
    <row r="74" spans="1:26" ht="17">
      <c r="A74" s="73" t="s">
        <v>143</v>
      </c>
      <c r="B74" s="73"/>
      <c r="C74" s="73" t="s">
        <v>191</v>
      </c>
      <c r="E74" t="s">
        <v>194</v>
      </c>
      <c r="M74" s="17"/>
      <c r="N74" s="17"/>
      <c r="V74" s="16">
        <f>X74/1000</f>
        <v>7.0000000000000007E-2</v>
      </c>
      <c r="W74" s="11">
        <f>(V74/0.04)/1000</f>
        <v>1.7500000000000003E-3</v>
      </c>
      <c r="X74" s="15">
        <v>70</v>
      </c>
      <c r="Y74" t="s">
        <v>144</v>
      </c>
      <c r="Z74" s="14" t="s">
        <v>193</v>
      </c>
    </row>
    <row r="75" spans="1:26" ht="17">
      <c r="A75" s="73" t="s">
        <v>145</v>
      </c>
      <c r="B75" s="73"/>
      <c r="C75" s="73" t="s">
        <v>195</v>
      </c>
      <c r="E75" t="s">
        <v>194</v>
      </c>
      <c r="M75" s="17"/>
      <c r="N75" s="17"/>
      <c r="V75" s="16">
        <v>0.26</v>
      </c>
      <c r="W75" s="11">
        <f>(V75/0.04)/1000</f>
        <v>6.4999999999999997E-3</v>
      </c>
      <c r="X75" s="15">
        <f>V75*1000</f>
        <v>260</v>
      </c>
      <c r="Y75" t="s">
        <v>147</v>
      </c>
      <c r="Z75" s="14" t="s">
        <v>193</v>
      </c>
    </row>
    <row r="76" spans="1:26">
      <c r="A76" s="73" t="s">
        <v>192</v>
      </c>
      <c r="B76" s="73"/>
      <c r="C76" s="73" t="s">
        <v>191</v>
      </c>
      <c r="D76" t="s">
        <v>190</v>
      </c>
      <c r="F76">
        <v>20</v>
      </c>
      <c r="G76">
        <v>5</v>
      </c>
      <c r="M76" s="17"/>
      <c r="N76" s="17"/>
      <c r="O76">
        <v>200</v>
      </c>
      <c r="V76" s="16"/>
      <c r="W76" s="11"/>
      <c r="X76" s="15"/>
      <c r="Y76" t="s">
        <v>189</v>
      </c>
    </row>
    <row r="77" spans="1:26" s="19" customFormat="1">
      <c r="A77" s="82" t="s">
        <v>165</v>
      </c>
      <c r="B77" s="82"/>
      <c r="C77" s="82" t="s">
        <v>163</v>
      </c>
      <c r="D77" s="19" t="s">
        <v>162</v>
      </c>
      <c r="F77" s="19">
        <v>19</v>
      </c>
      <c r="G77" s="19">
        <v>10</v>
      </c>
      <c r="H77" s="19">
        <v>0.45</v>
      </c>
      <c r="I77" s="19">
        <f>F77*H77</f>
        <v>8.5500000000000007</v>
      </c>
      <c r="J77" s="19">
        <v>0.3</v>
      </c>
      <c r="K77" s="19">
        <f>G77*J77</f>
        <v>3</v>
      </c>
      <c r="M77" s="23">
        <f>PI()*I77/2*K77/2</f>
        <v>20.14546289114455</v>
      </c>
      <c r="N77" s="23">
        <f>(G77-K77)/2</f>
        <v>3.5</v>
      </c>
      <c r="O77" s="19">
        <v>146</v>
      </c>
      <c r="R77" s="25">
        <f>I77*10^-6</f>
        <v>8.5500000000000011E-6</v>
      </c>
      <c r="S77" s="25">
        <f>M77*10^-12</f>
        <v>2.0145462891144551E-11</v>
      </c>
      <c r="T77" s="25">
        <f>N77*10^-6</f>
        <v>3.4999999999999999E-6</v>
      </c>
      <c r="U77" s="25">
        <f>O77*10^6</f>
        <v>146000000</v>
      </c>
      <c r="V77" s="22">
        <f>(U77*(0.0000249)*S77)/((0.02446*(T77+(PI()/2)*(SQRT(S77/PI())))))</f>
        <v>0.40040928881356336</v>
      </c>
      <c r="W77" s="11">
        <f>(V77/0.04)/1000</f>
        <v>1.0010232220339085E-2</v>
      </c>
      <c r="X77" s="21">
        <f>V77*1000</f>
        <v>400.40928881356336</v>
      </c>
      <c r="Z77" s="19" t="s">
        <v>161</v>
      </c>
    </row>
    <row r="78" spans="1:26">
      <c r="A78" s="18" t="s">
        <v>164</v>
      </c>
      <c r="B78" s="18"/>
      <c r="C78" s="18" t="s">
        <v>163</v>
      </c>
      <c r="D78" t="s">
        <v>162</v>
      </c>
      <c r="F78">
        <v>15</v>
      </c>
      <c r="G78">
        <v>9</v>
      </c>
      <c r="H78">
        <v>0.45</v>
      </c>
      <c r="I78">
        <f t="shared" ref="I78:I85" si="23">F78*H78</f>
        <v>6.75</v>
      </c>
      <c r="J78">
        <v>0.3</v>
      </c>
      <c r="K78">
        <f t="shared" ref="K78:K85" si="24">G78*J78</f>
        <v>2.6999999999999997</v>
      </c>
      <c r="M78" s="17">
        <f t="shared" ref="M78:M85" si="25">PI()*I78/2*K78/2</f>
        <v>14.313881527918493</v>
      </c>
      <c r="N78" s="17">
        <f t="shared" ref="N78:N85" si="26">(G78-K78)/2</f>
        <v>3.1500000000000004</v>
      </c>
      <c r="O78">
        <v>28</v>
      </c>
      <c r="R78" s="2">
        <f t="shared" ref="R78:R84" si="27">I78*10^-6</f>
        <v>6.7499999999999997E-6</v>
      </c>
      <c r="S78" s="2">
        <f t="shared" ref="S78:S84" si="28">M78*10^-12</f>
        <v>1.4313881527918493E-11</v>
      </c>
      <c r="T78" s="2">
        <f t="shared" ref="T78:T84" si="29">N78*10^-6</f>
        <v>3.1500000000000003E-6</v>
      </c>
      <c r="U78" s="2">
        <f t="shared" ref="U78:U84" si="30">O78*10^6</f>
        <v>28000000</v>
      </c>
      <c r="V78" s="16">
        <f t="shared" ref="V78:V84" si="31">(U78*(0.0000249)*S78)/((0.02446*(T78+(PI()/2)*(SQRT(S78/PI())))))</f>
        <v>6.274074862606055E-2</v>
      </c>
      <c r="W78" s="11">
        <f t="shared" ref="W78:W84" si="32">(V78/0.04)/1000</f>
        <v>1.5685187156515136E-3</v>
      </c>
      <c r="X78" s="15">
        <f t="shared" ref="X78:X84" si="33">V78*1000</f>
        <v>62.740748626060551</v>
      </c>
      <c r="Z78" t="s">
        <v>161</v>
      </c>
    </row>
    <row r="79" spans="1:26">
      <c r="A79" s="18" t="s">
        <v>164</v>
      </c>
      <c r="B79" s="18"/>
      <c r="C79" s="18" t="s">
        <v>163</v>
      </c>
      <c r="D79" t="s">
        <v>162</v>
      </c>
      <c r="F79">
        <v>17.5</v>
      </c>
      <c r="G79">
        <v>10.5</v>
      </c>
      <c r="H79">
        <v>0.45</v>
      </c>
      <c r="I79">
        <f t="shared" si="23"/>
        <v>7.875</v>
      </c>
      <c r="J79">
        <v>0.3</v>
      </c>
      <c r="K79">
        <f t="shared" si="24"/>
        <v>3.15</v>
      </c>
      <c r="M79" s="17">
        <f t="shared" si="25"/>
        <v>19.482783190777951</v>
      </c>
      <c r="N79" s="17">
        <f t="shared" si="26"/>
        <v>3.6749999999999998</v>
      </c>
      <c r="O79">
        <v>31</v>
      </c>
      <c r="R79" s="2">
        <f t="shared" si="27"/>
        <v>7.875E-6</v>
      </c>
      <c r="S79" s="2">
        <f t="shared" si="28"/>
        <v>1.9482783190777952E-11</v>
      </c>
      <c r="T79" s="2">
        <f t="shared" si="29"/>
        <v>3.6749999999999995E-6</v>
      </c>
      <c r="U79" s="2">
        <f t="shared" si="30"/>
        <v>31000000</v>
      </c>
      <c r="V79" s="16">
        <f t="shared" si="31"/>
        <v>8.1040133641994888E-2</v>
      </c>
      <c r="W79" s="11">
        <f t="shared" si="32"/>
        <v>2.0260033410498721E-3</v>
      </c>
      <c r="X79" s="15">
        <f t="shared" si="33"/>
        <v>81.040133641994885</v>
      </c>
      <c r="Z79" t="s">
        <v>161</v>
      </c>
    </row>
    <row r="80" spans="1:26">
      <c r="A80" s="18" t="s">
        <v>179</v>
      </c>
      <c r="B80" s="18"/>
      <c r="C80" s="18" t="s">
        <v>163</v>
      </c>
      <c r="D80" t="s">
        <v>172</v>
      </c>
      <c r="F80">
        <v>28</v>
      </c>
      <c r="G80">
        <v>20</v>
      </c>
      <c r="H80">
        <v>0.45</v>
      </c>
      <c r="I80">
        <f t="shared" si="23"/>
        <v>12.6</v>
      </c>
      <c r="J80">
        <v>0.3</v>
      </c>
      <c r="K80">
        <f t="shared" si="24"/>
        <v>6</v>
      </c>
      <c r="M80" s="17">
        <f t="shared" si="25"/>
        <v>59.376101152847085</v>
      </c>
      <c r="N80" s="17">
        <f t="shared" si="26"/>
        <v>7</v>
      </c>
      <c r="O80">
        <v>240</v>
      </c>
      <c r="R80" s="2">
        <f t="shared" si="27"/>
        <v>1.26E-5</v>
      </c>
      <c r="S80" s="2">
        <f t="shared" si="28"/>
        <v>5.9376101152847077E-11</v>
      </c>
      <c r="T80" s="2">
        <f t="shared" si="29"/>
        <v>6.9999999999999999E-6</v>
      </c>
      <c r="U80" s="2">
        <f t="shared" si="30"/>
        <v>240000000</v>
      </c>
      <c r="V80" s="16">
        <f t="shared" si="31"/>
        <v>1.0490064631457618</v>
      </c>
      <c r="W80" s="11">
        <f t="shared" si="32"/>
        <v>2.6225161578644046E-2</v>
      </c>
      <c r="X80" s="15">
        <f t="shared" si="33"/>
        <v>1049.0064631457619</v>
      </c>
      <c r="Z80" t="s">
        <v>161</v>
      </c>
    </row>
    <row r="81" spans="1:27">
      <c r="A81" s="18" t="s">
        <v>173</v>
      </c>
      <c r="B81" s="18"/>
      <c r="C81" s="18" t="s">
        <v>163</v>
      </c>
      <c r="D81" t="s">
        <v>172</v>
      </c>
      <c r="F81">
        <v>35</v>
      </c>
      <c r="G81">
        <v>25</v>
      </c>
      <c r="H81">
        <v>0.45</v>
      </c>
      <c r="I81">
        <f t="shared" si="23"/>
        <v>15.75</v>
      </c>
      <c r="J81">
        <v>0.3</v>
      </c>
      <c r="K81">
        <f t="shared" si="24"/>
        <v>7.5</v>
      </c>
      <c r="M81" s="17">
        <f t="shared" si="25"/>
        <v>92.775158051323587</v>
      </c>
      <c r="N81" s="17">
        <f t="shared" si="26"/>
        <v>8.75</v>
      </c>
      <c r="O81">
        <v>64</v>
      </c>
      <c r="R81" s="2">
        <f t="shared" si="27"/>
        <v>1.575E-5</v>
      </c>
      <c r="S81" s="2">
        <f t="shared" si="28"/>
        <v>9.2775158051323583E-11</v>
      </c>
      <c r="T81" s="2">
        <f t="shared" si="29"/>
        <v>8.7499999999999992E-6</v>
      </c>
      <c r="U81" s="2">
        <f t="shared" si="30"/>
        <v>64000000</v>
      </c>
      <c r="V81" s="16">
        <f t="shared" si="31"/>
        <v>0.34966882104858737</v>
      </c>
      <c r="W81" s="11">
        <f t="shared" si="32"/>
        <v>8.7417205262146826E-3</v>
      </c>
      <c r="X81" s="15">
        <f t="shared" si="33"/>
        <v>349.66882104858735</v>
      </c>
      <c r="Z81" t="s">
        <v>161</v>
      </c>
    </row>
    <row r="82" spans="1:27">
      <c r="A82" s="18" t="s">
        <v>173</v>
      </c>
      <c r="B82" s="18"/>
      <c r="C82" s="18" t="s">
        <v>163</v>
      </c>
      <c r="D82" t="s">
        <v>172</v>
      </c>
      <c r="F82">
        <v>33.5</v>
      </c>
      <c r="G82">
        <v>25</v>
      </c>
      <c r="H82">
        <v>0.45</v>
      </c>
      <c r="I82">
        <f t="shared" si="23"/>
        <v>15.075000000000001</v>
      </c>
      <c r="J82">
        <v>0.3</v>
      </c>
      <c r="K82">
        <f t="shared" si="24"/>
        <v>7.5</v>
      </c>
      <c r="M82" s="17">
        <f t="shared" si="25"/>
        <v>88.799079849123999</v>
      </c>
      <c r="N82" s="17">
        <f t="shared" si="26"/>
        <v>8.75</v>
      </c>
      <c r="O82">
        <v>68</v>
      </c>
      <c r="R82" s="2">
        <f t="shared" si="27"/>
        <v>1.5075000000000001E-5</v>
      </c>
      <c r="S82" s="2">
        <f t="shared" si="28"/>
        <v>8.8799079849123993E-11</v>
      </c>
      <c r="T82" s="2">
        <f t="shared" si="29"/>
        <v>8.7499999999999992E-6</v>
      </c>
      <c r="U82" s="2">
        <f t="shared" si="30"/>
        <v>68000000</v>
      </c>
      <c r="V82" s="16">
        <f t="shared" si="31"/>
        <v>0.35944590930841847</v>
      </c>
      <c r="W82" s="11">
        <f t="shared" si="32"/>
        <v>8.9861477327104616E-3</v>
      </c>
      <c r="X82" s="15">
        <f t="shared" si="33"/>
        <v>359.44590930841849</v>
      </c>
      <c r="Z82" t="s">
        <v>161</v>
      </c>
    </row>
    <row r="83" spans="1:27">
      <c r="A83" s="18" t="s">
        <v>177</v>
      </c>
      <c r="B83" s="18"/>
      <c r="C83" s="18" t="s">
        <v>163</v>
      </c>
      <c r="D83" t="s">
        <v>178</v>
      </c>
      <c r="F83">
        <v>35</v>
      </c>
      <c r="G83">
        <v>18</v>
      </c>
      <c r="H83">
        <v>0.45</v>
      </c>
      <c r="I83">
        <f t="shared" si="23"/>
        <v>15.75</v>
      </c>
      <c r="J83">
        <v>0.3</v>
      </c>
      <c r="K83">
        <f t="shared" si="24"/>
        <v>5.3999999999999995</v>
      </c>
      <c r="M83" s="17">
        <f t="shared" si="25"/>
        <v>66.798113796952975</v>
      </c>
      <c r="N83" s="17">
        <f t="shared" si="26"/>
        <v>6.3000000000000007</v>
      </c>
      <c r="O83">
        <v>68</v>
      </c>
      <c r="R83" s="2">
        <f t="shared" si="27"/>
        <v>1.575E-5</v>
      </c>
      <c r="S83" s="2">
        <f t="shared" si="28"/>
        <v>6.6798113796952972E-11</v>
      </c>
      <c r="T83" s="2">
        <f t="shared" si="29"/>
        <v>6.3000000000000007E-6</v>
      </c>
      <c r="U83" s="2">
        <f t="shared" si="30"/>
        <v>68000000</v>
      </c>
      <c r="V83" s="16">
        <f t="shared" si="31"/>
        <v>0.34142597046279355</v>
      </c>
      <c r="W83" s="11">
        <f t="shared" si="32"/>
        <v>8.5356492615698398E-3</v>
      </c>
      <c r="X83" s="15">
        <f t="shared" si="33"/>
        <v>341.42597046279354</v>
      </c>
      <c r="Z83" t="s">
        <v>161</v>
      </c>
    </row>
    <row r="84" spans="1:27">
      <c r="A84" s="18" t="s">
        <v>177</v>
      </c>
      <c r="B84" s="18"/>
      <c r="C84" s="18" t="s">
        <v>163</v>
      </c>
      <c r="D84" t="s">
        <v>176</v>
      </c>
      <c r="F84">
        <v>30</v>
      </c>
      <c r="G84">
        <v>15</v>
      </c>
      <c r="H84">
        <v>0.45</v>
      </c>
      <c r="I84">
        <f t="shared" si="23"/>
        <v>13.5</v>
      </c>
      <c r="J84">
        <v>0.3</v>
      </c>
      <c r="K84">
        <f t="shared" si="24"/>
        <v>4.5</v>
      </c>
      <c r="M84" s="17">
        <f t="shared" si="25"/>
        <v>47.712938426394985</v>
      </c>
      <c r="N84" s="17">
        <f t="shared" si="26"/>
        <v>5.25</v>
      </c>
      <c r="O84">
        <v>62</v>
      </c>
      <c r="R84" s="2">
        <f t="shared" si="27"/>
        <v>1.3499999999999999E-5</v>
      </c>
      <c r="S84" s="2">
        <f t="shared" si="28"/>
        <v>4.7712938426394984E-11</v>
      </c>
      <c r="T84" s="2">
        <f t="shared" si="29"/>
        <v>5.2499999999999997E-6</v>
      </c>
      <c r="U84" s="2">
        <f t="shared" si="30"/>
        <v>62000000</v>
      </c>
      <c r="V84" s="16">
        <f t="shared" si="31"/>
        <v>0.26481965133540514</v>
      </c>
      <c r="W84" s="11">
        <f t="shared" si="32"/>
        <v>6.6204912833851279E-3</v>
      </c>
      <c r="X84" s="15">
        <f t="shared" si="33"/>
        <v>264.81965133540513</v>
      </c>
      <c r="Z84" t="s">
        <v>161</v>
      </c>
    </row>
    <row r="85" spans="1:27">
      <c r="A85" s="18" t="s">
        <v>183</v>
      </c>
      <c r="B85" s="18"/>
      <c r="C85" s="18" t="s">
        <v>163</v>
      </c>
      <c r="D85" t="s">
        <v>182</v>
      </c>
      <c r="F85">
        <v>25</v>
      </c>
      <c r="G85">
        <v>10</v>
      </c>
      <c r="H85">
        <v>0.45</v>
      </c>
      <c r="I85">
        <f t="shared" si="23"/>
        <v>11.25</v>
      </c>
      <c r="J85">
        <v>0.3</v>
      </c>
      <c r="K85">
        <f t="shared" si="24"/>
        <v>3</v>
      </c>
      <c r="M85" s="17">
        <f t="shared" si="25"/>
        <v>26.507188014663882</v>
      </c>
      <c r="N85" s="17">
        <f t="shared" si="26"/>
        <v>3.5</v>
      </c>
      <c r="O85">
        <v>82</v>
      </c>
      <c r="R85" s="2">
        <f>I85*10^-6</f>
        <v>1.1249999999999999E-5</v>
      </c>
      <c r="S85" s="2">
        <f>M85*10^-12</f>
        <v>2.6507188014663883E-11</v>
      </c>
      <c r="T85" s="2">
        <f>N85*10^-6</f>
        <v>3.4999999999999999E-6</v>
      </c>
      <c r="U85" s="2">
        <f>O85*10^6</f>
        <v>82000000</v>
      </c>
      <c r="V85" s="16">
        <f>(U85*(0.0000249)*S85)/((0.02446*(T85+(PI()/2)*(SQRT(S85/PI())))))</f>
        <v>0.27443352054325787</v>
      </c>
      <c r="W85" s="11">
        <f>(V85/0.04)/1000</f>
        <v>6.860838013581446E-3</v>
      </c>
      <c r="X85" s="15">
        <f>V85*1000</f>
        <v>274.43352054325788</v>
      </c>
      <c r="Y85" t="s">
        <v>181</v>
      </c>
      <c r="Z85" t="s">
        <v>161</v>
      </c>
      <c r="AA85" t="s">
        <v>180</v>
      </c>
    </row>
    <row r="86" spans="1:27">
      <c r="A86" s="18" t="s">
        <v>171</v>
      </c>
      <c r="B86" s="18"/>
      <c r="C86" s="18" t="s">
        <v>163</v>
      </c>
      <c r="D86" t="s">
        <v>170</v>
      </c>
      <c r="F86">
        <v>35</v>
      </c>
      <c r="G86">
        <v>24</v>
      </c>
      <c r="H86">
        <v>0.45</v>
      </c>
      <c r="I86">
        <f t="shared" ref="I86:I93" si="34">F86*H86</f>
        <v>15.75</v>
      </c>
      <c r="J86">
        <v>0.3</v>
      </c>
      <c r="K86">
        <f t="shared" ref="K86:K93" si="35">G86*J86</f>
        <v>7.1999999999999993</v>
      </c>
      <c r="M86" s="17">
        <f t="shared" ref="M86:M93" si="36">PI()*I86/2*K86/2</f>
        <v>89.064151729270634</v>
      </c>
      <c r="N86" s="17">
        <f t="shared" ref="N86:N93" si="37">(G86-K86)/2</f>
        <v>8.4</v>
      </c>
      <c r="R86" s="2">
        <f>I86*10^-6</f>
        <v>1.575E-5</v>
      </c>
      <c r="S86" s="2">
        <f>M86*10^-12</f>
        <v>8.9064151729270629E-11</v>
      </c>
      <c r="T86" s="2">
        <f>N86*10^-6</f>
        <v>8.3999999999999992E-6</v>
      </c>
      <c r="U86" s="2">
        <f>MEDIAN($U$88:$U$89)</f>
        <v>15000000</v>
      </c>
      <c r="V86" s="16">
        <f>(U86*(0.0000249)*S86)/((0.02446*(T86+(PI()/2)*(SQRT(S86/PI())))))</f>
        <v>8.1127524818641938E-2</v>
      </c>
      <c r="W86" s="11">
        <f>(V86/0.04)/1000</f>
        <v>2.0281881204660484E-3</v>
      </c>
      <c r="X86" s="15">
        <f>V86*1000</f>
        <v>81.127524818641945</v>
      </c>
      <c r="Z86" t="s">
        <v>161</v>
      </c>
    </row>
    <row r="87" spans="1:27">
      <c r="A87" s="18" t="s">
        <v>188</v>
      </c>
      <c r="B87" s="18"/>
      <c r="C87" s="18" t="s">
        <v>163</v>
      </c>
      <c r="E87">
        <v>305</v>
      </c>
      <c r="F87">
        <v>25</v>
      </c>
      <c r="G87">
        <v>13</v>
      </c>
      <c r="I87">
        <f t="shared" si="34"/>
        <v>0</v>
      </c>
      <c r="K87">
        <f t="shared" si="35"/>
        <v>0</v>
      </c>
      <c r="L87">
        <v>325</v>
      </c>
      <c r="M87" s="17">
        <f t="shared" si="36"/>
        <v>0</v>
      </c>
      <c r="N87" s="17">
        <f t="shared" si="37"/>
        <v>6.5</v>
      </c>
      <c r="O87" s="3" t="s">
        <v>9</v>
      </c>
      <c r="R87" s="2"/>
      <c r="S87" s="2"/>
      <c r="T87" s="2"/>
      <c r="U87" s="2"/>
      <c r="V87" s="16"/>
      <c r="W87" s="11"/>
      <c r="X87" s="15"/>
      <c r="Y87" t="s">
        <v>185</v>
      </c>
      <c r="Z87" t="s">
        <v>184</v>
      </c>
    </row>
    <row r="88" spans="1:27">
      <c r="A88" s="18" t="s">
        <v>175</v>
      </c>
      <c r="B88" s="18"/>
      <c r="C88" s="18" t="s">
        <v>163</v>
      </c>
      <c r="D88" t="s">
        <v>174</v>
      </c>
      <c r="F88">
        <v>32.5</v>
      </c>
      <c r="G88">
        <v>27.5</v>
      </c>
      <c r="H88">
        <v>0.45</v>
      </c>
      <c r="I88">
        <f t="shared" si="34"/>
        <v>14.625</v>
      </c>
      <c r="J88">
        <v>0.3</v>
      </c>
      <c r="K88">
        <f t="shared" si="35"/>
        <v>8.25</v>
      </c>
      <c r="M88" s="17">
        <f t="shared" si="36"/>
        <v>94.763197152423373</v>
      </c>
      <c r="N88" s="17">
        <f t="shared" si="37"/>
        <v>9.625</v>
      </c>
      <c r="O88">
        <v>23</v>
      </c>
      <c r="R88" s="2">
        <f>I88*10^-6</f>
        <v>1.4625E-5</v>
      </c>
      <c r="S88" s="2">
        <f>M88*10^-12</f>
        <v>9.4763197152423377E-11</v>
      </c>
      <c r="T88" s="2">
        <f>N88*10^-6</f>
        <v>9.6250000000000002E-6</v>
      </c>
      <c r="U88" s="2">
        <f>O88*10^6</f>
        <v>23000000</v>
      </c>
      <c r="V88" s="16">
        <f>(U88*(0.0000249)*S88)/((0.02446*(T88+(PI()/2)*(SQRT(S88/PI())))))</f>
        <v>0.12156193767724728</v>
      </c>
      <c r="W88" s="11">
        <f>(V88/0.04)/1000</f>
        <v>3.0390484419311821E-3</v>
      </c>
      <c r="X88" s="15">
        <f>V88*1000</f>
        <v>121.56193767724729</v>
      </c>
      <c r="Z88" t="s">
        <v>161</v>
      </c>
    </row>
    <row r="89" spans="1:27">
      <c r="A89" s="18" t="s">
        <v>169</v>
      </c>
      <c r="B89" s="18"/>
      <c r="C89" s="18" t="s">
        <v>163</v>
      </c>
      <c r="D89" t="s">
        <v>168</v>
      </c>
      <c r="F89">
        <v>55</v>
      </c>
      <c r="G89">
        <v>25</v>
      </c>
      <c r="H89">
        <v>0.45</v>
      </c>
      <c r="I89">
        <f t="shared" si="34"/>
        <v>24.75</v>
      </c>
      <c r="J89">
        <v>0.3</v>
      </c>
      <c r="K89">
        <f t="shared" si="35"/>
        <v>7.5</v>
      </c>
      <c r="M89" s="17">
        <f t="shared" si="36"/>
        <v>145.78953408065135</v>
      </c>
      <c r="N89" s="17">
        <f t="shared" si="37"/>
        <v>8.75</v>
      </c>
      <c r="O89">
        <v>7</v>
      </c>
      <c r="R89" s="2">
        <f>I89*10^-6</f>
        <v>2.4749999999999999E-5</v>
      </c>
      <c r="S89" s="2">
        <f>M89*10^-12</f>
        <v>1.4578953408065135E-10</v>
      </c>
      <c r="T89" s="2">
        <f>N89*10^-6</f>
        <v>8.7499999999999992E-6</v>
      </c>
      <c r="U89" s="2">
        <f>O89*10^6</f>
        <v>7000000</v>
      </c>
      <c r="V89" s="16">
        <f>(U89*(0.0000249)*S89)/((0.02446*(T89+(PI()/2)*(SQRT(S89/PI())))))</f>
        <v>5.3411440146562683E-2</v>
      </c>
      <c r="W89" s="11">
        <f>(V89/0.04)/1000</f>
        <v>1.3352860036640671E-3</v>
      </c>
      <c r="X89" s="15">
        <f>V89*1000</f>
        <v>53.411440146562683</v>
      </c>
      <c r="Z89" t="s">
        <v>161</v>
      </c>
    </row>
    <row r="90" spans="1:27">
      <c r="A90" s="18" t="s">
        <v>187</v>
      </c>
      <c r="B90" s="18"/>
      <c r="C90" s="18" t="s">
        <v>163</v>
      </c>
      <c r="E90">
        <v>305</v>
      </c>
      <c r="F90">
        <v>33</v>
      </c>
      <c r="G90">
        <v>25</v>
      </c>
      <c r="I90">
        <f t="shared" si="34"/>
        <v>0</v>
      </c>
      <c r="K90">
        <f t="shared" si="35"/>
        <v>0</v>
      </c>
      <c r="L90">
        <v>800</v>
      </c>
      <c r="M90" s="17">
        <f t="shared" si="36"/>
        <v>0</v>
      </c>
      <c r="N90" s="17">
        <f t="shared" si="37"/>
        <v>12.5</v>
      </c>
      <c r="O90" s="3" t="s">
        <v>9</v>
      </c>
      <c r="R90" s="2"/>
      <c r="S90" s="2"/>
      <c r="T90" s="2"/>
      <c r="U90" s="2"/>
      <c r="V90" s="16"/>
      <c r="W90" s="11"/>
      <c r="X90" s="15"/>
      <c r="Y90" t="s">
        <v>185</v>
      </c>
      <c r="Z90" t="s">
        <v>184</v>
      </c>
    </row>
    <row r="91" spans="1:27">
      <c r="A91" s="18" t="s">
        <v>167</v>
      </c>
      <c r="B91" s="18"/>
      <c r="C91" s="18" t="s">
        <v>163</v>
      </c>
      <c r="E91">
        <v>305</v>
      </c>
      <c r="F91">
        <v>20</v>
      </c>
      <c r="G91">
        <v>15</v>
      </c>
      <c r="I91">
        <f t="shared" si="34"/>
        <v>0</v>
      </c>
      <c r="K91">
        <f t="shared" si="35"/>
        <v>0</v>
      </c>
      <c r="L91">
        <v>300</v>
      </c>
      <c r="M91" s="17">
        <f t="shared" si="36"/>
        <v>0</v>
      </c>
      <c r="N91" s="17">
        <f t="shared" si="37"/>
        <v>7.5</v>
      </c>
      <c r="O91" s="3" t="s">
        <v>9</v>
      </c>
      <c r="R91" s="2"/>
      <c r="S91" s="2"/>
      <c r="T91" s="2"/>
      <c r="U91" s="2"/>
      <c r="V91" s="16"/>
      <c r="W91" s="11"/>
      <c r="X91" s="15"/>
      <c r="Y91" t="s">
        <v>185</v>
      </c>
      <c r="Z91" t="s">
        <v>184</v>
      </c>
    </row>
    <row r="92" spans="1:27">
      <c r="A92" s="18" t="s">
        <v>167</v>
      </c>
      <c r="B92" s="18"/>
      <c r="C92" s="18" t="s">
        <v>163</v>
      </c>
      <c r="D92" t="s">
        <v>166</v>
      </c>
      <c r="F92">
        <v>20</v>
      </c>
      <c r="G92">
        <v>15</v>
      </c>
      <c r="H92">
        <v>0.45</v>
      </c>
      <c r="I92">
        <f t="shared" si="34"/>
        <v>9</v>
      </c>
      <c r="J92">
        <v>0.3</v>
      </c>
      <c r="K92">
        <f t="shared" si="35"/>
        <v>4.5</v>
      </c>
      <c r="M92" s="17">
        <f t="shared" si="36"/>
        <v>31.808625617596654</v>
      </c>
      <c r="N92" s="17">
        <f t="shared" si="37"/>
        <v>5.25</v>
      </c>
      <c r="R92" s="2">
        <f>I92*10^-6</f>
        <v>9.0000000000000002E-6</v>
      </c>
      <c r="S92" s="2">
        <f>M92*10^-12</f>
        <v>3.1808625617596651E-11</v>
      </c>
      <c r="T92" s="2">
        <f>N92*10^-6</f>
        <v>5.2499999999999997E-6</v>
      </c>
      <c r="U92" s="2">
        <f>MEDIAN($U$88:$U$89)</f>
        <v>15000000</v>
      </c>
      <c r="V92" s="16">
        <f>(U92*(0.0000249)*S92)/((0.02446*(T92+(PI()/2)*(SQRT(S92/PI())))))</f>
        <v>4.7394683838050726E-2</v>
      </c>
      <c r="W92" s="11">
        <f>(V92/0.04)/1000</f>
        <v>1.1848670959512682E-3</v>
      </c>
      <c r="X92" s="15">
        <f>V92*1000</f>
        <v>47.394683838050724</v>
      </c>
      <c r="Z92" t="s">
        <v>161</v>
      </c>
    </row>
    <row r="93" spans="1:27" s="64" customFormat="1">
      <c r="A93" s="70" t="s">
        <v>186</v>
      </c>
      <c r="B93" s="70"/>
      <c r="C93" s="70" t="s">
        <v>163</v>
      </c>
      <c r="E93" s="64">
        <v>305</v>
      </c>
      <c r="F93" s="64">
        <v>35</v>
      </c>
      <c r="G93" s="64">
        <v>18</v>
      </c>
      <c r="I93" s="64">
        <f t="shared" si="34"/>
        <v>0</v>
      </c>
      <c r="K93" s="64">
        <f t="shared" si="35"/>
        <v>0</v>
      </c>
      <c r="L93" s="64">
        <v>630</v>
      </c>
      <c r="M93" s="71">
        <f t="shared" si="36"/>
        <v>0</v>
      </c>
      <c r="N93" s="71">
        <f t="shared" si="37"/>
        <v>9</v>
      </c>
      <c r="O93" s="72" t="s">
        <v>9</v>
      </c>
      <c r="R93" s="2"/>
      <c r="S93" s="2"/>
      <c r="T93" s="66"/>
      <c r="U93" s="66"/>
      <c r="V93" s="67"/>
      <c r="W93" s="68"/>
      <c r="X93" s="69"/>
      <c r="Y93" s="64" t="s">
        <v>185</v>
      </c>
      <c r="Z93" s="64" t="s">
        <v>184</v>
      </c>
    </row>
    <row r="94" spans="1:27">
      <c r="A94" s="60" t="s">
        <v>226</v>
      </c>
      <c r="B94" s="60"/>
      <c r="C94" s="60" t="s">
        <v>66</v>
      </c>
      <c r="D94" t="s">
        <v>67</v>
      </c>
      <c r="E94">
        <v>303.77999999999997</v>
      </c>
      <c r="F94">
        <v>27.94</v>
      </c>
      <c r="G94">
        <v>13.5</v>
      </c>
      <c r="M94">
        <v>377.05</v>
      </c>
      <c r="O94">
        <v>148.5</v>
      </c>
      <c r="P94" s="59">
        <v>11.111111111111111</v>
      </c>
      <c r="S94">
        <v>7.0595162035200005E-11</v>
      </c>
      <c r="T94">
        <v>3.0375000000000001E-6</v>
      </c>
      <c r="U94" s="2">
        <f t="shared" ref="U94:U127" si="38">O94*10^6</f>
        <v>148500000</v>
      </c>
      <c r="V94" s="16">
        <f t="shared" ref="V94:V127" si="39">(U94*(0.0000249)*S94)/((0.02446*(T94+(PI()/2)*(SQRT(S94/PI())))))</f>
        <v>1.0179614384239433</v>
      </c>
      <c r="W94" s="11">
        <f t="shared" ref="W94:W127" si="40">(V94/0.04)/1000</f>
        <v>2.5449035960598582E-2</v>
      </c>
      <c r="X94" s="15">
        <f t="shared" ref="X94:X127" si="41">V94*1000</f>
        <v>1017.9614384239433</v>
      </c>
    </row>
    <row r="95" spans="1:27">
      <c r="A95" s="60" t="s">
        <v>226</v>
      </c>
      <c r="B95" s="60"/>
      <c r="C95" s="60" t="s">
        <v>66</v>
      </c>
      <c r="D95" t="s">
        <v>67</v>
      </c>
      <c r="E95">
        <v>303.77999999999997</v>
      </c>
      <c r="F95">
        <v>28.01</v>
      </c>
      <c r="G95">
        <v>10.71</v>
      </c>
      <c r="M95">
        <v>299.89999999999998</v>
      </c>
      <c r="O95">
        <v>223.91</v>
      </c>
      <c r="P95" s="59">
        <v>15.214265171124531</v>
      </c>
      <c r="S95">
        <v>7.0949338963200012E-11</v>
      </c>
      <c r="T95">
        <v>2.4097500000000001E-6</v>
      </c>
      <c r="U95" s="2">
        <f t="shared" si="38"/>
        <v>223910000</v>
      </c>
      <c r="V95" s="16">
        <f t="shared" si="39"/>
        <v>1.6377466254556956</v>
      </c>
      <c r="W95" s="11">
        <f t="shared" si="40"/>
        <v>4.0943665636392387E-2</v>
      </c>
      <c r="X95" s="15">
        <f t="shared" si="41"/>
        <v>1637.7466254556955</v>
      </c>
    </row>
    <row r="96" spans="1:27">
      <c r="A96" s="60" t="s">
        <v>226</v>
      </c>
      <c r="B96" s="60"/>
      <c r="C96" s="60" t="s">
        <v>66</v>
      </c>
      <c r="D96" t="s">
        <v>67</v>
      </c>
      <c r="E96">
        <v>303.77999999999997</v>
      </c>
      <c r="F96">
        <v>26.24</v>
      </c>
      <c r="G96">
        <v>12.61</v>
      </c>
      <c r="M96">
        <v>330.88</v>
      </c>
      <c r="O96">
        <v>186.75</v>
      </c>
      <c r="P96" s="59">
        <v>12.850877192982455</v>
      </c>
      <c r="S96">
        <v>6.2265832243199973E-11</v>
      </c>
      <c r="T96">
        <v>2.8372499999999998E-6</v>
      </c>
      <c r="U96" s="2">
        <f t="shared" si="38"/>
        <v>186750000</v>
      </c>
      <c r="V96" s="16">
        <f t="shared" si="39"/>
        <v>1.204160147275019</v>
      </c>
      <c r="W96" s="11">
        <f t="shared" si="40"/>
        <v>3.0104003681875473E-2</v>
      </c>
      <c r="X96" s="15">
        <f t="shared" si="41"/>
        <v>1204.160147275019</v>
      </c>
    </row>
    <row r="97" spans="1:24">
      <c r="A97" s="60" t="s">
        <v>226</v>
      </c>
      <c r="B97" s="60"/>
      <c r="C97" s="60" t="s">
        <v>66</v>
      </c>
      <c r="D97" t="s">
        <v>67</v>
      </c>
      <c r="E97">
        <v>303.77999999999997</v>
      </c>
      <c r="F97">
        <v>30.85</v>
      </c>
      <c r="G97">
        <v>14.75</v>
      </c>
      <c r="M97">
        <v>454.88</v>
      </c>
      <c r="O97">
        <v>274.63</v>
      </c>
      <c r="P97" s="59">
        <v>16.417910447761194</v>
      </c>
      <c r="S97">
        <v>8.6066169119999995E-11</v>
      </c>
      <c r="T97">
        <v>3.3187499999999998E-6</v>
      </c>
      <c r="U97" s="2">
        <f t="shared" si="38"/>
        <v>274630000</v>
      </c>
      <c r="V97" s="16">
        <f t="shared" si="39"/>
        <v>2.0849753266189968</v>
      </c>
      <c r="W97" s="11">
        <f t="shared" si="40"/>
        <v>5.2124383165474915E-2</v>
      </c>
      <c r="X97" s="15">
        <f t="shared" si="41"/>
        <v>2084.9753266189969</v>
      </c>
    </row>
    <row r="98" spans="1:24">
      <c r="A98" s="60" t="s">
        <v>226</v>
      </c>
      <c r="B98" s="60"/>
      <c r="C98" s="60" t="s">
        <v>66</v>
      </c>
      <c r="D98" t="s">
        <v>67</v>
      </c>
      <c r="E98">
        <v>303.77999999999997</v>
      </c>
      <c r="F98">
        <v>26.84</v>
      </c>
      <c r="G98">
        <v>14.2</v>
      </c>
      <c r="M98">
        <v>381.13</v>
      </c>
      <c r="O98">
        <v>162.06</v>
      </c>
      <c r="P98" s="59">
        <v>11.818181818181817</v>
      </c>
      <c r="S98">
        <v>6.5145910579199988E-11</v>
      </c>
      <c r="T98">
        <v>3.1949999999999999E-6</v>
      </c>
      <c r="U98" s="2">
        <f t="shared" si="38"/>
        <v>162060000</v>
      </c>
      <c r="V98" s="16">
        <f t="shared" si="39"/>
        <v>1.0386022612194166</v>
      </c>
      <c r="W98" s="11">
        <f t="shared" si="40"/>
        <v>2.5965056530485413E-2</v>
      </c>
      <c r="X98" s="15">
        <f t="shared" si="41"/>
        <v>1038.6022612194165</v>
      </c>
    </row>
    <row r="99" spans="1:24">
      <c r="A99" s="60" t="s">
        <v>226</v>
      </c>
      <c r="B99" s="60"/>
      <c r="C99" s="60" t="s">
        <v>66</v>
      </c>
      <c r="D99" t="s">
        <v>67</v>
      </c>
      <c r="E99">
        <v>303.77999999999997</v>
      </c>
      <c r="F99">
        <v>26.44</v>
      </c>
      <c r="G99">
        <v>12.38</v>
      </c>
      <c r="M99">
        <v>327.33</v>
      </c>
      <c r="O99">
        <v>186.88</v>
      </c>
      <c r="P99" s="59">
        <v>12.026127049180328</v>
      </c>
      <c r="S99">
        <v>6.3218623795200003E-11</v>
      </c>
      <c r="T99">
        <v>2.7855000000000003E-6</v>
      </c>
      <c r="U99" s="2">
        <f t="shared" si="38"/>
        <v>186880000</v>
      </c>
      <c r="V99" s="16">
        <f t="shared" si="39"/>
        <v>1.2232442564808028</v>
      </c>
      <c r="W99" s="11">
        <f t="shared" si="40"/>
        <v>3.0581106412020071E-2</v>
      </c>
      <c r="X99" s="15">
        <f t="shared" si="41"/>
        <v>1223.2442564808027</v>
      </c>
    </row>
    <row r="100" spans="1:24">
      <c r="A100" s="60" t="s">
        <v>226</v>
      </c>
      <c r="B100" s="60"/>
      <c r="C100" s="60" t="s">
        <v>66</v>
      </c>
      <c r="D100" t="s">
        <v>67</v>
      </c>
      <c r="E100">
        <v>303.77999999999997</v>
      </c>
      <c r="F100">
        <v>28.2</v>
      </c>
      <c r="G100">
        <v>16.989999999999998</v>
      </c>
      <c r="M100">
        <v>479.12</v>
      </c>
      <c r="O100">
        <v>162.26</v>
      </c>
      <c r="P100" s="59">
        <v>14.751552795031056</v>
      </c>
      <c r="S100">
        <v>7.1915143679999994E-11</v>
      </c>
      <c r="T100">
        <v>3.8227499999999991E-6</v>
      </c>
      <c r="U100" s="2">
        <f t="shared" si="38"/>
        <v>162260000</v>
      </c>
      <c r="V100" s="16">
        <f t="shared" si="39"/>
        <v>1.0476845048761991</v>
      </c>
      <c r="W100" s="11">
        <f t="shared" si="40"/>
        <v>2.6192112621904979E-2</v>
      </c>
      <c r="X100" s="15">
        <f t="shared" si="41"/>
        <v>1047.6845048761991</v>
      </c>
    </row>
    <row r="101" spans="1:24">
      <c r="A101" s="60" t="s">
        <v>226</v>
      </c>
      <c r="B101" s="60"/>
      <c r="C101" s="60" t="s">
        <v>66</v>
      </c>
      <c r="D101" t="s">
        <v>69</v>
      </c>
      <c r="E101">
        <v>304.5</v>
      </c>
      <c r="F101">
        <v>24.47</v>
      </c>
      <c r="G101">
        <v>12.89</v>
      </c>
      <c r="M101">
        <v>315.52</v>
      </c>
      <c r="O101">
        <v>272.98</v>
      </c>
      <c r="P101" s="59">
        <v>14.102564102564102</v>
      </c>
      <c r="S101">
        <v>5.4148954348799994E-11</v>
      </c>
      <c r="T101">
        <v>2.9002499999999999E-6</v>
      </c>
      <c r="U101" s="2">
        <f t="shared" si="38"/>
        <v>272980000</v>
      </c>
      <c r="V101" s="16">
        <f t="shared" si="39"/>
        <v>1.5971195566518812</v>
      </c>
      <c r="W101" s="11">
        <f t="shared" si="40"/>
        <v>3.9927988916297029E-2</v>
      </c>
      <c r="X101" s="15">
        <f t="shared" si="41"/>
        <v>1597.1195566518811</v>
      </c>
    </row>
    <row r="102" spans="1:24">
      <c r="A102" s="60" t="s">
        <v>226</v>
      </c>
      <c r="B102" s="60"/>
      <c r="C102" s="60" t="s">
        <v>66</v>
      </c>
      <c r="D102" t="s">
        <v>69</v>
      </c>
      <c r="E102">
        <v>304.5</v>
      </c>
      <c r="F102">
        <v>22.06</v>
      </c>
      <c r="G102">
        <v>10.210000000000001</v>
      </c>
      <c r="M102">
        <v>225.19</v>
      </c>
      <c r="O102">
        <v>124.03</v>
      </c>
      <c r="P102" s="59">
        <v>10.204081632653061</v>
      </c>
      <c r="S102">
        <v>4.4008154035199998E-11</v>
      </c>
      <c r="T102">
        <v>2.2972500000000003E-6</v>
      </c>
      <c r="U102" s="2">
        <f t="shared" si="38"/>
        <v>124030000</v>
      </c>
      <c r="V102" s="16">
        <f t="shared" si="39"/>
        <v>0.67958351445265808</v>
      </c>
      <c r="W102" s="11">
        <f t="shared" si="40"/>
        <v>1.6989587861316453E-2</v>
      </c>
      <c r="X102" s="15">
        <f t="shared" si="41"/>
        <v>679.58351445265805</v>
      </c>
    </row>
    <row r="103" spans="1:24">
      <c r="A103" s="60" t="s">
        <v>226</v>
      </c>
      <c r="B103" s="60"/>
      <c r="C103" s="60" t="s">
        <v>66</v>
      </c>
      <c r="D103" t="s">
        <v>69</v>
      </c>
      <c r="E103">
        <v>304.5</v>
      </c>
      <c r="F103">
        <v>23.25</v>
      </c>
      <c r="G103">
        <v>10.44</v>
      </c>
      <c r="M103">
        <v>242.63</v>
      </c>
      <c r="O103">
        <v>175.3</v>
      </c>
      <c r="P103" s="59">
        <v>13.20754716981132</v>
      </c>
      <c r="S103">
        <v>4.8884148E-11</v>
      </c>
      <c r="T103">
        <v>2.3489999999999994E-6</v>
      </c>
      <c r="U103" s="2">
        <f t="shared" si="38"/>
        <v>175300000</v>
      </c>
      <c r="V103" s="16">
        <f t="shared" si="39"/>
        <v>1.0208644094686181</v>
      </c>
      <c r="W103" s="11">
        <f t="shared" si="40"/>
        <v>2.5521610236715453E-2</v>
      </c>
      <c r="X103" s="15">
        <f t="shared" si="41"/>
        <v>1020.8644094686181</v>
      </c>
    </row>
    <row r="104" spans="1:24">
      <c r="A104" s="60" t="s">
        <v>226</v>
      </c>
      <c r="B104" s="60"/>
      <c r="C104" s="60" t="s">
        <v>66</v>
      </c>
      <c r="D104" t="s">
        <v>69</v>
      </c>
      <c r="E104">
        <v>304.5</v>
      </c>
      <c r="F104">
        <v>25.64</v>
      </c>
      <c r="G104">
        <v>12.48</v>
      </c>
      <c r="M104">
        <v>320.05</v>
      </c>
      <c r="O104">
        <v>204</v>
      </c>
      <c r="P104" s="59">
        <v>14.879696574611831</v>
      </c>
      <c r="S104">
        <v>5.9450864947200002E-11</v>
      </c>
      <c r="T104">
        <v>2.8080000000000001E-6</v>
      </c>
      <c r="U104" s="2">
        <f t="shared" si="38"/>
        <v>204000000</v>
      </c>
      <c r="V104" s="16">
        <f t="shared" si="39"/>
        <v>1.2805608496687544</v>
      </c>
      <c r="W104" s="11">
        <f t="shared" si="40"/>
        <v>3.2014021241718857E-2</v>
      </c>
      <c r="X104" s="15">
        <f t="shared" si="41"/>
        <v>1280.5608496687544</v>
      </c>
    </row>
    <row r="105" spans="1:24">
      <c r="A105" s="60" t="s">
        <v>226</v>
      </c>
      <c r="B105" s="60"/>
      <c r="C105" s="60" t="s">
        <v>66</v>
      </c>
      <c r="D105" t="s">
        <v>70</v>
      </c>
      <c r="E105">
        <v>305.36</v>
      </c>
      <c r="F105">
        <v>28.64</v>
      </c>
      <c r="G105">
        <v>15.35</v>
      </c>
      <c r="M105">
        <v>439.62</v>
      </c>
      <c r="O105">
        <v>215.8</v>
      </c>
      <c r="P105" s="59">
        <v>18.749497454772001</v>
      </c>
      <c r="S105">
        <v>7.4176811827199997E-11</v>
      </c>
      <c r="T105">
        <v>3.4537499999999998E-6</v>
      </c>
      <c r="U105" s="2">
        <f t="shared" si="38"/>
        <v>215800000</v>
      </c>
      <c r="V105" s="16">
        <f t="shared" si="39"/>
        <v>1.4698378414770006</v>
      </c>
      <c r="W105" s="11">
        <f t="shared" si="40"/>
        <v>3.6745946036925013E-2</v>
      </c>
      <c r="X105" s="15">
        <f t="shared" si="41"/>
        <v>1469.8378414770007</v>
      </c>
    </row>
    <row r="106" spans="1:24">
      <c r="A106" s="60" t="s">
        <v>226</v>
      </c>
      <c r="B106" s="60"/>
      <c r="C106" s="60" t="s">
        <v>66</v>
      </c>
      <c r="D106" t="s">
        <v>70</v>
      </c>
      <c r="E106">
        <v>305.36</v>
      </c>
      <c r="F106">
        <v>34.07</v>
      </c>
      <c r="G106">
        <v>18.93</v>
      </c>
      <c r="M106">
        <v>644.95000000000005</v>
      </c>
      <c r="O106">
        <v>204.87</v>
      </c>
      <c r="P106" s="59">
        <v>18.733333333333334</v>
      </c>
      <c r="S106">
        <v>1.0497029143679999E-10</v>
      </c>
      <c r="T106">
        <v>4.2592499999999999E-6</v>
      </c>
      <c r="U106" s="2">
        <f t="shared" si="38"/>
        <v>204870000</v>
      </c>
      <c r="V106" s="16">
        <f t="shared" si="39"/>
        <v>1.6411999627892335</v>
      </c>
      <c r="W106" s="11">
        <f t="shared" si="40"/>
        <v>4.1029999069730837E-2</v>
      </c>
      <c r="X106" s="15">
        <f t="shared" si="41"/>
        <v>1641.1999627892335</v>
      </c>
    </row>
    <row r="107" spans="1:24">
      <c r="A107" s="60" t="s">
        <v>226</v>
      </c>
      <c r="B107" s="60"/>
      <c r="C107" s="60" t="s">
        <v>66</v>
      </c>
      <c r="D107" t="s">
        <v>72</v>
      </c>
      <c r="E107">
        <v>306.69</v>
      </c>
      <c r="F107">
        <v>27.39</v>
      </c>
      <c r="G107">
        <v>14.63</v>
      </c>
      <c r="M107">
        <v>400.57</v>
      </c>
      <c r="O107">
        <v>273.66000000000003</v>
      </c>
      <c r="P107" s="59">
        <v>15.582010582010582</v>
      </c>
      <c r="S107">
        <v>6.7843180627199989E-11</v>
      </c>
      <c r="T107">
        <v>3.2917500000000003E-6</v>
      </c>
      <c r="U107" s="2">
        <f t="shared" si="38"/>
        <v>273660000</v>
      </c>
      <c r="V107" s="16">
        <f t="shared" si="39"/>
        <v>1.7844722618404738</v>
      </c>
      <c r="W107" s="11">
        <f t="shared" si="40"/>
        <v>4.4611806546011844E-2</v>
      </c>
      <c r="X107" s="15">
        <f t="shared" si="41"/>
        <v>1784.4722618404737</v>
      </c>
    </row>
    <row r="108" spans="1:24">
      <c r="A108" s="60" t="s">
        <v>226</v>
      </c>
      <c r="B108" s="60"/>
      <c r="C108" s="60" t="s">
        <v>66</v>
      </c>
      <c r="D108" t="s">
        <v>72</v>
      </c>
      <c r="E108">
        <v>306.69</v>
      </c>
      <c r="F108">
        <v>27.71</v>
      </c>
      <c r="G108">
        <v>13.37</v>
      </c>
      <c r="M108">
        <v>370.39</v>
      </c>
      <c r="O108">
        <v>224.35</v>
      </c>
      <c r="P108" s="59">
        <v>13.067839616919663</v>
      </c>
      <c r="S108">
        <v>6.9437677651199997E-11</v>
      </c>
      <c r="T108">
        <v>3.0082499999999995E-6</v>
      </c>
      <c r="U108" s="2">
        <f t="shared" si="38"/>
        <v>224350000</v>
      </c>
      <c r="V108" s="16">
        <f t="shared" si="39"/>
        <v>1.5258731866377364</v>
      </c>
      <c r="W108" s="11">
        <f t="shared" si="40"/>
        <v>3.8146829665943405E-2</v>
      </c>
      <c r="X108" s="15">
        <f t="shared" si="41"/>
        <v>1525.8731866377364</v>
      </c>
    </row>
    <row r="109" spans="1:24">
      <c r="A109" s="60" t="s">
        <v>226</v>
      </c>
      <c r="B109" s="60"/>
      <c r="C109" s="60" t="s">
        <v>66</v>
      </c>
      <c r="D109" t="s">
        <v>72</v>
      </c>
      <c r="E109">
        <v>306.69</v>
      </c>
      <c r="F109">
        <v>28.21</v>
      </c>
      <c r="G109">
        <v>15.27</v>
      </c>
      <c r="M109">
        <v>430.77</v>
      </c>
      <c r="O109">
        <v>209.88</v>
      </c>
      <c r="P109" s="59">
        <v>13.246847342369477</v>
      </c>
      <c r="S109">
        <v>7.196615637119999E-11</v>
      </c>
      <c r="T109">
        <v>3.4357500000000001E-6</v>
      </c>
      <c r="U109" s="2">
        <f t="shared" si="38"/>
        <v>209880000</v>
      </c>
      <c r="V109" s="16">
        <f t="shared" si="39"/>
        <v>1.4037015662920023</v>
      </c>
      <c r="W109" s="11">
        <f t="shared" si="40"/>
        <v>3.5092539157300054E-2</v>
      </c>
      <c r="X109" s="15">
        <f t="shared" si="41"/>
        <v>1403.7015662920023</v>
      </c>
    </row>
    <row r="110" spans="1:24">
      <c r="A110" s="60" t="s">
        <v>226</v>
      </c>
      <c r="B110" s="60"/>
      <c r="C110" s="60" t="s">
        <v>66</v>
      </c>
      <c r="D110" t="s">
        <v>72</v>
      </c>
      <c r="E110">
        <v>306.69</v>
      </c>
      <c r="F110">
        <v>25.41</v>
      </c>
      <c r="G110">
        <v>14.32</v>
      </c>
      <c r="M110">
        <v>363.91</v>
      </c>
      <c r="O110">
        <v>223.63</v>
      </c>
      <c r="P110" s="59">
        <v>12.726906010488101</v>
      </c>
      <c r="S110">
        <v>5.8389057619200003E-11</v>
      </c>
      <c r="T110">
        <v>3.2219999999999998E-6</v>
      </c>
      <c r="U110" s="2">
        <f t="shared" si="38"/>
        <v>223630000</v>
      </c>
      <c r="V110" s="16">
        <f t="shared" si="39"/>
        <v>1.3300541773373458</v>
      </c>
      <c r="W110" s="11">
        <f t="shared" si="40"/>
        <v>3.325135443343364E-2</v>
      </c>
      <c r="X110" s="15">
        <f t="shared" si="41"/>
        <v>1330.0541773373457</v>
      </c>
    </row>
    <row r="111" spans="1:24">
      <c r="A111" s="60" t="s">
        <v>226</v>
      </c>
      <c r="B111" s="60"/>
      <c r="C111" s="60" t="s">
        <v>66</v>
      </c>
      <c r="D111" t="s">
        <v>73</v>
      </c>
      <c r="E111">
        <v>306.69</v>
      </c>
      <c r="F111">
        <v>25.6</v>
      </c>
      <c r="G111">
        <v>13.01</v>
      </c>
      <c r="M111">
        <v>333.04</v>
      </c>
      <c r="O111">
        <v>237.15</v>
      </c>
      <c r="P111" s="59">
        <v>13.707401209057688</v>
      </c>
      <c r="S111">
        <v>5.9265515520000005E-11</v>
      </c>
      <c r="T111">
        <v>2.9272499999999998E-6</v>
      </c>
      <c r="U111" s="2">
        <f t="shared" si="38"/>
        <v>237150000</v>
      </c>
      <c r="V111" s="16">
        <f t="shared" si="39"/>
        <v>1.4674824290767252</v>
      </c>
      <c r="W111" s="11">
        <f t="shared" si="40"/>
        <v>3.6687060726918123E-2</v>
      </c>
      <c r="X111" s="15">
        <f t="shared" si="41"/>
        <v>1467.4824290767251</v>
      </c>
    </row>
    <row r="112" spans="1:24">
      <c r="A112" s="60" t="s">
        <v>226</v>
      </c>
      <c r="B112" s="60"/>
      <c r="C112" s="60" t="s">
        <v>66</v>
      </c>
      <c r="D112" t="s">
        <v>73</v>
      </c>
      <c r="E112">
        <v>306.69</v>
      </c>
      <c r="F112">
        <v>22.27</v>
      </c>
      <c r="G112">
        <v>11.76</v>
      </c>
      <c r="M112">
        <v>261.77999999999997</v>
      </c>
      <c r="O112">
        <v>287.25</v>
      </c>
      <c r="P112" s="59">
        <v>15.451640464798359</v>
      </c>
      <c r="S112">
        <v>4.4850012652799992E-11</v>
      </c>
      <c r="T112">
        <v>2.6459999999999997E-6</v>
      </c>
      <c r="U112" s="2">
        <f t="shared" si="38"/>
        <v>287250000</v>
      </c>
      <c r="V112" s="16">
        <f t="shared" si="39"/>
        <v>1.5283534231454821</v>
      </c>
      <c r="W112" s="11">
        <f t="shared" si="40"/>
        <v>3.8208835578637051E-2</v>
      </c>
      <c r="X112" s="15">
        <f t="shared" si="41"/>
        <v>1528.3534231454821</v>
      </c>
    </row>
    <row r="113" spans="1:24">
      <c r="A113" s="60" t="s">
        <v>226</v>
      </c>
      <c r="B113" s="60"/>
      <c r="C113" s="60" t="s">
        <v>66</v>
      </c>
      <c r="D113" t="s">
        <v>73</v>
      </c>
      <c r="E113">
        <v>306.69</v>
      </c>
      <c r="F113">
        <v>27.58</v>
      </c>
      <c r="G113">
        <v>14.42</v>
      </c>
      <c r="M113">
        <v>397.6</v>
      </c>
      <c r="O113">
        <v>198.51</v>
      </c>
      <c r="P113" s="59">
        <v>11.540058115400599</v>
      </c>
      <c r="S113">
        <v>6.8787679564799982E-11</v>
      </c>
      <c r="T113">
        <v>3.2444999999999996E-6</v>
      </c>
      <c r="U113" s="2">
        <f t="shared" si="38"/>
        <v>198510000</v>
      </c>
      <c r="V113" s="16">
        <f t="shared" si="39"/>
        <v>1.3120382815853133</v>
      </c>
      <c r="W113" s="11">
        <f t="shared" si="40"/>
        <v>3.2800957039632837E-2</v>
      </c>
      <c r="X113" s="15">
        <f t="shared" si="41"/>
        <v>1312.0382815853134</v>
      </c>
    </row>
    <row r="114" spans="1:24">
      <c r="A114" s="60" t="s">
        <v>226</v>
      </c>
      <c r="B114" s="60"/>
      <c r="C114" s="60" t="s">
        <v>66</v>
      </c>
      <c r="D114" t="s">
        <v>74</v>
      </c>
      <c r="E114">
        <v>306.69</v>
      </c>
      <c r="F114">
        <v>24.92</v>
      </c>
      <c r="G114">
        <v>13.32</v>
      </c>
      <c r="M114">
        <v>331.93</v>
      </c>
      <c r="O114">
        <v>227.16</v>
      </c>
      <c r="P114" s="59">
        <v>11.5244562942641</v>
      </c>
      <c r="S114">
        <v>5.6158850764800006E-11</v>
      </c>
      <c r="T114">
        <v>2.9970000000000003E-6</v>
      </c>
      <c r="U114" s="2">
        <f t="shared" si="38"/>
        <v>227160000</v>
      </c>
      <c r="V114" s="16">
        <f t="shared" si="39"/>
        <v>1.3473855114562896</v>
      </c>
      <c r="W114" s="11">
        <f t="shared" si="40"/>
        <v>3.3684637786407234E-2</v>
      </c>
      <c r="X114" s="15">
        <f t="shared" si="41"/>
        <v>1347.3855114562896</v>
      </c>
    </row>
    <row r="115" spans="1:24">
      <c r="A115" s="60" t="s">
        <v>226</v>
      </c>
      <c r="B115" s="60"/>
      <c r="C115" s="60" t="s">
        <v>66</v>
      </c>
      <c r="D115" t="s">
        <v>75</v>
      </c>
      <c r="E115">
        <v>306.70999999999998</v>
      </c>
      <c r="F115">
        <v>30.65</v>
      </c>
      <c r="G115">
        <v>13.96</v>
      </c>
      <c r="M115">
        <v>427.9</v>
      </c>
      <c r="O115">
        <v>224.32</v>
      </c>
      <c r="P115" s="59">
        <v>14.0625</v>
      </c>
      <c r="S115">
        <v>8.4953855519999968E-11</v>
      </c>
      <c r="T115">
        <v>3.1410000000000005E-6</v>
      </c>
      <c r="U115" s="2">
        <f t="shared" si="38"/>
        <v>224320000</v>
      </c>
      <c r="V115" s="16">
        <f t="shared" si="39"/>
        <v>1.7153580587436243</v>
      </c>
      <c r="W115" s="11">
        <f t="shared" si="40"/>
        <v>4.2883951468590607E-2</v>
      </c>
      <c r="X115" s="15">
        <f t="shared" si="41"/>
        <v>1715.3580587436243</v>
      </c>
    </row>
    <row r="116" spans="1:24">
      <c r="A116" s="60" t="s">
        <v>226</v>
      </c>
      <c r="B116" s="60"/>
      <c r="C116" s="60" t="s">
        <v>66</v>
      </c>
      <c r="D116" t="s">
        <v>75</v>
      </c>
      <c r="E116">
        <v>306.70999999999998</v>
      </c>
      <c r="F116">
        <v>29.97</v>
      </c>
      <c r="G116">
        <v>15.05</v>
      </c>
      <c r="M116">
        <v>450.91</v>
      </c>
      <c r="O116">
        <v>243.72</v>
      </c>
      <c r="P116" s="59">
        <v>17.241379310344829</v>
      </c>
      <c r="S116">
        <v>8.1226103788799981E-11</v>
      </c>
      <c r="T116">
        <v>3.3862500000000004E-6</v>
      </c>
      <c r="U116" s="2">
        <f t="shared" si="38"/>
        <v>243720000</v>
      </c>
      <c r="V116" s="16">
        <f t="shared" si="39"/>
        <v>1.7718980590439706</v>
      </c>
      <c r="W116" s="11">
        <f t="shared" si="40"/>
        <v>4.4297451476099259E-2</v>
      </c>
      <c r="X116" s="15">
        <f t="shared" si="41"/>
        <v>1771.8980590439705</v>
      </c>
    </row>
    <row r="117" spans="1:24">
      <c r="A117" s="60" t="s">
        <v>226</v>
      </c>
      <c r="B117" s="60"/>
      <c r="C117" s="60" t="s">
        <v>66</v>
      </c>
      <c r="D117" t="s">
        <v>75</v>
      </c>
      <c r="E117">
        <v>306.70999999999998</v>
      </c>
      <c r="F117">
        <v>31.33</v>
      </c>
      <c r="G117">
        <v>16.04</v>
      </c>
      <c r="M117">
        <v>502.48</v>
      </c>
      <c r="O117">
        <v>223.85</v>
      </c>
      <c r="P117" s="59">
        <v>15</v>
      </c>
      <c r="S117">
        <v>8.8765238764799987E-11</v>
      </c>
      <c r="T117">
        <v>3.6089999999999997E-6</v>
      </c>
      <c r="U117" s="2">
        <f t="shared" si="38"/>
        <v>223850000</v>
      </c>
      <c r="V117" s="16">
        <f t="shared" si="39"/>
        <v>1.6914613063697685</v>
      </c>
      <c r="W117" s="11">
        <f t="shared" si="40"/>
        <v>4.2286532659244216E-2</v>
      </c>
      <c r="X117" s="15">
        <f t="shared" si="41"/>
        <v>1691.4613063697686</v>
      </c>
    </row>
    <row r="118" spans="1:24">
      <c r="A118" s="60" t="s">
        <v>226</v>
      </c>
      <c r="B118" s="60"/>
      <c r="C118" s="60" t="s">
        <v>66</v>
      </c>
      <c r="D118" t="s">
        <v>75</v>
      </c>
      <c r="E118">
        <v>306.70999999999998</v>
      </c>
      <c r="F118">
        <v>30.98</v>
      </c>
      <c r="G118">
        <v>15.01</v>
      </c>
      <c r="M118">
        <v>465.11</v>
      </c>
      <c r="O118">
        <v>273.42</v>
      </c>
      <c r="P118" s="59">
        <v>17.1875</v>
      </c>
      <c r="S118">
        <v>8.6793052492799993E-11</v>
      </c>
      <c r="T118">
        <v>3.3772499999999997E-6</v>
      </c>
      <c r="U118" s="2">
        <f t="shared" si="38"/>
        <v>273420000</v>
      </c>
      <c r="V118" s="16">
        <f t="shared" si="39"/>
        <v>2.0765600111362974</v>
      </c>
      <c r="W118" s="11">
        <f t="shared" si="40"/>
        <v>5.1914000278407438E-2</v>
      </c>
      <c r="X118" s="15">
        <f t="shared" si="41"/>
        <v>2076.5600111362974</v>
      </c>
    </row>
    <row r="119" spans="1:24">
      <c r="A119" s="60" t="s">
        <v>226</v>
      </c>
      <c r="B119" s="60"/>
      <c r="C119" s="60" t="s">
        <v>66</v>
      </c>
      <c r="D119" t="s">
        <v>75</v>
      </c>
      <c r="E119">
        <v>306.70999999999998</v>
      </c>
      <c r="F119">
        <v>29.72</v>
      </c>
      <c r="G119">
        <v>15.63</v>
      </c>
      <c r="M119">
        <v>464.56</v>
      </c>
      <c r="O119">
        <v>249.36</v>
      </c>
      <c r="P119" s="59">
        <v>15.877016129032258</v>
      </c>
      <c r="S119">
        <v>7.9876632268799973E-11</v>
      </c>
      <c r="T119">
        <v>3.5167499999999998E-6</v>
      </c>
      <c r="U119" s="2">
        <f t="shared" si="38"/>
        <v>249360000</v>
      </c>
      <c r="V119" s="16">
        <f t="shared" si="39"/>
        <v>1.7728266894330744</v>
      </c>
      <c r="W119" s="11">
        <f t="shared" si="40"/>
        <v>4.4320667235826859E-2</v>
      </c>
      <c r="X119" s="15">
        <f t="shared" si="41"/>
        <v>1772.8266894330745</v>
      </c>
    </row>
    <row r="120" spans="1:24">
      <c r="A120" s="60" t="s">
        <v>226</v>
      </c>
      <c r="B120" s="60"/>
      <c r="C120" s="60" t="s">
        <v>66</v>
      </c>
      <c r="D120" t="s">
        <v>75</v>
      </c>
      <c r="E120">
        <v>306.70999999999998</v>
      </c>
      <c r="F120">
        <v>27.63</v>
      </c>
      <c r="G120">
        <v>15.81</v>
      </c>
      <c r="M120">
        <v>436.74</v>
      </c>
      <c r="O120">
        <v>273.95</v>
      </c>
      <c r="P120" s="59">
        <v>16.399286987522281</v>
      </c>
      <c r="S120">
        <v>6.9037317100799994E-11</v>
      </c>
      <c r="T120">
        <v>3.5572500000000001E-6</v>
      </c>
      <c r="U120" s="2">
        <f t="shared" si="38"/>
        <v>273950000</v>
      </c>
      <c r="V120" s="16">
        <f t="shared" si="39"/>
        <v>1.7629657895911539</v>
      </c>
      <c r="W120" s="11">
        <f t="shared" si="40"/>
        <v>4.4074144739778845E-2</v>
      </c>
      <c r="X120" s="15">
        <f t="shared" si="41"/>
        <v>1762.9657895911539</v>
      </c>
    </row>
    <row r="121" spans="1:24">
      <c r="A121" s="60" t="s">
        <v>226</v>
      </c>
      <c r="B121" s="60"/>
      <c r="C121" s="60" t="s">
        <v>66</v>
      </c>
      <c r="D121" t="s">
        <v>77</v>
      </c>
      <c r="E121">
        <v>307.33999999999997</v>
      </c>
      <c r="F121">
        <v>26.96</v>
      </c>
      <c r="G121">
        <v>15.5</v>
      </c>
      <c r="M121">
        <v>417.78</v>
      </c>
      <c r="O121">
        <v>299.35000000000002</v>
      </c>
      <c r="P121" s="59">
        <v>13.678859781356801</v>
      </c>
      <c r="S121">
        <v>6.5729739571199982E-11</v>
      </c>
      <c r="T121">
        <v>3.4875000000000001E-6</v>
      </c>
      <c r="U121" s="2">
        <f t="shared" si="38"/>
        <v>299350000</v>
      </c>
      <c r="V121" s="16">
        <f t="shared" si="39"/>
        <v>1.8768021604848284</v>
      </c>
      <c r="W121" s="11">
        <f t="shared" si="40"/>
        <v>4.692005401212071E-2</v>
      </c>
      <c r="X121" s="15">
        <f t="shared" si="41"/>
        <v>1876.8021604848284</v>
      </c>
    </row>
    <row r="122" spans="1:24">
      <c r="A122" s="60" t="s">
        <v>226</v>
      </c>
      <c r="B122" s="60"/>
      <c r="C122" s="60" t="s">
        <v>66</v>
      </c>
      <c r="D122" t="s">
        <v>78</v>
      </c>
      <c r="E122">
        <v>308.92</v>
      </c>
      <c r="F122">
        <v>20.07</v>
      </c>
      <c r="G122">
        <v>8.17</v>
      </c>
      <c r="M122">
        <v>164</v>
      </c>
      <c r="O122">
        <v>308.92</v>
      </c>
      <c r="P122" s="59">
        <v>9.4065656565656575</v>
      </c>
      <c r="S122">
        <v>3.6426452716799994E-11</v>
      </c>
      <c r="T122">
        <v>1.8382499999999999E-6</v>
      </c>
      <c r="U122" s="2">
        <f t="shared" si="38"/>
        <v>308920000</v>
      </c>
      <c r="V122" s="16">
        <f t="shared" si="39"/>
        <v>1.5938863507434211</v>
      </c>
      <c r="W122" s="11">
        <f t="shared" si="40"/>
        <v>3.9847158768585529E-2</v>
      </c>
      <c r="X122" s="15">
        <f t="shared" si="41"/>
        <v>1593.8863507434212</v>
      </c>
    </row>
    <row r="123" spans="1:24">
      <c r="A123" s="60" t="s">
        <v>226</v>
      </c>
      <c r="B123" s="60"/>
      <c r="C123" s="60" t="s">
        <v>66</v>
      </c>
      <c r="D123" t="s">
        <v>78</v>
      </c>
      <c r="E123">
        <v>308.92</v>
      </c>
      <c r="F123">
        <v>17.84</v>
      </c>
      <c r="G123">
        <v>8.89</v>
      </c>
      <c r="M123">
        <v>158.61000000000001</v>
      </c>
      <c r="O123">
        <v>308.92</v>
      </c>
      <c r="P123" s="59">
        <v>9.1922845087402045</v>
      </c>
      <c r="S123">
        <v>2.8781394739199996E-11</v>
      </c>
      <c r="T123">
        <v>2.00025E-6</v>
      </c>
      <c r="U123" s="2">
        <f t="shared" si="38"/>
        <v>308920000</v>
      </c>
      <c r="V123" s="16">
        <f t="shared" si="39"/>
        <v>1.3399675683393335</v>
      </c>
      <c r="W123" s="11">
        <f t="shared" si="40"/>
        <v>3.3499189208483333E-2</v>
      </c>
      <c r="X123" s="15">
        <f t="shared" si="41"/>
        <v>1339.9675683393334</v>
      </c>
    </row>
    <row r="124" spans="1:24">
      <c r="A124" s="60" t="s">
        <v>226</v>
      </c>
      <c r="B124" s="60"/>
      <c r="C124" s="60" t="s">
        <v>66</v>
      </c>
      <c r="D124" t="s">
        <v>79</v>
      </c>
      <c r="E124">
        <v>309.83999999999997</v>
      </c>
      <c r="F124">
        <v>22.4</v>
      </c>
      <c r="G124">
        <v>10.73</v>
      </c>
      <c r="M124">
        <v>240.38</v>
      </c>
      <c r="O124">
        <v>309.83999999999997</v>
      </c>
      <c r="P124" s="59">
        <v>12.876815229275195</v>
      </c>
      <c r="S124">
        <v>4.5375160319999984E-11</v>
      </c>
      <c r="T124">
        <v>2.4142499999999998E-6</v>
      </c>
      <c r="U124" s="2">
        <f t="shared" si="38"/>
        <v>309840000</v>
      </c>
      <c r="V124" s="16">
        <f t="shared" si="39"/>
        <v>1.707060010975239</v>
      </c>
      <c r="W124" s="11">
        <f t="shared" si="40"/>
        <v>4.2676500274380968E-2</v>
      </c>
      <c r="X124" s="15">
        <f t="shared" si="41"/>
        <v>1707.060010975239</v>
      </c>
    </row>
    <row r="125" spans="1:24">
      <c r="A125" s="60" t="s">
        <v>226</v>
      </c>
      <c r="B125" s="60"/>
      <c r="C125" s="60" t="s">
        <v>66</v>
      </c>
      <c r="D125" t="s">
        <v>79</v>
      </c>
      <c r="E125">
        <v>309.83999999999997</v>
      </c>
      <c r="F125">
        <v>21.95</v>
      </c>
      <c r="G125">
        <v>11.37</v>
      </c>
      <c r="M125">
        <v>249.69</v>
      </c>
      <c r="O125">
        <v>309.83999999999997</v>
      </c>
      <c r="P125" s="59">
        <v>9.9928686040292387</v>
      </c>
      <c r="S125">
        <v>4.3570363679999992E-11</v>
      </c>
      <c r="T125">
        <v>2.5582499999999996E-6</v>
      </c>
      <c r="U125" s="2">
        <f t="shared" si="38"/>
        <v>309840000</v>
      </c>
      <c r="V125" s="16">
        <f t="shared" si="39"/>
        <v>1.6344687258281145</v>
      </c>
      <c r="W125" s="11">
        <f t="shared" si="40"/>
        <v>4.0861718145702858E-2</v>
      </c>
      <c r="X125" s="15">
        <f t="shared" si="41"/>
        <v>1634.4687258281144</v>
      </c>
    </row>
    <row r="126" spans="1:24">
      <c r="A126" s="60" t="s">
        <v>226</v>
      </c>
      <c r="B126" s="60"/>
      <c r="C126" s="60" t="s">
        <v>66</v>
      </c>
      <c r="D126" t="s">
        <v>79</v>
      </c>
      <c r="E126">
        <v>309.83999999999997</v>
      </c>
      <c r="F126">
        <v>23.83</v>
      </c>
      <c r="G126">
        <v>12.8</v>
      </c>
      <c r="M126">
        <v>305</v>
      </c>
      <c r="O126">
        <v>309.83999999999997</v>
      </c>
      <c r="P126" s="59">
        <v>13.668480318096687</v>
      </c>
      <c r="S126">
        <v>5.1353520364799974E-11</v>
      </c>
      <c r="T126">
        <v>2.8800000000000004E-6</v>
      </c>
      <c r="U126" s="2">
        <f t="shared" si="38"/>
        <v>309840000</v>
      </c>
      <c r="V126" s="16">
        <f t="shared" si="39"/>
        <v>1.754729375261413</v>
      </c>
      <c r="W126" s="11">
        <f t="shared" si="40"/>
        <v>4.3868234381535323E-2</v>
      </c>
      <c r="X126" s="15">
        <f t="shared" si="41"/>
        <v>1754.729375261413</v>
      </c>
    </row>
    <row r="127" spans="1:24" s="64" customFormat="1">
      <c r="A127" s="63" t="s">
        <v>226</v>
      </c>
      <c r="B127" s="63"/>
      <c r="C127" s="63" t="s">
        <v>66</v>
      </c>
      <c r="D127" s="64" t="s">
        <v>83</v>
      </c>
      <c r="E127" s="64">
        <v>312.5</v>
      </c>
      <c r="F127" s="64">
        <v>30.35</v>
      </c>
      <c r="G127" s="64">
        <v>13.58</v>
      </c>
      <c r="M127" s="64">
        <v>412.32</v>
      </c>
      <c r="O127" s="64">
        <v>110.36</v>
      </c>
      <c r="P127" s="65">
        <v>10.254757218642997</v>
      </c>
      <c r="S127" s="64">
        <v>8.329894991999999E-11</v>
      </c>
      <c r="T127" s="64">
        <v>3.0554999999999998E-6</v>
      </c>
      <c r="U127" s="66">
        <f t="shared" si="38"/>
        <v>110360000</v>
      </c>
      <c r="V127" s="67">
        <f t="shared" si="39"/>
        <v>0.83976040634332649</v>
      </c>
      <c r="W127" s="68">
        <f t="shared" si="40"/>
        <v>2.0994010158583161E-2</v>
      </c>
      <c r="X127" s="69">
        <f t="shared" si="41"/>
        <v>839.76040634332651</v>
      </c>
    </row>
    <row r="128" spans="1:24">
      <c r="A128" s="61" t="s">
        <v>122</v>
      </c>
      <c r="C128" s="75" t="s">
        <v>66</v>
      </c>
      <c r="E128">
        <v>305</v>
      </c>
      <c r="M128">
        <v>120</v>
      </c>
      <c r="O128">
        <v>50</v>
      </c>
      <c r="S128">
        <v>1.2E-10</v>
      </c>
      <c r="T128">
        <v>2.939389811320755E-6</v>
      </c>
      <c r="U128" s="2">
        <f t="shared" ref="U128:U170" si="42">O128*10^6</f>
        <v>50000000</v>
      </c>
      <c r="V128" s="16">
        <f t="shared" ref="V128:V170" si="43">(U128*(0.0000249)*S128)/((0.02446*(T128+(PI()/2)*(SQRT(S128/PI())))))</f>
        <v>0.48293512235635533</v>
      </c>
      <c r="W128" s="11">
        <f t="shared" ref="W128:W170" si="44">(V128/0.04)/1000</f>
        <v>1.2073378058908884E-2</v>
      </c>
      <c r="X128" s="15">
        <f t="shared" ref="X128:X170" si="45">V128*1000</f>
        <v>482.93512235635535</v>
      </c>
    </row>
    <row r="129" spans="1:24">
      <c r="A129" s="61" t="s">
        <v>126</v>
      </c>
      <c r="C129" s="75" t="s">
        <v>66</v>
      </c>
      <c r="E129">
        <v>305</v>
      </c>
      <c r="M129">
        <v>206</v>
      </c>
      <c r="O129">
        <v>130</v>
      </c>
      <c r="S129">
        <v>2.0599999999999999E-10</v>
      </c>
      <c r="T129">
        <v>2.939389811320755E-6</v>
      </c>
      <c r="U129" s="2">
        <f t="shared" si="42"/>
        <v>130000000</v>
      </c>
      <c r="V129" s="16">
        <f t="shared" si="43"/>
        <v>1.7409471420662648</v>
      </c>
      <c r="W129" s="11">
        <f t="shared" si="44"/>
        <v>4.3523678551656612E-2</v>
      </c>
      <c r="X129" s="15">
        <f t="shared" si="45"/>
        <v>1740.9471420662649</v>
      </c>
    </row>
    <row r="130" spans="1:24">
      <c r="A130" s="61" t="s">
        <v>123</v>
      </c>
      <c r="C130" s="75" t="s">
        <v>66</v>
      </c>
      <c r="E130">
        <v>305</v>
      </c>
      <c r="M130">
        <v>250</v>
      </c>
      <c r="O130">
        <v>120</v>
      </c>
      <c r="S130">
        <v>2.5000000000000002E-10</v>
      </c>
      <c r="T130">
        <v>2.939389811320755E-6</v>
      </c>
      <c r="U130" s="2">
        <f t="shared" si="42"/>
        <v>120000000</v>
      </c>
      <c r="V130" s="16">
        <f t="shared" si="43"/>
        <v>1.8015511239372566</v>
      </c>
      <c r="W130" s="11">
        <f t="shared" si="44"/>
        <v>4.5038778098431417E-2</v>
      </c>
      <c r="X130" s="15">
        <f t="shared" si="45"/>
        <v>1801.5511239372565</v>
      </c>
    </row>
    <row r="131" spans="1:24">
      <c r="A131" s="61" t="s">
        <v>117</v>
      </c>
      <c r="C131" s="75" t="s">
        <v>66</v>
      </c>
      <c r="E131">
        <v>305</v>
      </c>
      <c r="M131">
        <v>206</v>
      </c>
      <c r="O131">
        <v>200</v>
      </c>
      <c r="S131">
        <v>2.0599999999999999E-10</v>
      </c>
      <c r="T131">
        <v>2.939389811320755E-6</v>
      </c>
      <c r="U131" s="2">
        <f t="shared" si="42"/>
        <v>200000000</v>
      </c>
      <c r="V131" s="16">
        <f t="shared" si="43"/>
        <v>2.678380218563484</v>
      </c>
      <c r="W131" s="11">
        <f t="shared" si="44"/>
        <v>6.6959505464087105E-2</v>
      </c>
      <c r="X131" s="15">
        <f t="shared" si="45"/>
        <v>2678.380218563484</v>
      </c>
    </row>
    <row r="132" spans="1:24">
      <c r="A132" s="61" t="s">
        <v>125</v>
      </c>
      <c r="C132" s="75" t="s">
        <v>66</v>
      </c>
      <c r="E132">
        <v>305</v>
      </c>
      <c r="M132">
        <v>200</v>
      </c>
      <c r="O132">
        <v>65</v>
      </c>
      <c r="S132">
        <v>2.0000000000000001E-10</v>
      </c>
      <c r="T132">
        <v>2.939389811320755E-6</v>
      </c>
      <c r="U132" s="2">
        <f t="shared" si="42"/>
        <v>65000000</v>
      </c>
      <c r="V132" s="16">
        <f t="shared" si="43"/>
        <v>0.85531262001185948</v>
      </c>
      <c r="W132" s="11">
        <f t="shared" si="44"/>
        <v>2.1382815500296488E-2</v>
      </c>
      <c r="X132" s="15">
        <f t="shared" si="45"/>
        <v>855.31262001185951</v>
      </c>
    </row>
    <row r="133" spans="1:24">
      <c r="A133" s="61" t="s">
        <v>114</v>
      </c>
      <c r="C133" s="75" t="s">
        <v>66</v>
      </c>
      <c r="E133">
        <v>305</v>
      </c>
      <c r="M133">
        <v>300</v>
      </c>
      <c r="O133">
        <v>113</v>
      </c>
      <c r="S133">
        <v>3E-10</v>
      </c>
      <c r="T133">
        <v>2.939389811320755E-6</v>
      </c>
      <c r="U133" s="2">
        <f t="shared" si="42"/>
        <v>113000000</v>
      </c>
      <c r="V133" s="16">
        <f t="shared" si="43"/>
        <v>1.8868863212032314</v>
      </c>
      <c r="W133" s="11">
        <f t="shared" si="44"/>
        <v>4.7172158030080784E-2</v>
      </c>
      <c r="X133" s="15">
        <f t="shared" si="45"/>
        <v>1886.8863212032313</v>
      </c>
    </row>
    <row r="134" spans="1:24">
      <c r="A134" s="61" t="s">
        <v>227</v>
      </c>
      <c r="C134" s="75" t="s">
        <v>66</v>
      </c>
      <c r="D134" t="s">
        <v>67</v>
      </c>
      <c r="E134">
        <v>303.77999999999997</v>
      </c>
      <c r="F134">
        <v>36.32</v>
      </c>
      <c r="G134">
        <v>20.21</v>
      </c>
      <c r="M134">
        <v>734.03</v>
      </c>
      <c r="O134">
        <v>220.82</v>
      </c>
      <c r="P134" s="59">
        <v>20.02</v>
      </c>
      <c r="S134">
        <v>1.1929268551679999E-10</v>
      </c>
      <c r="T134">
        <v>4.5472499999999995E-6</v>
      </c>
      <c r="U134" s="2">
        <f t="shared" si="42"/>
        <v>220820000</v>
      </c>
      <c r="V134" s="16">
        <f t="shared" si="43"/>
        <v>1.8849079554843509</v>
      </c>
      <c r="W134" s="11">
        <f t="shared" si="44"/>
        <v>4.7122698887108766E-2</v>
      </c>
      <c r="X134" s="15">
        <f t="shared" si="45"/>
        <v>1884.9079554843509</v>
      </c>
    </row>
    <row r="135" spans="1:24">
      <c r="A135" s="61" t="s">
        <v>227</v>
      </c>
      <c r="C135" s="75" t="s">
        <v>66</v>
      </c>
      <c r="D135" t="s">
        <v>70</v>
      </c>
      <c r="E135">
        <v>305.36</v>
      </c>
      <c r="F135">
        <v>31.72</v>
      </c>
      <c r="G135">
        <v>15.58</v>
      </c>
      <c r="M135">
        <v>494.2</v>
      </c>
      <c r="O135">
        <v>199.11</v>
      </c>
      <c r="P135" s="59">
        <v>17.260562540829412</v>
      </c>
      <c r="S135">
        <v>9.0988916428799969E-11</v>
      </c>
      <c r="T135">
        <v>3.5054999999999997E-6</v>
      </c>
      <c r="U135" s="2">
        <f t="shared" si="42"/>
        <v>199110000</v>
      </c>
      <c r="V135" s="16">
        <f t="shared" si="43"/>
        <v>1.5421539647363356</v>
      </c>
      <c r="W135" s="11">
        <f t="shared" si="44"/>
        <v>3.8553849118408388E-2</v>
      </c>
      <c r="X135" s="15">
        <f t="shared" si="45"/>
        <v>1542.1539647363356</v>
      </c>
    </row>
    <row r="136" spans="1:24">
      <c r="A136" s="61" t="s">
        <v>227</v>
      </c>
      <c r="C136" s="75" t="s">
        <v>66</v>
      </c>
      <c r="D136" t="s">
        <v>76</v>
      </c>
      <c r="E136">
        <v>307.33999999999997</v>
      </c>
      <c r="F136">
        <v>24.81</v>
      </c>
      <c r="G136">
        <v>13.15</v>
      </c>
      <c r="M136">
        <v>326.35000000000002</v>
      </c>
      <c r="O136">
        <v>242.38</v>
      </c>
      <c r="P136" s="59">
        <v>12.528173858120599</v>
      </c>
      <c r="S136">
        <v>5.566416059519999E-11</v>
      </c>
      <c r="T136">
        <v>2.9587500000000003E-6</v>
      </c>
      <c r="U136" s="2">
        <f t="shared" si="42"/>
        <v>242380000</v>
      </c>
      <c r="V136" s="16">
        <f t="shared" si="43"/>
        <v>1.4350578794872744</v>
      </c>
      <c r="W136" s="11">
        <f t="shared" si="44"/>
        <v>3.5876446987181856E-2</v>
      </c>
      <c r="X136" s="15">
        <f t="shared" si="45"/>
        <v>1435.0578794872745</v>
      </c>
    </row>
    <row r="137" spans="1:24">
      <c r="A137" s="61" t="s">
        <v>227</v>
      </c>
      <c r="C137" s="75" t="s">
        <v>66</v>
      </c>
      <c r="D137" t="s">
        <v>76</v>
      </c>
      <c r="E137">
        <v>307.33999999999997</v>
      </c>
      <c r="F137">
        <v>27.3</v>
      </c>
      <c r="G137">
        <v>13.58</v>
      </c>
      <c r="M137">
        <v>370.65</v>
      </c>
      <c r="O137">
        <v>223.99</v>
      </c>
      <c r="P137" s="59">
        <v>12.57</v>
      </c>
      <c r="S137">
        <v>6.7398065279999987E-11</v>
      </c>
      <c r="T137">
        <v>3.0554999999999998E-6</v>
      </c>
      <c r="U137" s="2">
        <f t="shared" si="42"/>
        <v>223990000</v>
      </c>
      <c r="V137" s="16">
        <f t="shared" si="43"/>
        <v>1.4875531791956433</v>
      </c>
      <c r="W137" s="11">
        <f t="shared" si="44"/>
        <v>3.7188829479891085E-2</v>
      </c>
      <c r="X137" s="15">
        <f t="shared" si="45"/>
        <v>1487.5531791956432</v>
      </c>
    </row>
    <row r="138" spans="1:24">
      <c r="A138" s="61" t="s">
        <v>227</v>
      </c>
      <c r="C138" s="75" t="s">
        <v>66</v>
      </c>
      <c r="D138" t="s">
        <v>76</v>
      </c>
      <c r="E138">
        <v>307.33999999999997</v>
      </c>
      <c r="F138">
        <v>22.74</v>
      </c>
      <c r="G138">
        <v>12.679600000000001</v>
      </c>
      <c r="M138">
        <v>288.29000000000002</v>
      </c>
      <c r="O138">
        <v>219.15</v>
      </c>
      <c r="P138" s="59">
        <v>11.16</v>
      </c>
      <c r="S138">
        <v>4.6763074483199984E-11</v>
      </c>
      <c r="T138">
        <v>2.8529100000000001E-6</v>
      </c>
      <c r="U138" s="2">
        <f t="shared" si="42"/>
        <v>219150000</v>
      </c>
      <c r="V138" s="16">
        <f t="shared" si="43"/>
        <v>1.1704468367381355</v>
      </c>
      <c r="W138" s="11">
        <f t="shared" si="44"/>
        <v>2.9261170918453389E-2</v>
      </c>
      <c r="X138" s="15">
        <f t="shared" si="45"/>
        <v>1170.4468367381355</v>
      </c>
    </row>
    <row r="139" spans="1:24">
      <c r="A139" s="61" t="s">
        <v>227</v>
      </c>
      <c r="C139" s="75" t="s">
        <v>66</v>
      </c>
      <c r="D139" t="s">
        <v>80</v>
      </c>
      <c r="E139">
        <v>311.63</v>
      </c>
      <c r="F139">
        <v>24.17</v>
      </c>
      <c r="G139">
        <v>11.12</v>
      </c>
      <c r="M139">
        <v>268.77</v>
      </c>
      <c r="O139">
        <v>205.75</v>
      </c>
      <c r="P139" s="59">
        <v>11.3031850981969</v>
      </c>
      <c r="S139">
        <v>5.2829370604800011E-11</v>
      </c>
      <c r="T139">
        <v>2.5019999999999995E-6</v>
      </c>
      <c r="U139" s="2">
        <f t="shared" si="42"/>
        <v>205750000</v>
      </c>
      <c r="V139" s="16">
        <f t="shared" si="43"/>
        <v>1.2372395609229059</v>
      </c>
      <c r="W139" s="11">
        <f t="shared" si="44"/>
        <v>3.0930989023072647E-2</v>
      </c>
      <c r="X139" s="15">
        <f t="shared" si="45"/>
        <v>1237.2395609229059</v>
      </c>
    </row>
    <row r="140" spans="1:24">
      <c r="A140" s="61" t="s">
        <v>227</v>
      </c>
      <c r="C140" s="75" t="s">
        <v>66</v>
      </c>
      <c r="D140" t="s">
        <v>80</v>
      </c>
      <c r="E140">
        <v>311.63</v>
      </c>
      <c r="F140">
        <v>21.62</v>
      </c>
      <c r="G140">
        <v>9.49</v>
      </c>
      <c r="M140">
        <v>205.17</v>
      </c>
      <c r="O140">
        <v>248.99</v>
      </c>
      <c r="P140" s="59">
        <v>12.572104743090165</v>
      </c>
      <c r="S140">
        <v>4.2270123340799989E-11</v>
      </c>
      <c r="T140">
        <v>2.13525E-6</v>
      </c>
      <c r="U140" s="2">
        <f t="shared" si="42"/>
        <v>248990000</v>
      </c>
      <c r="V140" s="16">
        <f t="shared" si="43"/>
        <v>1.3567219751279209</v>
      </c>
      <c r="W140" s="11">
        <f t="shared" si="44"/>
        <v>3.391804937819802E-2</v>
      </c>
      <c r="X140" s="15">
        <f t="shared" si="45"/>
        <v>1356.7219751279208</v>
      </c>
    </row>
    <row r="141" spans="1:24">
      <c r="A141" s="61" t="s">
        <v>227</v>
      </c>
      <c r="C141" s="75" t="s">
        <v>66</v>
      </c>
      <c r="D141" t="s">
        <v>80</v>
      </c>
      <c r="E141">
        <v>311.63</v>
      </c>
      <c r="F141">
        <v>23.08</v>
      </c>
      <c r="G141">
        <v>9.9</v>
      </c>
      <c r="M141">
        <v>228.49</v>
      </c>
      <c r="O141">
        <v>207.5</v>
      </c>
      <c r="P141" s="59">
        <v>11.524755072421025</v>
      </c>
      <c r="S141">
        <v>4.8171896524799979E-11</v>
      </c>
      <c r="T141">
        <v>2.2274999999999998E-6</v>
      </c>
      <c r="U141" s="2">
        <f t="shared" si="42"/>
        <v>207500000</v>
      </c>
      <c r="V141" s="16">
        <f t="shared" si="43"/>
        <v>1.2144827191784766</v>
      </c>
      <c r="W141" s="11">
        <f t="shared" si="44"/>
        <v>3.0362067979461917E-2</v>
      </c>
      <c r="X141" s="15">
        <f t="shared" si="45"/>
        <v>1214.4827191784766</v>
      </c>
    </row>
    <row r="142" spans="1:24">
      <c r="A142" s="61" t="s">
        <v>227</v>
      </c>
      <c r="C142" s="75" t="s">
        <v>66</v>
      </c>
      <c r="D142" t="s">
        <v>80</v>
      </c>
      <c r="E142">
        <v>311.63</v>
      </c>
      <c r="F142">
        <v>21.37</v>
      </c>
      <c r="G142">
        <v>9.5399999999999991</v>
      </c>
      <c r="M142">
        <v>203.87</v>
      </c>
      <c r="O142">
        <v>189.91</v>
      </c>
      <c r="P142" s="59">
        <v>11.360779794192336</v>
      </c>
      <c r="S142">
        <v>4.1298205420800006E-11</v>
      </c>
      <c r="T142">
        <v>2.1465000000000001E-6</v>
      </c>
      <c r="U142" s="2">
        <f t="shared" si="42"/>
        <v>189910000</v>
      </c>
      <c r="V142" s="16">
        <f t="shared" si="43"/>
        <v>1.0181471701871094</v>
      </c>
      <c r="W142" s="11">
        <f t="shared" si="44"/>
        <v>2.5453679254677734E-2</v>
      </c>
      <c r="X142" s="15">
        <f t="shared" si="45"/>
        <v>1018.1471701871094</v>
      </c>
    </row>
    <row r="143" spans="1:24">
      <c r="A143" s="61" t="s">
        <v>227</v>
      </c>
      <c r="C143" s="75" t="s">
        <v>66</v>
      </c>
      <c r="D143" t="s">
        <v>81</v>
      </c>
      <c r="E143">
        <v>311.63</v>
      </c>
      <c r="F143">
        <v>26.84</v>
      </c>
      <c r="G143">
        <v>16.04</v>
      </c>
      <c r="M143">
        <v>430.51</v>
      </c>
      <c r="O143">
        <v>212.65</v>
      </c>
      <c r="P143" s="59">
        <v>10.128711832341276</v>
      </c>
      <c r="S143">
        <v>6.5145910579199988E-11</v>
      </c>
      <c r="T143">
        <v>3.6089999999999997E-6</v>
      </c>
      <c r="U143" s="2">
        <f t="shared" si="42"/>
        <v>212650000</v>
      </c>
      <c r="V143" s="16">
        <f t="shared" si="43"/>
        <v>1.3103950879466986</v>
      </c>
      <c r="W143" s="11">
        <f t="shared" si="44"/>
        <v>3.2759877198667457E-2</v>
      </c>
      <c r="X143" s="15">
        <f t="shared" si="45"/>
        <v>1310.3950879466986</v>
      </c>
    </row>
    <row r="144" spans="1:24">
      <c r="A144" s="61" t="s">
        <v>227</v>
      </c>
      <c r="C144" s="75" t="s">
        <v>66</v>
      </c>
      <c r="D144" t="s">
        <v>81</v>
      </c>
      <c r="E144">
        <v>311.63</v>
      </c>
      <c r="F144">
        <v>28.84</v>
      </c>
      <c r="G144">
        <v>15.68</v>
      </c>
      <c r="M144">
        <v>452.21</v>
      </c>
      <c r="O144">
        <v>219</v>
      </c>
      <c r="P144" s="59">
        <v>11.159154159718984</v>
      </c>
      <c r="S144">
        <v>7.5216418099199984E-11</v>
      </c>
      <c r="T144">
        <v>3.5279999999999999E-6</v>
      </c>
      <c r="U144" s="2">
        <f t="shared" si="42"/>
        <v>219000000</v>
      </c>
      <c r="V144" s="16">
        <f t="shared" si="43"/>
        <v>1.4953350019792098</v>
      </c>
      <c r="W144" s="11">
        <f t="shared" si="44"/>
        <v>3.7383375049480243E-2</v>
      </c>
      <c r="X144" s="15">
        <f t="shared" si="45"/>
        <v>1495.3350019792097</v>
      </c>
    </row>
    <row r="145" spans="1:24">
      <c r="A145" s="61" t="s">
        <v>227</v>
      </c>
      <c r="C145" s="75" t="s">
        <v>66</v>
      </c>
      <c r="D145" t="s">
        <v>81</v>
      </c>
      <c r="E145">
        <v>311.63</v>
      </c>
      <c r="F145">
        <v>29.06</v>
      </c>
      <c r="G145">
        <v>15.92</v>
      </c>
      <c r="M145">
        <v>462.64</v>
      </c>
      <c r="O145">
        <v>238.47</v>
      </c>
      <c r="P145" s="59">
        <v>12.162149285642059</v>
      </c>
      <c r="S145">
        <v>7.6368340915199973E-11</v>
      </c>
      <c r="T145">
        <v>3.5819999999999998E-6</v>
      </c>
      <c r="U145" s="2">
        <f t="shared" si="42"/>
        <v>238470000</v>
      </c>
      <c r="V145" s="16">
        <f t="shared" si="43"/>
        <v>1.6367737154681086</v>
      </c>
      <c r="W145" s="11">
        <f t="shared" si="44"/>
        <v>4.0919342886702716E-2</v>
      </c>
      <c r="X145" s="15">
        <f t="shared" si="45"/>
        <v>1636.7737154681085</v>
      </c>
    </row>
    <row r="146" spans="1:24">
      <c r="A146" s="61" t="s">
        <v>227</v>
      </c>
      <c r="C146" s="75" t="s">
        <v>66</v>
      </c>
      <c r="D146" t="s">
        <v>82</v>
      </c>
      <c r="E146">
        <v>311.63</v>
      </c>
      <c r="F146">
        <v>28.74</v>
      </c>
      <c r="G146">
        <v>13.52</v>
      </c>
      <c r="M146">
        <v>388.46</v>
      </c>
      <c r="O146">
        <v>212.09</v>
      </c>
      <c r="P146" s="59">
        <v>18.807395403140092</v>
      </c>
      <c r="S146">
        <v>7.4695710643199996E-11</v>
      </c>
      <c r="T146">
        <v>3.0419999999999998E-6</v>
      </c>
      <c r="U146" s="2">
        <f t="shared" si="42"/>
        <v>212090000</v>
      </c>
      <c r="V146" s="16">
        <f t="shared" si="43"/>
        <v>1.5070219160931035</v>
      </c>
      <c r="W146" s="11">
        <f t="shared" si="44"/>
        <v>3.7675547902327584E-2</v>
      </c>
      <c r="X146" s="15">
        <f t="shared" si="45"/>
        <v>1507.0219160931035</v>
      </c>
    </row>
    <row r="147" spans="1:24">
      <c r="A147" s="61" t="s">
        <v>228</v>
      </c>
      <c r="C147" s="75" t="s">
        <v>66</v>
      </c>
      <c r="D147" t="s">
        <v>71</v>
      </c>
      <c r="E147">
        <v>305.8</v>
      </c>
      <c r="F147">
        <v>20.87</v>
      </c>
      <c r="G147">
        <v>9.85</v>
      </c>
      <c r="M147">
        <v>205.52</v>
      </c>
      <c r="O147">
        <v>260.7</v>
      </c>
      <c r="P147" s="59">
        <v>15.349769954765801</v>
      </c>
      <c r="S147">
        <v>3.938828158079999E-11</v>
      </c>
      <c r="T147">
        <v>2.2162499999999997E-6</v>
      </c>
      <c r="U147" s="2">
        <f t="shared" si="42"/>
        <v>260700000</v>
      </c>
      <c r="V147" s="16">
        <f t="shared" si="43"/>
        <v>1.3439121142468928</v>
      </c>
      <c r="W147" s="11">
        <f t="shared" si="44"/>
        <v>3.3597802856172324E-2</v>
      </c>
      <c r="X147" s="15">
        <f t="shared" si="45"/>
        <v>1343.9121142468928</v>
      </c>
    </row>
    <row r="148" spans="1:24">
      <c r="A148" s="61" t="s">
        <v>228</v>
      </c>
      <c r="C148" s="75" t="s">
        <v>66</v>
      </c>
      <c r="D148" t="s">
        <v>71</v>
      </c>
      <c r="E148">
        <v>305.8</v>
      </c>
      <c r="F148">
        <v>20.010000000000002</v>
      </c>
      <c r="G148">
        <v>8.7899999999999991</v>
      </c>
      <c r="M148">
        <v>175.76</v>
      </c>
      <c r="O148">
        <v>223.65</v>
      </c>
      <c r="P148" s="59">
        <v>14.071664222873899</v>
      </c>
      <c r="S148">
        <v>3.6208981843200002E-11</v>
      </c>
      <c r="T148">
        <v>1.9777499999999998E-6</v>
      </c>
      <c r="U148" s="2">
        <f t="shared" si="42"/>
        <v>223650000</v>
      </c>
      <c r="V148" s="16">
        <f t="shared" si="43"/>
        <v>1.1276638606088125</v>
      </c>
      <c r="W148" s="11">
        <f t="shared" si="44"/>
        <v>2.819159651522031E-2</v>
      </c>
      <c r="X148" s="15">
        <f t="shared" si="45"/>
        <v>1127.6638606088125</v>
      </c>
    </row>
    <row r="149" spans="1:24">
      <c r="A149" s="61" t="s">
        <v>228</v>
      </c>
      <c r="C149" s="75" t="s">
        <v>66</v>
      </c>
      <c r="D149" t="s">
        <v>73</v>
      </c>
      <c r="E149">
        <v>306.69</v>
      </c>
      <c r="F149">
        <v>20.149999999999999</v>
      </c>
      <c r="G149">
        <v>7.98</v>
      </c>
      <c r="M149">
        <v>160.72</v>
      </c>
      <c r="O149">
        <v>224.33</v>
      </c>
      <c r="P149" s="59">
        <v>12.592954990215263</v>
      </c>
      <c r="S149">
        <v>3.6717426719999988E-11</v>
      </c>
      <c r="T149">
        <v>1.7955E-6</v>
      </c>
      <c r="U149" s="2">
        <f t="shared" si="42"/>
        <v>224330000</v>
      </c>
      <c r="V149" s="16">
        <f t="shared" si="43"/>
        <v>1.1701752575294986</v>
      </c>
      <c r="W149" s="11">
        <f t="shared" si="44"/>
        <v>2.9254381438237463E-2</v>
      </c>
      <c r="X149" s="15">
        <f t="shared" si="45"/>
        <v>1170.1752575294986</v>
      </c>
    </row>
    <row r="150" spans="1:24">
      <c r="A150" s="61" t="s">
        <v>228</v>
      </c>
      <c r="C150" s="75" t="s">
        <v>66</v>
      </c>
      <c r="D150" t="s">
        <v>73</v>
      </c>
      <c r="E150">
        <v>306.69</v>
      </c>
      <c r="F150">
        <v>23.6</v>
      </c>
      <c r="G150">
        <v>10.199999999999999</v>
      </c>
      <c r="M150">
        <v>240.81</v>
      </c>
      <c r="O150">
        <v>191.52</v>
      </c>
      <c r="P150" s="59">
        <v>11.240344822434375</v>
      </c>
      <c r="S150">
        <v>5.036700671999999E-11</v>
      </c>
      <c r="T150">
        <v>2.2949999999999996E-6</v>
      </c>
      <c r="U150" s="2">
        <f t="shared" si="42"/>
        <v>191520000</v>
      </c>
      <c r="V150" s="16">
        <f t="shared" si="43"/>
        <v>1.1438966271783517</v>
      </c>
      <c r="W150" s="11">
        <f t="shared" si="44"/>
        <v>2.8597415679458792E-2</v>
      </c>
      <c r="X150" s="15">
        <f t="shared" si="45"/>
        <v>1143.8966271783518</v>
      </c>
    </row>
    <row r="151" spans="1:24">
      <c r="A151" s="61" t="s">
        <v>228</v>
      </c>
      <c r="C151" s="75" t="s">
        <v>66</v>
      </c>
      <c r="D151" t="s">
        <v>76</v>
      </c>
      <c r="E151">
        <v>307.33999999999997</v>
      </c>
      <c r="F151">
        <v>25.96</v>
      </c>
      <c r="G151">
        <v>10.62</v>
      </c>
      <c r="M151">
        <v>275.61</v>
      </c>
      <c r="O151">
        <v>219.16</v>
      </c>
      <c r="P151" s="59">
        <v>16.12</v>
      </c>
      <c r="S151">
        <v>6.0944078131200022E-11</v>
      </c>
      <c r="T151">
        <v>2.3894999999999997E-6</v>
      </c>
      <c r="U151" s="2">
        <f t="shared" si="42"/>
        <v>219160000</v>
      </c>
      <c r="V151" s="16">
        <f t="shared" si="43"/>
        <v>1.4607646537614314</v>
      </c>
      <c r="W151" s="11">
        <f t="shared" si="44"/>
        <v>3.651911634403579E-2</v>
      </c>
      <c r="X151" s="15">
        <f t="shared" si="45"/>
        <v>1460.7646537614314</v>
      </c>
    </row>
    <row r="152" spans="1:24">
      <c r="A152" s="61" t="s">
        <v>229</v>
      </c>
      <c r="C152" s="75" t="s">
        <v>66</v>
      </c>
      <c r="D152" t="s">
        <v>68</v>
      </c>
      <c r="E152">
        <v>303.85000000000002</v>
      </c>
      <c r="F152">
        <v>26.47</v>
      </c>
      <c r="G152">
        <v>10.46</v>
      </c>
      <c r="M152">
        <v>276.88</v>
      </c>
      <c r="O152">
        <v>268.95999999999998</v>
      </c>
      <c r="P152" s="59">
        <v>20.753151578028699</v>
      </c>
      <c r="S152">
        <v>6.3362166508799982E-11</v>
      </c>
      <c r="T152">
        <v>2.3535000000000004E-6</v>
      </c>
      <c r="U152" s="2">
        <f t="shared" si="42"/>
        <v>268960000</v>
      </c>
      <c r="V152" s="16">
        <f t="shared" si="43"/>
        <v>1.8440301397799952</v>
      </c>
      <c r="W152" s="11">
        <f t="shared" si="44"/>
        <v>4.610075349449988E-2</v>
      </c>
      <c r="X152" s="15">
        <f t="shared" si="45"/>
        <v>1844.0301397799951</v>
      </c>
    </row>
    <row r="153" spans="1:24">
      <c r="A153" s="61" t="s">
        <v>121</v>
      </c>
      <c r="C153" s="75" t="s">
        <v>66</v>
      </c>
      <c r="E153">
        <v>305</v>
      </c>
      <c r="M153">
        <v>360</v>
      </c>
      <c r="O153">
        <v>28</v>
      </c>
      <c r="S153">
        <v>3.6E-10</v>
      </c>
      <c r="T153">
        <v>2.939389811320755E-6</v>
      </c>
      <c r="U153" s="2">
        <f t="shared" si="42"/>
        <v>28000000</v>
      </c>
      <c r="V153" s="16">
        <f t="shared" si="43"/>
        <v>0.51944597618249522</v>
      </c>
      <c r="W153" s="11">
        <f t="shared" si="44"/>
        <v>1.2986149404562379E-2</v>
      </c>
      <c r="X153" s="15">
        <f t="shared" si="45"/>
        <v>519.4459761824952</v>
      </c>
    </row>
    <row r="154" spans="1:24">
      <c r="A154" s="61" t="s">
        <v>120</v>
      </c>
      <c r="C154" s="75" t="s">
        <v>66</v>
      </c>
      <c r="E154">
        <v>305</v>
      </c>
      <c r="M154">
        <v>300</v>
      </c>
      <c r="O154">
        <v>90</v>
      </c>
      <c r="S154">
        <v>3E-10</v>
      </c>
      <c r="T154">
        <v>2.939389811320755E-6</v>
      </c>
      <c r="U154" s="2">
        <f t="shared" si="42"/>
        <v>90000000</v>
      </c>
      <c r="V154" s="16">
        <f t="shared" si="43"/>
        <v>1.5028298133477065</v>
      </c>
      <c r="W154" s="11">
        <f t="shared" si="44"/>
        <v>3.7570745333692666E-2</v>
      </c>
      <c r="X154" s="15">
        <f t="shared" si="45"/>
        <v>1502.8298133477065</v>
      </c>
    </row>
    <row r="155" spans="1:24">
      <c r="A155" s="61" t="s">
        <v>119</v>
      </c>
      <c r="C155" s="75" t="s">
        <v>66</v>
      </c>
      <c r="E155">
        <v>305</v>
      </c>
      <c r="M155">
        <v>300</v>
      </c>
      <c r="O155">
        <v>140</v>
      </c>
      <c r="S155">
        <v>3E-10</v>
      </c>
      <c r="T155">
        <v>2.939389811320755E-6</v>
      </c>
      <c r="U155" s="2">
        <f t="shared" si="42"/>
        <v>140000000</v>
      </c>
      <c r="V155" s="16">
        <f t="shared" si="43"/>
        <v>2.3377352652075434</v>
      </c>
      <c r="W155" s="11">
        <f t="shared" si="44"/>
        <v>5.8443381630188584E-2</v>
      </c>
      <c r="X155" s="15">
        <f t="shared" si="45"/>
        <v>2337.7352652075433</v>
      </c>
    </row>
    <row r="156" spans="1:24">
      <c r="A156" s="61" t="s">
        <v>124</v>
      </c>
      <c r="C156" s="75" t="s">
        <v>66</v>
      </c>
      <c r="E156">
        <v>305</v>
      </c>
      <c r="M156">
        <v>200</v>
      </c>
      <c r="O156">
        <v>90</v>
      </c>
      <c r="S156">
        <v>2.0000000000000001E-10</v>
      </c>
      <c r="T156">
        <v>2.939389811320755E-6</v>
      </c>
      <c r="U156" s="2">
        <f t="shared" si="42"/>
        <v>90000000</v>
      </c>
      <c r="V156" s="16">
        <f t="shared" si="43"/>
        <v>1.1842790123241131</v>
      </c>
      <c r="W156" s="11">
        <f t="shared" si="44"/>
        <v>2.9606975308102829E-2</v>
      </c>
      <c r="X156" s="15">
        <f t="shared" si="45"/>
        <v>1184.2790123241132</v>
      </c>
    </row>
    <row r="157" spans="1:24">
      <c r="A157" s="61" t="s">
        <v>128</v>
      </c>
      <c r="C157" s="75" t="s">
        <v>66</v>
      </c>
      <c r="E157">
        <v>305</v>
      </c>
      <c r="M157">
        <v>404</v>
      </c>
      <c r="O157">
        <v>180</v>
      </c>
      <c r="S157">
        <v>4.04E-10</v>
      </c>
      <c r="T157">
        <v>2.939389811320755E-6</v>
      </c>
      <c r="U157" s="2">
        <f t="shared" si="42"/>
        <v>180000000</v>
      </c>
      <c r="V157" s="16">
        <f t="shared" si="43"/>
        <v>3.5672199491768528</v>
      </c>
      <c r="W157" s="11">
        <f t="shared" si="44"/>
        <v>8.9180498729421312E-2</v>
      </c>
      <c r="X157" s="15">
        <f t="shared" si="45"/>
        <v>3567.2199491768529</v>
      </c>
    </row>
    <row r="158" spans="1:24">
      <c r="A158" s="61" t="s">
        <v>129</v>
      </c>
      <c r="C158" s="75" t="s">
        <v>66</v>
      </c>
      <c r="E158">
        <v>305</v>
      </c>
      <c r="M158">
        <v>206</v>
      </c>
      <c r="O158">
        <v>180</v>
      </c>
      <c r="S158">
        <v>2.0599999999999999E-10</v>
      </c>
      <c r="T158">
        <v>2.939389811320755E-6</v>
      </c>
      <c r="U158" s="2">
        <f t="shared" si="42"/>
        <v>180000000</v>
      </c>
      <c r="V158" s="16">
        <f t="shared" si="43"/>
        <v>2.4105421967071354</v>
      </c>
      <c r="W158" s="11">
        <f t="shared" si="44"/>
        <v>6.0263554917678382E-2</v>
      </c>
      <c r="X158" s="15">
        <f t="shared" si="45"/>
        <v>2410.5421967071356</v>
      </c>
    </row>
    <row r="159" spans="1:24">
      <c r="A159" s="61" t="s">
        <v>127</v>
      </c>
      <c r="C159" s="75" t="s">
        <v>66</v>
      </c>
      <c r="E159">
        <v>305</v>
      </c>
      <c r="M159">
        <v>297</v>
      </c>
      <c r="O159">
        <v>91</v>
      </c>
      <c r="S159">
        <v>2.9700000000000001E-10</v>
      </c>
      <c r="T159">
        <v>2.939389811320755E-6</v>
      </c>
      <c r="U159" s="2">
        <f t="shared" si="42"/>
        <v>91000000</v>
      </c>
      <c r="V159" s="16">
        <f t="shared" si="43"/>
        <v>1.5106880497535138</v>
      </c>
      <c r="W159" s="11">
        <f t="shared" si="44"/>
        <v>3.7767201243837846E-2</v>
      </c>
      <c r="X159" s="15">
        <f t="shared" si="45"/>
        <v>1510.6880497535137</v>
      </c>
    </row>
    <row r="160" spans="1:24" s="64" customFormat="1">
      <c r="A160" s="74" t="s">
        <v>118</v>
      </c>
      <c r="C160" s="77" t="s">
        <v>66</v>
      </c>
      <c r="E160" s="64">
        <v>305</v>
      </c>
      <c r="M160" s="64">
        <v>206</v>
      </c>
      <c r="O160" s="64">
        <v>300</v>
      </c>
      <c r="S160" s="64">
        <v>2.0599999999999999E-10</v>
      </c>
      <c r="T160" s="64">
        <v>2.939389811320755E-6</v>
      </c>
      <c r="U160" s="66">
        <f t="shared" si="42"/>
        <v>300000000</v>
      </c>
      <c r="V160" s="67">
        <f t="shared" si="43"/>
        <v>4.0175703278452257</v>
      </c>
      <c r="W160" s="68">
        <f t="shared" si="44"/>
        <v>0.10043925819613064</v>
      </c>
      <c r="X160" s="69">
        <f t="shared" si="45"/>
        <v>4017.5703278452256</v>
      </c>
    </row>
    <row r="161" spans="1:25">
      <c r="A161" s="62" t="s">
        <v>113</v>
      </c>
      <c r="B161" s="62"/>
      <c r="C161" s="62" t="s">
        <v>66</v>
      </c>
      <c r="E161">
        <v>305</v>
      </c>
      <c r="M161">
        <v>300</v>
      </c>
      <c r="O161">
        <v>300</v>
      </c>
      <c r="S161">
        <v>3E-10</v>
      </c>
      <c r="T161">
        <v>2.939389811320755E-6</v>
      </c>
      <c r="U161" s="2">
        <f t="shared" si="42"/>
        <v>300000000</v>
      </c>
      <c r="V161" s="16">
        <f t="shared" si="43"/>
        <v>5.0094327111590209</v>
      </c>
      <c r="W161" s="11">
        <f t="shared" si="44"/>
        <v>0.12523581777897552</v>
      </c>
      <c r="X161" s="15">
        <f t="shared" si="45"/>
        <v>5009.432711159021</v>
      </c>
    </row>
    <row r="162" spans="1:25">
      <c r="A162" s="62" t="s">
        <v>136</v>
      </c>
      <c r="B162" s="62"/>
      <c r="C162" s="62" t="s">
        <v>66</v>
      </c>
      <c r="E162">
        <v>305</v>
      </c>
      <c r="M162">
        <v>425</v>
      </c>
      <c r="O162">
        <v>28</v>
      </c>
      <c r="S162">
        <v>4.2499999999999998E-10</v>
      </c>
      <c r="T162">
        <v>2.939389811320755E-6</v>
      </c>
      <c r="U162" s="2">
        <f t="shared" si="42"/>
        <v>28000000</v>
      </c>
      <c r="V162" s="16">
        <f t="shared" si="43"/>
        <v>0.57116415233478079</v>
      </c>
      <c r="W162" s="11">
        <f t="shared" si="44"/>
        <v>1.427910380836952E-2</v>
      </c>
      <c r="X162" s="15">
        <f t="shared" si="45"/>
        <v>571.16415233478074</v>
      </c>
    </row>
    <row r="163" spans="1:25">
      <c r="A163" s="62" t="s">
        <v>133</v>
      </c>
      <c r="B163" s="62"/>
      <c r="C163" s="62" t="s">
        <v>66</v>
      </c>
      <c r="E163">
        <v>305</v>
      </c>
      <c r="M163">
        <v>200</v>
      </c>
      <c r="O163">
        <v>200</v>
      </c>
      <c r="S163">
        <v>2.0000000000000001E-10</v>
      </c>
      <c r="T163">
        <v>2.939389811320755E-6</v>
      </c>
      <c r="U163" s="2">
        <f t="shared" si="42"/>
        <v>200000000</v>
      </c>
      <c r="V163" s="16">
        <f t="shared" si="43"/>
        <v>2.6317311384980293</v>
      </c>
      <c r="W163" s="11">
        <f t="shared" si="44"/>
        <v>6.5793278462450727E-2</v>
      </c>
      <c r="X163" s="15">
        <f t="shared" si="45"/>
        <v>2631.7311384980294</v>
      </c>
    </row>
    <row r="164" spans="1:25">
      <c r="A164" s="62" t="s">
        <v>131</v>
      </c>
      <c r="B164" s="62"/>
      <c r="C164" s="62" t="s">
        <v>66</v>
      </c>
      <c r="E164">
        <v>305</v>
      </c>
      <c r="M164">
        <v>616</v>
      </c>
      <c r="O164">
        <v>250</v>
      </c>
      <c r="S164">
        <v>6.1599999999999994E-10</v>
      </c>
      <c r="T164">
        <v>2.939389811320755E-6</v>
      </c>
      <c r="U164" s="2">
        <f t="shared" si="42"/>
        <v>250000000</v>
      </c>
      <c r="V164" s="16">
        <f t="shared" si="43"/>
        <v>6.2871652551600654</v>
      </c>
      <c r="W164" s="11">
        <f t="shared" si="44"/>
        <v>0.15717913137900164</v>
      </c>
      <c r="X164" s="15">
        <f t="shared" si="45"/>
        <v>6287.1652551600655</v>
      </c>
    </row>
    <row r="165" spans="1:25">
      <c r="A165" s="62" t="s">
        <v>130</v>
      </c>
      <c r="B165" s="62"/>
      <c r="C165" s="62" t="s">
        <v>66</v>
      </c>
      <c r="E165">
        <v>305</v>
      </c>
      <c r="M165">
        <v>702</v>
      </c>
      <c r="O165">
        <v>472</v>
      </c>
      <c r="S165">
        <v>7.0199999999999995E-10</v>
      </c>
      <c r="T165">
        <v>2.939389811320755E-6</v>
      </c>
      <c r="U165" s="2">
        <f t="shared" si="42"/>
        <v>472000000</v>
      </c>
      <c r="V165" s="16">
        <f t="shared" si="43"/>
        <v>12.76690221397835</v>
      </c>
      <c r="W165" s="11">
        <f t="shared" si="44"/>
        <v>0.31917255534945871</v>
      </c>
      <c r="X165" s="15">
        <f t="shared" si="45"/>
        <v>12766.90221397835</v>
      </c>
    </row>
    <row r="166" spans="1:25">
      <c r="A166" s="62" t="s">
        <v>132</v>
      </c>
      <c r="B166" s="62"/>
      <c r="C166" s="62" t="s">
        <v>66</v>
      </c>
      <c r="E166">
        <v>305</v>
      </c>
      <c r="M166">
        <v>1650</v>
      </c>
      <c r="O166">
        <v>310</v>
      </c>
      <c r="S166">
        <v>1.6499999999999999E-9</v>
      </c>
      <c r="T166">
        <v>2.939389811320755E-6</v>
      </c>
      <c r="U166" s="2">
        <f t="shared" si="42"/>
        <v>310000000</v>
      </c>
      <c r="V166" s="16">
        <f t="shared" si="43"/>
        <v>13.372536808215024</v>
      </c>
      <c r="W166" s="11">
        <f t="shared" si="44"/>
        <v>0.33431342020537563</v>
      </c>
      <c r="X166" s="15">
        <f t="shared" si="45"/>
        <v>13372.536808215023</v>
      </c>
    </row>
    <row r="167" spans="1:25">
      <c r="A167" s="62" t="s">
        <v>115</v>
      </c>
      <c r="B167" s="62"/>
      <c r="C167" s="62" t="s">
        <v>66</v>
      </c>
      <c r="E167">
        <v>305</v>
      </c>
      <c r="M167">
        <v>250</v>
      </c>
      <c r="O167">
        <v>325</v>
      </c>
      <c r="S167">
        <v>2.5000000000000002E-10</v>
      </c>
      <c r="T167">
        <v>2.939389811320755E-6</v>
      </c>
      <c r="U167" s="2">
        <f t="shared" si="42"/>
        <v>325000000</v>
      </c>
      <c r="V167" s="16">
        <f t="shared" si="43"/>
        <v>4.8792009606634039</v>
      </c>
      <c r="W167" s="11">
        <f t="shared" si="44"/>
        <v>0.12198002401658509</v>
      </c>
      <c r="X167" s="15">
        <f t="shared" si="45"/>
        <v>4879.2009606634037</v>
      </c>
    </row>
    <row r="168" spans="1:25">
      <c r="A168" s="62" t="s">
        <v>134</v>
      </c>
      <c r="B168" s="62"/>
      <c r="C168" s="62" t="s">
        <v>66</v>
      </c>
      <c r="E168">
        <v>305</v>
      </c>
      <c r="M168">
        <v>450</v>
      </c>
      <c r="O168">
        <v>370</v>
      </c>
      <c r="S168">
        <v>4.5E-10</v>
      </c>
      <c r="T168">
        <v>2.939389811320755E-6</v>
      </c>
      <c r="U168" s="2">
        <f t="shared" si="42"/>
        <v>370000000</v>
      </c>
      <c r="V168" s="16">
        <f t="shared" si="43"/>
        <v>7.7967845698705105</v>
      </c>
      <c r="W168" s="11">
        <f t="shared" si="44"/>
        <v>0.19491961424676277</v>
      </c>
      <c r="X168" s="15">
        <f t="shared" si="45"/>
        <v>7796.7845698705105</v>
      </c>
    </row>
    <row r="169" spans="1:25">
      <c r="A169" s="62" t="s">
        <v>135</v>
      </c>
      <c r="B169" s="62"/>
      <c r="C169" s="62" t="s">
        <v>66</v>
      </c>
      <c r="E169">
        <v>305</v>
      </c>
      <c r="M169">
        <v>400</v>
      </c>
      <c r="O169">
        <v>91</v>
      </c>
      <c r="S169">
        <v>4.0000000000000001E-10</v>
      </c>
      <c r="T169">
        <v>2.939389811320755E-6</v>
      </c>
      <c r="U169" s="2">
        <f t="shared" si="42"/>
        <v>91000000</v>
      </c>
      <c r="V169" s="16">
        <f t="shared" si="43"/>
        <v>1.7932109880175746</v>
      </c>
      <c r="W169" s="11">
        <f t="shared" si="44"/>
        <v>4.4830274700439363E-2</v>
      </c>
      <c r="X169" s="15">
        <f t="shared" si="45"/>
        <v>1793.2109880175747</v>
      </c>
    </row>
    <row r="170" spans="1:25" s="64" customFormat="1">
      <c r="A170" s="76" t="s">
        <v>116</v>
      </c>
      <c r="B170" s="76"/>
      <c r="C170" s="76" t="s">
        <v>66</v>
      </c>
      <c r="E170" s="64">
        <v>305</v>
      </c>
      <c r="M170" s="64">
        <v>360</v>
      </c>
      <c r="O170" s="64">
        <v>300</v>
      </c>
      <c r="S170" s="64">
        <v>3.6E-10</v>
      </c>
      <c r="T170" s="64">
        <v>2.939389811320755E-6</v>
      </c>
      <c r="U170" s="66">
        <f t="shared" si="42"/>
        <v>300000000</v>
      </c>
      <c r="V170" s="67">
        <f t="shared" si="43"/>
        <v>5.5654926019553077</v>
      </c>
      <c r="W170" s="68">
        <f t="shared" si="44"/>
        <v>0.13913731504888269</v>
      </c>
      <c r="X170" s="69">
        <f t="shared" si="45"/>
        <v>5565.4926019553077</v>
      </c>
    </row>
    <row r="171" spans="1:25">
      <c r="A171" s="83" t="s">
        <v>232</v>
      </c>
      <c r="B171" s="84"/>
      <c r="C171" s="83" t="s">
        <v>237</v>
      </c>
      <c r="U171" s="2"/>
      <c r="V171" s="16"/>
      <c r="W171" s="11">
        <v>9.1253045315937819E-3</v>
      </c>
      <c r="X171" s="15">
        <v>365.0121812637513</v>
      </c>
      <c r="Y171" t="s">
        <v>233</v>
      </c>
    </row>
    <row r="172" spans="1:25">
      <c r="A172" s="83" t="s">
        <v>234</v>
      </c>
      <c r="B172" s="84"/>
      <c r="C172" s="83" t="s">
        <v>237</v>
      </c>
      <c r="E172">
        <v>301</v>
      </c>
      <c r="U172" s="2"/>
      <c r="V172" s="16"/>
      <c r="W172" s="11">
        <v>5.5205031676849314E-3</v>
      </c>
      <c r="X172" s="15">
        <v>220.82012670739726</v>
      </c>
      <c r="Y172" t="s">
        <v>235</v>
      </c>
    </row>
    <row r="173" spans="1:25">
      <c r="A173" s="83" t="s">
        <v>236</v>
      </c>
      <c r="B173" s="84"/>
      <c r="C173" s="83" t="s">
        <v>237</v>
      </c>
      <c r="U173" s="2"/>
      <c r="V173" s="16"/>
      <c r="W173" s="11">
        <v>9.3282987829917969E-3</v>
      </c>
      <c r="X173" s="15">
        <v>373.13195131967188</v>
      </c>
    </row>
    <row r="174" spans="1:25" s="64" customFormat="1">
      <c r="A174" s="86" t="s">
        <v>239</v>
      </c>
      <c r="B174" s="86"/>
      <c r="C174" s="86"/>
      <c r="I174" s="64">
        <v>5.625</v>
      </c>
      <c r="K174" s="64">
        <v>3.75</v>
      </c>
      <c r="M174" s="71">
        <f>PI()*I174/2*K174/2</f>
        <v>16.566992509164926</v>
      </c>
      <c r="O174" s="87">
        <f>8/(15695.3125*0.000001)</f>
        <v>509.70632155301149</v>
      </c>
      <c r="S174" s="64">
        <f>M174*0.000000000001</f>
        <v>1.6566992509164925E-11</v>
      </c>
      <c r="T174" s="66">
        <v>4.4313931644456238E-6</v>
      </c>
      <c r="U174" s="66">
        <f>O174*10^6</f>
        <v>509706321.55301148</v>
      </c>
      <c r="V174" s="67">
        <f>(U174*(0.0000249)*S174)/((0.02446*(T174+(PI()/2)*(SQRT(S174/PI())))))</f>
        <v>1.0693702209475713</v>
      </c>
      <c r="W174" s="68">
        <f>(V174/0.04)/1000</f>
        <v>2.6734255523689281E-2</v>
      </c>
      <c r="X174" s="69">
        <f>V174*1000</f>
        <v>1069.3702209475712</v>
      </c>
      <c r="Y174" s="64" t="s">
        <v>240</v>
      </c>
    </row>
    <row r="175" spans="1:25">
      <c r="A175" s="85" t="s">
        <v>238</v>
      </c>
      <c r="B175" s="85"/>
      <c r="C175" s="85" t="s">
        <v>231</v>
      </c>
      <c r="F175">
        <v>22.962962962962962</v>
      </c>
      <c r="G175">
        <v>18.518518518518519</v>
      </c>
      <c r="I175">
        <v>15.555555555555555</v>
      </c>
      <c r="K175">
        <v>5.185185185185186</v>
      </c>
      <c r="M175" s="17">
        <f>PI()*I175/2*K175/2</f>
        <v>63.348987664979383</v>
      </c>
      <c r="O175">
        <v>569.53124999999989</v>
      </c>
      <c r="S175">
        <f>M175*0.000000000001</f>
        <v>6.3348987664979383E-11</v>
      </c>
      <c r="T175" s="2">
        <v>4.4313931644456238E-6</v>
      </c>
      <c r="U175" s="2">
        <f>O175*10^6</f>
        <v>569531249.99999988</v>
      </c>
      <c r="V175" s="16">
        <f>(U175*(0.0000249)*S175)/((0.02446*(T175+(PI()/2)*(SQRT(S175/PI())))))</f>
        <v>3.1979153505319831</v>
      </c>
      <c r="W175" s="11">
        <f>(V175/0.04)/1000</f>
        <v>7.9947883763299574E-2</v>
      </c>
      <c r="X175" s="15">
        <f>V175*1000</f>
        <v>3197.9153505319832</v>
      </c>
      <c r="Y175" t="s">
        <v>230</v>
      </c>
    </row>
    <row r="176" spans="1:25">
      <c r="A176" s="85" t="s">
        <v>238</v>
      </c>
      <c r="B176" s="85"/>
      <c r="C176" s="85" t="s">
        <v>231</v>
      </c>
      <c r="F176">
        <v>28.888888888888889</v>
      </c>
      <c r="G176">
        <v>14.814814814814817</v>
      </c>
      <c r="I176">
        <v>23.703703703703706</v>
      </c>
      <c r="K176">
        <v>4.4444444444444446</v>
      </c>
      <c r="M176" s="17">
        <f>PI()*I176/2*K176/2</f>
        <v>82.741534909360823</v>
      </c>
      <c r="O176">
        <v>569.53124999999989</v>
      </c>
      <c r="S176">
        <f>M176*0.000000000001</f>
        <v>8.2741534909360822E-11</v>
      </c>
      <c r="T176" s="2">
        <v>4.4313931644456238E-6</v>
      </c>
      <c r="U176" s="2">
        <f>O176*10^6</f>
        <v>569531249.99999988</v>
      </c>
      <c r="V176" s="16">
        <f>(U176*(0.0000249)*S176)/((0.02446*(T176+(PI()/2)*(SQRT(S176/PI())))))</f>
        <v>3.8399616960862151</v>
      </c>
      <c r="W176" s="11">
        <f>(V176/0.04)/1000</f>
        <v>9.5999042402155371E-2</v>
      </c>
      <c r="X176" s="15">
        <f>V176*1000</f>
        <v>3839.9616960862149</v>
      </c>
    </row>
    <row r="177" spans="1:24">
      <c r="A177" s="85" t="s">
        <v>238</v>
      </c>
      <c r="B177" s="85"/>
      <c r="C177" s="85" t="s">
        <v>231</v>
      </c>
      <c r="F177">
        <v>22.222222222222221</v>
      </c>
      <c r="G177">
        <v>11.111111111111111</v>
      </c>
      <c r="I177">
        <v>12.592592592592593</v>
      </c>
      <c r="K177">
        <v>4.4444444444444446</v>
      </c>
      <c r="M177" s="17">
        <f>PI()*I177/2*K177/2</f>
        <v>43.956440420597929</v>
      </c>
      <c r="O177">
        <v>569.53124999999989</v>
      </c>
      <c r="S177">
        <f>M177*0.000000000001</f>
        <v>4.3956440420597931E-11</v>
      </c>
      <c r="T177" s="2">
        <v>4.4313931644456238E-6</v>
      </c>
      <c r="U177" s="2">
        <f>O177*10^6</f>
        <v>569531249.99999988</v>
      </c>
      <c r="V177" s="16">
        <f>(U177*(0.0000249)*S177)/((0.02446*(T177+(PI()/2)*(SQRT(S177/PI())))))</f>
        <v>2.4725706757312711</v>
      </c>
      <c r="W177" s="11">
        <f>(V177/0.04)/1000</f>
        <v>6.1814266893281775E-2</v>
      </c>
      <c r="X177" s="15">
        <f>V177*1000</f>
        <v>2472.570675731271</v>
      </c>
    </row>
    <row r="178" spans="1:24">
      <c r="A178" s="78"/>
      <c r="B178" s="78"/>
      <c r="C178" s="78"/>
      <c r="U178" s="2"/>
      <c r="V178" s="16"/>
      <c r="W178" s="11"/>
      <c r="X178" s="15"/>
    </row>
    <row r="179" spans="1:24">
      <c r="A179" s="78"/>
      <c r="B179" s="78"/>
      <c r="C179" s="78"/>
      <c r="U179" s="2"/>
      <c r="V179" s="16"/>
      <c r="W179" s="11"/>
      <c r="X179" s="15"/>
    </row>
    <row r="180" spans="1:24">
      <c r="A180" s="78"/>
      <c r="B180" s="78"/>
      <c r="C180" s="78"/>
    </row>
  </sheetData>
  <mergeCells count="3">
    <mergeCell ref="AB36:AB38"/>
    <mergeCell ref="AB43:AB44"/>
    <mergeCell ref="AB45:AB4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Matthaeus, Will</cp:lastModifiedBy>
  <dcterms:created xsi:type="dcterms:W3CDTF">2016-03-16T01:01:55Z</dcterms:created>
  <dcterms:modified xsi:type="dcterms:W3CDTF">2025-06-03T11:39:00Z</dcterms:modified>
</cp:coreProperties>
</file>