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78C91474-D7EA-4226-B511-2AC276A88E5B}" xr6:coauthVersionLast="47" xr6:coauthVersionMax="47" xr10:uidLastSave="{00000000-0000-0000-0000-000000000000}"/>
  <bookViews>
    <workbookView xWindow="-108" yWindow="-108" windowWidth="23256" windowHeight="12456" xr2:uid="{AADC478F-039F-45B9-AEE3-55FCD5D0852F}"/>
  </bookViews>
  <sheets>
    <sheet name="HT" sheetId="1" r:id="rId1"/>
  </sheets>
  <externalReferences>
    <externalReference r:id="rId2"/>
    <externalReference r:id="rId3"/>
  </externalReferences>
  <definedNames>
    <definedName name="_xlnm._FilterDatabase" localSheetId="0" hidden="1">HT!$A$10:$BL$14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4" i="1" l="1"/>
  <c r="BQ14" i="1"/>
  <c r="BX14" i="1" s="1"/>
  <c r="BP14" i="1"/>
  <c r="BO14" i="1"/>
  <c r="BN14" i="1"/>
  <c r="BY14" i="1" s="1"/>
  <c r="BM14" i="1"/>
  <c r="BU14" i="1" s="1"/>
  <c r="BL14" i="1"/>
  <c r="BJ14" i="1"/>
  <c r="BE14" i="1"/>
  <c r="BC14" i="1"/>
  <c r="BB14" i="1"/>
  <c r="AV14" i="1"/>
  <c r="AQ14" i="1"/>
  <c r="AM14" i="1"/>
  <c r="AN14" i="1" s="1"/>
  <c r="AL14" i="1"/>
  <c r="AJ14" i="1"/>
  <c r="AI14" i="1"/>
  <c r="AW14" i="1" s="1"/>
  <c r="AH14" i="1"/>
  <c r="AG14" i="1"/>
  <c r="BH14" i="1" s="1"/>
  <c r="AF14" i="1"/>
  <c r="AE14" i="1"/>
  <c r="AA14" i="1"/>
  <c r="BK14" i="1" s="1"/>
  <c r="Z14" i="1"/>
  <c r="X14" i="1"/>
  <c r="AK14" i="1" s="1"/>
  <c r="Q14" i="1"/>
  <c r="P14" i="1"/>
  <c r="O14" i="1"/>
  <c r="M14" i="1"/>
  <c r="BU13" i="1"/>
  <c r="BT13" i="1"/>
  <c r="BS13" i="1"/>
  <c r="BV13" i="1" s="1"/>
  <c r="BQ13" i="1"/>
  <c r="BX13" i="1" s="1"/>
  <c r="BP13" i="1"/>
  <c r="BO13" i="1"/>
  <c r="BN13" i="1"/>
  <c r="BY13" i="1" s="1"/>
  <c r="BM13" i="1"/>
  <c r="BL13" i="1"/>
  <c r="BJ13" i="1"/>
  <c r="BF13" i="1"/>
  <c r="BE13" i="1"/>
  <c r="BD13" i="1"/>
  <c r="AV13" i="1"/>
  <c r="AQ13" i="1"/>
  <c r="AO13" i="1"/>
  <c r="AN13" i="1"/>
  <c r="AM13" i="1"/>
  <c r="AK13" i="1"/>
  <c r="AJ13" i="1"/>
  <c r="AI13" i="1"/>
  <c r="AW13" i="1" s="1"/>
  <c r="AH13" i="1"/>
  <c r="AG13" i="1"/>
  <c r="BB13" i="1" s="1"/>
  <c r="AF13" i="1"/>
  <c r="AE13" i="1"/>
  <c r="AA13" i="1"/>
  <c r="AL13" i="1" s="1"/>
  <c r="Z13" i="1"/>
  <c r="X13" i="1"/>
  <c r="P13" i="1"/>
  <c r="Q13" i="1" s="1"/>
  <c r="O13" i="1"/>
  <c r="M13" i="1"/>
  <c r="BY12" i="1"/>
  <c r="BX12" i="1"/>
  <c r="BW12" i="1"/>
  <c r="BS12" i="1"/>
  <c r="BQ12" i="1"/>
  <c r="BP12" i="1"/>
  <c r="BO12" i="1"/>
  <c r="BN12" i="1"/>
  <c r="BM12" i="1"/>
  <c r="BT12" i="1" s="1"/>
  <c r="BV12" i="1" s="1"/>
  <c r="BL12" i="1"/>
  <c r="BK12" i="1"/>
  <c r="BJ12" i="1"/>
  <c r="BE12" i="1"/>
  <c r="BC12" i="1"/>
  <c r="AV12" i="1"/>
  <c r="AN12" i="1"/>
  <c r="AM12" i="1"/>
  <c r="AO12" i="1" s="1"/>
  <c r="AK12" i="1"/>
  <c r="AJ12" i="1"/>
  <c r="AI12" i="1"/>
  <c r="AQ12" i="1" s="1"/>
  <c r="AH12" i="1"/>
  <c r="AG12" i="1"/>
  <c r="BF12" i="1" s="1"/>
  <c r="AF12" i="1"/>
  <c r="AE12" i="1"/>
  <c r="AA12" i="1"/>
  <c r="AS12" i="1" s="1"/>
  <c r="BZ12" i="1" s="1"/>
  <c r="Z12" i="1"/>
  <c r="X12" i="1"/>
  <c r="P12" i="1"/>
  <c r="Q12" i="1" s="1"/>
  <c r="O12" i="1"/>
  <c r="M12" i="1"/>
  <c r="A12" i="1"/>
  <c r="AD12" i="1" s="1"/>
  <c r="BS11" i="1"/>
  <c r="BQ11" i="1"/>
  <c r="BX11" i="1" s="1"/>
  <c r="BP11" i="1"/>
  <c r="BO11" i="1"/>
  <c r="BN11" i="1"/>
  <c r="BY11" i="1" s="1"/>
  <c r="BZ11" i="1" s="1"/>
  <c r="BM11" i="1"/>
  <c r="BU11" i="1" s="1"/>
  <c r="BL11" i="1"/>
  <c r="BK11" i="1"/>
  <c r="BJ11" i="1"/>
  <c r="BF11" i="1"/>
  <c r="BE11" i="1"/>
  <c r="BC11" i="1"/>
  <c r="BB11" i="1"/>
  <c r="AV11" i="1"/>
  <c r="AQ11" i="1"/>
  <c r="AT11" i="1" s="1"/>
  <c r="AM11" i="1"/>
  <c r="AL11" i="1"/>
  <c r="AK11" i="1"/>
  <c r="AU11" i="1" s="1"/>
  <c r="AJ11" i="1"/>
  <c r="AS11" i="1" s="1"/>
  <c r="AI11" i="1"/>
  <c r="AW11" i="1" s="1"/>
  <c r="AH11" i="1"/>
  <c r="AG11" i="1"/>
  <c r="BH11" i="1" s="1"/>
  <c r="AF11" i="1"/>
  <c r="AE11" i="1"/>
  <c r="AD11" i="1"/>
  <c r="AA11" i="1"/>
  <c r="BD11" i="1" s="1"/>
  <c r="Z11" i="1"/>
  <c r="X11" i="1"/>
  <c r="P11" i="1"/>
  <c r="Q11" i="1" s="1"/>
  <c r="O11" i="1"/>
  <c r="M11" i="1"/>
  <c r="AB9" i="1"/>
  <c r="X9" i="1"/>
  <c r="V9" i="1"/>
  <c r="U9" i="1"/>
  <c r="AI4" i="1"/>
  <c r="AY11" i="1" l="1"/>
  <c r="AZ11" i="1" s="1"/>
  <c r="BA11" i="1" s="1"/>
  <c r="AT12" i="1"/>
  <c r="AU12" i="1" s="1"/>
  <c r="AW12" i="1"/>
  <c r="BV14" i="1"/>
  <c r="BG12" i="1"/>
  <c r="BU12" i="1"/>
  <c r="BC13" i="1"/>
  <c r="AI9" i="1"/>
  <c r="BG13" i="1"/>
  <c r="AO14" i="1"/>
  <c r="BD14" i="1"/>
  <c r="BH12" i="1"/>
  <c r="AK9" i="1"/>
  <c r="AN11" i="1"/>
  <c r="AN9" i="1" s="1"/>
  <c r="BH13" i="1"/>
  <c r="AM9" i="1"/>
  <c r="AL12" i="1"/>
  <c r="A13" i="1"/>
  <c r="AD13" i="1" s="1"/>
  <c r="AS14" i="1"/>
  <c r="BZ14" i="1" s="1"/>
  <c r="BF14" i="1"/>
  <c r="BT14" i="1"/>
  <c r="BB12" i="1"/>
  <c r="BK13" i="1"/>
  <c r="BG14" i="1"/>
  <c r="BT11" i="1"/>
  <c r="BV11" i="1" s="1"/>
  <c r="AQ9" i="1"/>
  <c r="BG11" i="1"/>
  <c r="BD12" i="1"/>
  <c r="A14" i="1"/>
  <c r="AD14" i="1" s="1"/>
  <c r="AT14" i="1" l="1"/>
  <c r="AO11" i="1"/>
  <c r="AO9" i="1" s="1"/>
  <c r="AS13" i="1"/>
  <c r="AY12" i="1"/>
  <c r="AZ12" i="1" s="1"/>
  <c r="BA12" i="1" s="1"/>
  <c r="AY14" i="1" l="1"/>
  <c r="AZ14" i="1" s="1"/>
  <c r="BA14" i="1" s="1"/>
  <c r="AU14" i="1"/>
  <c r="BZ13" i="1"/>
  <c r="AT13" i="1"/>
  <c r="AY13" i="1" l="1"/>
  <c r="AZ13" i="1" s="1"/>
  <c r="BA13" i="1" s="1"/>
  <c r="AU13" i="1"/>
  <c r="AU9" i="1" s="1"/>
  <c r="AT9" i="1"/>
</calcChain>
</file>

<file path=xl/sharedStrings.xml><?xml version="1.0" encoding="utf-8"?>
<sst xmlns="http://schemas.openxmlformats.org/spreadsheetml/2006/main" count="188" uniqueCount="145">
  <si>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</si>
  <si>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</si>
  <si>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</si>
  <si>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</si>
  <si>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</si>
  <si>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</si>
  <si>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</si>
  <si>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</si>
  <si>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</si>
  <si>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</si>
  <si>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</si>
  <si>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</si>
  <si>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</si>
  <si>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</si>
  <si>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</si>
  <si>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</si>
  <si>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</si>
  <si>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</si>
  <si>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</si>
  <si>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</si>
  <si>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</si>
  <si>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</si>
  <si>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</si>
  <si>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</si>
  <si>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</si>
  <si>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</si>
  <si>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</si>
  <si>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</si>
  <si>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</si>
  <si>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</si>
  <si>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</si>
  <si>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</si>
  <si>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</si>
  <si>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</si>
  <si>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</si>
  <si>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</si>
  <si>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</si>
  <si>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</si>
  <si>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</si>
  <si>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</si>
  <si>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</si>
  <si>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</si>
  <si>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</si>
  <si>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</si>
  <si>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</si>
  <si>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</si>
  <si>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</si>
  <si>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</si>
  <si>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</si>
  <si>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</si>
  <si>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</si>
  <si>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</si>
  <si>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</si>
  <si>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</si>
  <si>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</si>
  <si>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</si>
  <si>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</si>
  <si>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</si>
  <si>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</si>
  <si>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</si>
  <si>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</si>
  <si>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</si>
  <si>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</si>
  <si>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</si>
  <si>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</si>
  <si>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</si>
  <si>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</si>
  <si>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</si>
  <si>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</si>
  <si>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</si>
  <si>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</si>
  <si>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</si>
  <si>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</si>
  <si>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</si>
  <si>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</si>
  <si>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</si>
  <si>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</si>
  <si>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</si>
  <si>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</si>
  <si>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</si>
  <si>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</si>
  <si>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</si>
  <si>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</si>
  <si>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</si>
  <si>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</si>
  <si>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</si>
  <si>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</si>
  <si>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</si>
  <si>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</si>
  <si>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</si>
  <si>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</si>
  <si>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</si>
  <si>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</si>
  <si>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</si>
  <si>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</si>
  <si>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</si>
  <si>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</si>
  <si>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</si>
  <si>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</si>
  <si>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</si>
  <si>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</si>
  <si>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</si>
  <si>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</si>
  <si>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</si>
  <si>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</si>
  <si>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</si>
  <si>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</si>
  <si>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</si>
  <si>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</si>
  <si>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</si>
  <si>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CG00438</t>
  </si>
  <si>
    <t>Hinh (HHND) 0912334107</t>
  </si>
  <si>
    <t/>
  </si>
  <si>
    <t>Hải Hậu, Nam Định</t>
  </si>
  <si>
    <t>HS</t>
  </si>
  <si>
    <t>HH.ND.DKG</t>
  </si>
  <si>
    <t>DKG&lt;-&gt;Hải Hậu, Nam Định</t>
  </si>
  <si>
    <t>15C-12832</t>
  </si>
  <si>
    <t>HS05</t>
  </si>
  <si>
    <t>Chính</t>
  </si>
  <si>
    <t>Gỗ lim tròn (Đại Lợi)</t>
  </si>
  <si>
    <t>CGN</t>
  </si>
  <si>
    <t xml:space="preserve">TDG xe </t>
  </si>
  <si>
    <t>CG00040</t>
  </si>
  <si>
    <t>Công ty TNHH Gỗ Đại Xuân (PLHNA) 0979668924</t>
  </si>
  <si>
    <t>0700772763</t>
  </si>
  <si>
    <t>Thôn Đỗ Nội, xã Tiên Hải, thành phố Phủ Lý, tỉnh Hà Nam</t>
  </si>
  <si>
    <t>DC.NA.DKG</t>
  </si>
  <si>
    <t>DKG&lt;-&gt;Diễn Châu, Nghệ An</t>
  </si>
  <si>
    <t>15C-11486</t>
  </si>
  <si>
    <t>Gỗ sến tròn (Đại Xuân)</t>
  </si>
  <si>
    <t>CGL</t>
  </si>
  <si>
    <t>CG00473</t>
  </si>
  <si>
    <t>Hoàng (MHHY) 0379742999</t>
  </si>
  <si>
    <t>Mỹ Hào, Hưng Yên</t>
  </si>
  <si>
    <t>MH.HY.DKG</t>
  </si>
  <si>
    <t>DKG&lt;-&gt;Mỹ Hào, Hưng Yên</t>
  </si>
  <si>
    <t>15C-12876</t>
  </si>
  <si>
    <t>Gỗ Gõ MKB tròn (Đại Xuân)</t>
  </si>
  <si>
    <t>CG00325</t>
  </si>
  <si>
    <t>Nguyễn Văn Ích (QYQN) 0912524244</t>
  </si>
  <si>
    <t>Quảng Yên, Quảng Ninh</t>
  </si>
  <si>
    <t>DKG&lt;-&gt;Quảng Yên (đi lối cao tốc), Quảng Ninh</t>
  </si>
  <si>
    <t>15C-03470</t>
  </si>
  <si>
    <t>Gỗ lim tròn (Phú Lân)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</si>
</sst>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CCA90574-E8E0-4EB5-A595-EE59E08DF9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73F9E34-B02E-4851-A214-DDF8417B2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01F8276-D50D-4A10-AD2A-5934146A67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4C8CF76-EE5E-4DE2-98E8-91A124D371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8F87CDC-7907-497B-8ABA-60A81FB803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50DD723-A2AD-45D0-B103-BA3A99533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6.08.24..xlsm" TargetMode="External"/><Relationship Id="rId1" Type="http://schemas.openxmlformats.org/officeDocument/2006/relationships/externalLinkPath" Target="/Dropbox/1.%20Tien_duong_tu_13.08.2021/KH16.08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Sheet1"/>
      <sheetName val="Khach_hang"/>
      <sheetName val="23"/>
      <sheetName val="giaroi"/>
      <sheetName val="gia3"/>
      <sheetName val="cthuc"/>
      <sheetName val="sochu"/>
      <sheetName val="Hanghoa"/>
      <sheetName val="thu tien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B807-A7AF-4BAE-993F-5D003A853BC5}">
  <sheetPr codeName="Sheet16">
    <tabColor rgb="FF00B0F0"/>
  </sheetPr>
  <dimension ref="A1:BZ14"/>
  <sheetViews>
    <sheetView tabSelected="1" workbookViewId="0">
      <pane ySplit="8" topLeftCell="A9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5.09765625" style="13" bestFit="1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3984375" style="18" bestFit="1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45520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SUBTOTAL(9,U11:U111215)</f>
        <v>15</v>
      </c>
      <c r="V9" s="86">
        <f>SUBTOTAL(9,V11:V111215)</f>
        <v>100.291</v>
      </c>
      <c r="W9" s="85"/>
      <c r="X9" s="87">
        <f>SUBTOTAL(9,X11:X111215)</f>
        <v>49061490</v>
      </c>
      <c r="Y9" s="82"/>
      <c r="Z9" s="82"/>
      <c r="AA9" s="82"/>
      <c r="AB9" s="85">
        <f>SUBTOTAL(9,AB11:AB111215)</f>
        <v>10250000</v>
      </c>
      <c r="AC9" s="88"/>
      <c r="AD9" s="75"/>
      <c r="AE9" s="75"/>
      <c r="AF9" s="75"/>
      <c r="AG9" s="82"/>
      <c r="AH9" s="82"/>
      <c r="AI9" s="86">
        <f>SUBTOTAL(9,AI11:AI111206)</f>
        <v>100.291</v>
      </c>
      <c r="AJ9" s="85"/>
      <c r="AK9" s="85">
        <f>SUBTOTAL(9,AK11:AK111206)</f>
        <v>49061490</v>
      </c>
      <c r="AL9" s="85"/>
      <c r="AM9" s="85">
        <f>SUBTOTAL(9,AM11:AM111215)</f>
        <v>10250000</v>
      </c>
      <c r="AN9" s="85" t="e">
        <f>SUBTOTAL(9,AN11:AN111215)</f>
        <v>#N/A</v>
      </c>
      <c r="AO9" s="85" t="e">
        <f>SUBTOTAL(9,AO11:AO111215)</f>
        <v>#N/A</v>
      </c>
      <c r="AP9" s="82"/>
      <c r="AQ9" s="86">
        <f>SUBTOTAL(9,AQ11:AQ111206)</f>
        <v>95.276449999999997</v>
      </c>
      <c r="AR9" s="86"/>
      <c r="AS9" s="85"/>
      <c r="AT9" s="85" t="e">
        <f>SUBTOTAL(9,AT11:AT111206)</f>
        <v>#N/A</v>
      </c>
      <c r="AU9" s="85" t="e">
        <f>SUBTOTAL(9,AU11:AU111206)</f>
        <v>#N/A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45520</v>
      </c>
      <c r="C11" s="97" t="s">
        <v>110</v>
      </c>
      <c r="D11" s="99" t="s">
        <v>111</v>
      </c>
      <c r="E11" s="100" t="s">
        <v>112</v>
      </c>
      <c r="F11" s="99" t="s">
        <v>113</v>
      </c>
      <c r="G11" s="99"/>
      <c r="H11" s="97" t="s">
        <v>114</v>
      </c>
      <c r="I11" s="97" t="s">
        <v>112</v>
      </c>
      <c r="J11" s="97"/>
      <c r="K11" s="101" t="s">
        <v>115</v>
      </c>
      <c r="L11" s="102" t="s">
        <v>116</v>
      </c>
      <c r="M11" s="103" t="str">
        <f t="shared" ref="M11:M14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Hoàng Sơn</v>
      </c>
      <c r="N11" s="104" t="s">
        <v>117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Trần Văn Hiển</v>
      </c>
      <c r="P11" s="103" t="str">
        <f t="shared" ref="P11:P14" si="1">RIGHT(H11,2)</f>
        <v>HS</v>
      </c>
      <c r="Q11" s="106" t="str">
        <f t="shared" ref="Q11:Q14" si="2">IF(P11="TC",189,P11)</f>
        <v>HS</v>
      </c>
      <c r="R11" s="103" t="s">
        <v>118</v>
      </c>
      <c r="S11" s="103" t="s">
        <v>119</v>
      </c>
      <c r="T11" s="107" t="s">
        <v>120</v>
      </c>
      <c r="U11" s="108">
        <v>4</v>
      </c>
      <c r="V11" s="109">
        <v>23.515000000000001</v>
      </c>
      <c r="W11" s="110">
        <v>450000</v>
      </c>
      <c r="X11" s="111">
        <f t="shared" ref="X11:X14" si="3">V11*W11</f>
        <v>10581750</v>
      </c>
      <c r="Y11" s="106" t="s">
        <v>121</v>
      </c>
      <c r="Z11" s="106">
        <f t="shared" ref="Z11:Z14" si="4">IF(Y11="RLL","OK/NO",0)</f>
        <v>0</v>
      </c>
      <c r="AA11" s="106" t="str">
        <f>LEFT(L11,3)</f>
        <v>DKG</v>
      </c>
      <c r="AB11" s="112">
        <v>2650000</v>
      </c>
      <c r="AC11" s="105" t="s">
        <v>112</v>
      </c>
      <c r="AD11" s="113">
        <f t="shared" ref="AD11:AD14" si="5">A11</f>
        <v>1</v>
      </c>
      <c r="AE11" s="113" t="str">
        <f t="shared" ref="AE11:AE14" si="6">H11</f>
        <v>HS</v>
      </c>
      <c r="AF11" s="114" t="str">
        <f t="shared" ref="AF11:AF14" si="7">L11</f>
        <v>DKG&lt;-&gt;Hải Hậu, Nam Định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CX001</v>
      </c>
      <c r="AH11" s="106" t="str">
        <f t="shared" ref="AH11:AH14" si="8">N11</f>
        <v>15C-12832</v>
      </c>
      <c r="AI11" s="109">
        <f t="shared" ref="AI11:AK14" si="9">V11</f>
        <v>23.515000000000001</v>
      </c>
      <c r="AJ11" s="112">
        <f t="shared" si="9"/>
        <v>450000</v>
      </c>
      <c r="AK11" s="112">
        <f t="shared" si="9"/>
        <v>10581750</v>
      </c>
      <c r="AL11" s="106" t="str">
        <f t="shared" ref="AL11:AM14" si="10">AA11</f>
        <v>DKG</v>
      </c>
      <c r="AM11" s="112">
        <f t="shared" si="10"/>
        <v>2650000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2550000</v>
      </c>
      <c r="AO11" s="112">
        <f t="shared" ref="AO11:AO14" si="11">AM11-AN11</f>
        <v>100000</v>
      </c>
      <c r="AP11" s="105"/>
      <c r="AQ11" s="109">
        <f t="shared" ref="AQ11:AQ14" si="12">IF(V11&lt;=1,V11,AI11*95%)</f>
        <v>22.33925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385000</v>
      </c>
      <c r="AT11" s="112">
        <f t="shared" ref="AT11:AT14" si="13">AQ11*AS11</f>
        <v>8600611.25</v>
      </c>
      <c r="AU11" s="112">
        <f t="shared" ref="AU11:AU14" si="14">AK11-AT11</f>
        <v>1981138.75</v>
      </c>
      <c r="AV11" s="105" t="str">
        <f t="shared" ref="AV11:AV14" si="15">AC11</f>
        <v/>
      </c>
      <c r="AW11" s="115">
        <f t="shared" ref="AW11:AW14" si="16">IF(AI11-AQ11=0,AQ11,IF(AI11-AQ11&gt;0,AI11-AQ11))</f>
        <v>1.1757500000000007</v>
      </c>
      <c r="AX11" s="115"/>
      <c r="AY11" s="116">
        <f t="shared" ref="AY11:AY14" si="17">(AK11-AT11)/AW11</f>
        <v>1684999.9999999988</v>
      </c>
      <c r="AZ11" s="116">
        <f t="shared" ref="AZ11:AZ14" si="18">AW11*AY11</f>
        <v>1981138.7499999998</v>
      </c>
      <c r="BA11" s="116">
        <f t="shared" ref="BA11:BA14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512114</v>
      </c>
      <c r="BC11" s="117">
        <f t="shared" ref="BC11:BC14" si="20">IF(AA11="DKG",511301,IF(AA11="THG",511302,0))</f>
        <v>511301</v>
      </c>
      <c r="BD11" s="117">
        <f t="shared" ref="BD11:BD14" si="21">IF(AA11="DKG",5123,IF(AA11="THG",522,0))</f>
        <v>5123</v>
      </c>
      <c r="BE11" s="117">
        <f t="shared" ref="BE11:BE14" si="22">IF(AP11="Phú","NV018",IF(AP11="Giang","NV006",IF(AP11="Quang","NV024",IF(AP11="Kỳ","NV222",0))))</f>
        <v>0</v>
      </c>
      <c r="BF11" s="117">
        <f t="shared" ref="BF11:BF14" si="23">IF(AG11="CX001",0,331)</f>
        <v>0</v>
      </c>
      <c r="BG11" s="117">
        <f t="shared" ref="BG11:BG14" si="24">IF(AG11="CX001",15401,IF(OR(AG11="CX055",AG11="CX039",AG11="CX040",AG11="CX002",AG11="CX003",AG11="CX004",AG11="CX005",AG11="CX006",AG11="CX056",AG11="CX057"),331,0))</f>
        <v>15401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6121114</v>
      </c>
      <c r="BI11" s="73" t="s">
        <v>122</v>
      </c>
      <c r="BJ11" s="73" t="str">
        <f t="shared" ref="BJ11:BJ14" si="25">CONCATENATE(BI11,N11)</f>
        <v>TDG xe 15C-12832</v>
      </c>
      <c r="BK11" s="118" t="str">
        <f t="shared" ref="BK11:BK14" si="26">IF(AA11="THG","T",IF(AA11="DKG","G",0))</f>
        <v>G</v>
      </c>
      <c r="BL11" s="74">
        <f ca="1">IF(Y11="CGN",TODAY(),"")</f>
        <v>45521</v>
      </c>
      <c r="BM11" s="8" t="str">
        <f t="shared" ref="BM11" si="27">+C11</f>
        <v>CG00438</v>
      </c>
      <c r="BN11" s="8" t="str">
        <f>I11</f>
        <v/>
      </c>
      <c r="BO11" s="8" t="str">
        <f t="shared" ref="BO11:BP11" si="28">+C11</f>
        <v>CG00438</v>
      </c>
      <c r="BP11" s="8" t="str">
        <f t="shared" si="28"/>
        <v>Hinh (HHND) 0912334107</v>
      </c>
      <c r="BQ11" s="8" t="str">
        <f t="shared" ref="BQ11" si="29">+L11</f>
        <v>DKG&lt;-&gt;Hải Hậu, Nam Định</v>
      </c>
      <c r="BS11" s="116">
        <f t="shared" ref="BS11" si="30">+W11</f>
        <v>450000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>
        <f>VLOOKUP(BQ11,[2]gia3!$D$7:$W$256,19,0)</f>
        <v>4600000</v>
      </c>
      <c r="BY11" s="95" t="str">
        <f t="shared" ref="BY11:BY14" si="31">IF(BN11="","",IF(BN11="LH",BX11+300000,BX11))</f>
        <v/>
      </c>
      <c r="BZ11" s="96" t="e">
        <f t="shared" ref="BZ11:BZ14" si="32">+BY11-AS11</f>
        <v>#VALUE!</v>
      </c>
    </row>
    <row r="12" spans="1:78" s="8" customFormat="1" ht="20.100000000000001" customHeight="1" x14ac:dyDescent="0.3">
      <c r="A12" s="97">
        <f>MAX($A$11:A11)+1</f>
        <v>2</v>
      </c>
      <c r="B12" s="98">
        <v>45520</v>
      </c>
      <c r="C12" s="97" t="s">
        <v>123</v>
      </c>
      <c r="D12" s="99" t="s">
        <v>124</v>
      </c>
      <c r="E12" s="100" t="s">
        <v>125</v>
      </c>
      <c r="F12" s="99" t="s">
        <v>126</v>
      </c>
      <c r="G12" s="99"/>
      <c r="H12" s="97" t="s">
        <v>114</v>
      </c>
      <c r="I12" s="97" t="s">
        <v>112</v>
      </c>
      <c r="J12" s="97"/>
      <c r="K12" s="101" t="s">
        <v>127</v>
      </c>
      <c r="L12" s="102" t="s">
        <v>128</v>
      </c>
      <c r="M12" s="103" t="str">
        <f t="shared" si="0"/>
        <v>Hoàng Sơn</v>
      </c>
      <c r="N12" s="104" t="s">
        <v>129</v>
      </c>
      <c r="O12" s="105" t="str">
        <f t="shared" ref="O12:O14" si="33"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Lợi",IF(N12="15C-12876","Phạm Văn Thượng",IF(N12="15C-13616","Đặng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Bùi Đức Thành</v>
      </c>
      <c r="P12" s="103" t="str">
        <f t="shared" si="1"/>
        <v>HS</v>
      </c>
      <c r="Q12" s="106" t="str">
        <f t="shared" si="2"/>
        <v>HS</v>
      </c>
      <c r="R12" s="103" t="s">
        <v>118</v>
      </c>
      <c r="S12" s="103" t="s">
        <v>119</v>
      </c>
      <c r="T12" s="107" t="s">
        <v>130</v>
      </c>
      <c r="U12" s="108">
        <v>2</v>
      </c>
      <c r="V12" s="109">
        <v>27.402000000000001</v>
      </c>
      <c r="W12" s="110">
        <v>700000</v>
      </c>
      <c r="X12" s="111">
        <f t="shared" si="3"/>
        <v>19181400</v>
      </c>
      <c r="Y12" s="106" t="s">
        <v>131</v>
      </c>
      <c r="Z12" s="106">
        <f t="shared" si="4"/>
        <v>0</v>
      </c>
      <c r="AA12" s="106" t="str">
        <f t="shared" ref="AA12:AA14" si="34">LEFT(L12,3)</f>
        <v>DKG</v>
      </c>
      <c r="AB12" s="112">
        <v>5300000</v>
      </c>
      <c r="AC12" s="105" t="s">
        <v>112</v>
      </c>
      <c r="AD12" s="113">
        <f t="shared" si="5"/>
        <v>2</v>
      </c>
      <c r="AE12" s="113" t="str">
        <f t="shared" si="6"/>
        <v>HS</v>
      </c>
      <c r="AF12" s="114" t="str">
        <f t="shared" si="7"/>
        <v>DKG&lt;-&gt;Diễn Châu, Nghệ An</v>
      </c>
      <c r="AG12" s="106" t="str">
        <f t="shared" ref="AG12:AG14" si="35"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CX001</v>
      </c>
      <c r="AH12" s="106" t="str">
        <f t="shared" si="8"/>
        <v>15C-11486</v>
      </c>
      <c r="AI12" s="109">
        <f t="shared" si="9"/>
        <v>27.402000000000001</v>
      </c>
      <c r="AJ12" s="112">
        <f t="shared" si="9"/>
        <v>700000</v>
      </c>
      <c r="AK12" s="112">
        <f t="shared" si="9"/>
        <v>19181400</v>
      </c>
      <c r="AL12" s="106" t="str">
        <f t="shared" si="10"/>
        <v>DKG</v>
      </c>
      <c r="AM12" s="112">
        <f t="shared" si="10"/>
        <v>5300000</v>
      </c>
      <c r="AN12" s="112">
        <f t="shared" ref="AN12:AN14" si="36"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5200000</v>
      </c>
      <c r="AO12" s="112">
        <f t="shared" si="11"/>
        <v>100000</v>
      </c>
      <c r="AP12" s="105"/>
      <c r="AQ12" s="109">
        <f t="shared" si="12"/>
        <v>26.0319</v>
      </c>
      <c r="AR12" s="109"/>
      <c r="AS12" s="112">
        <f t="shared" ref="AS12:AS14" si="37"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635000</v>
      </c>
      <c r="AT12" s="112">
        <f t="shared" si="13"/>
        <v>16530256.5</v>
      </c>
      <c r="AU12" s="112">
        <f t="shared" si="14"/>
        <v>2651143.5</v>
      </c>
      <c r="AV12" s="105" t="str">
        <f t="shared" si="15"/>
        <v/>
      </c>
      <c r="AW12" s="115">
        <f t="shared" si="16"/>
        <v>1.3701000000000008</v>
      </c>
      <c r="AX12" s="115"/>
      <c r="AY12" s="116">
        <f t="shared" si="17"/>
        <v>1934999.9999999988</v>
      </c>
      <c r="AZ12" s="116">
        <f t="shared" si="18"/>
        <v>2651143.5</v>
      </c>
      <c r="BA12" s="116">
        <f t="shared" si="19"/>
        <v>0</v>
      </c>
      <c r="BB12" s="117">
        <f t="shared" ref="BB12:BB14" si="38"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512112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0</v>
      </c>
      <c r="BG12" s="117">
        <f t="shared" si="24"/>
        <v>15401</v>
      </c>
      <c r="BH12" s="118">
        <f t="shared" ref="BH12:BH14" si="39"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6121112</v>
      </c>
      <c r="BI12" s="73" t="s">
        <v>122</v>
      </c>
      <c r="BJ12" s="73" t="str">
        <f t="shared" si="25"/>
        <v>TDG xe 15C-11486</v>
      </c>
      <c r="BK12" s="118" t="str">
        <f t="shared" si="26"/>
        <v>G</v>
      </c>
      <c r="BL12" s="74" t="str">
        <f t="shared" ref="BL12:BL14" ca="1" si="40">IF(Y12="CGN",TODAY(),"")</f>
        <v/>
      </c>
      <c r="BM12" s="8" t="str">
        <f>+C12</f>
        <v>CG00040</v>
      </c>
      <c r="BN12" s="8" t="str">
        <f t="shared" ref="BN12:BN14" si="41">I12</f>
        <v/>
      </c>
      <c r="BO12" s="8" t="str">
        <f>+C12</f>
        <v>CG00040</v>
      </c>
      <c r="BP12" s="8" t="str">
        <f>+D12</f>
        <v>Công ty TNHH Gỗ Đại Xuân (PLHNA) 0979668924</v>
      </c>
      <c r="BQ12" s="8" t="str">
        <f>+L12</f>
        <v>DKG&lt;-&gt;Diễn Châu, Nghệ An</v>
      </c>
      <c r="BS12" s="116">
        <f>+W12</f>
        <v>700000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14" si="42">IF(BS12-BT12=500000,BU12+400000,IF(BT12=BS12,BU12,"saiiiiiiiiiiiiiiiii"))</f>
        <v>saiiiiiiiiiiiiiiiii</v>
      </c>
      <c r="BW12" s="8" t="str">
        <f>I12</f>
        <v/>
      </c>
      <c r="BX12" s="120">
        <f>VLOOKUP(BQ12,[2]gia3!$D$7:$W$256,19,0)</f>
        <v>9000000</v>
      </c>
      <c r="BY12" s="95" t="str">
        <f t="shared" si="31"/>
        <v/>
      </c>
      <c r="BZ12" s="96" t="e">
        <f t="shared" si="32"/>
        <v>#VALUE!</v>
      </c>
    </row>
    <row r="13" spans="1:78" s="8" customFormat="1" ht="20.100000000000001" customHeight="1" x14ac:dyDescent="0.3">
      <c r="A13" s="97">
        <f>MAX($A$11:A12)+1</f>
        <v>3</v>
      </c>
      <c r="B13" s="98">
        <v>45520</v>
      </c>
      <c r="C13" s="97" t="s">
        <v>132</v>
      </c>
      <c r="D13" s="99" t="s">
        <v>133</v>
      </c>
      <c r="E13" s="100" t="e">
        <v>#N/A</v>
      </c>
      <c r="F13" s="99" t="s">
        <v>134</v>
      </c>
      <c r="G13" s="99"/>
      <c r="H13" s="97" t="s">
        <v>114</v>
      </c>
      <c r="I13" s="97" t="s">
        <v>112</v>
      </c>
      <c r="J13" s="97"/>
      <c r="K13" s="101" t="s">
        <v>135</v>
      </c>
      <c r="L13" s="102" t="s">
        <v>136</v>
      </c>
      <c r="M13" s="103" t="str">
        <f t="shared" si="0"/>
        <v>Hoàng Sơn</v>
      </c>
      <c r="N13" s="104" t="s">
        <v>137</v>
      </c>
      <c r="O13" s="105" t="str">
        <f t="shared" si="33"/>
        <v>Phạm Văn Thượng</v>
      </c>
      <c r="P13" s="103" t="str">
        <f t="shared" si="1"/>
        <v>HS</v>
      </c>
      <c r="Q13" s="106" t="str">
        <f t="shared" si="2"/>
        <v>HS</v>
      </c>
      <c r="R13" s="103" t="s">
        <v>118</v>
      </c>
      <c r="S13" s="103" t="s">
        <v>119</v>
      </c>
      <c r="T13" s="107" t="s">
        <v>138</v>
      </c>
      <c r="U13" s="108">
        <v>5</v>
      </c>
      <c r="V13" s="109">
        <v>22.562999999999999</v>
      </c>
      <c r="W13" s="110">
        <v>380000</v>
      </c>
      <c r="X13" s="111">
        <f t="shared" si="3"/>
        <v>8573940</v>
      </c>
      <c r="Y13" s="106" t="s">
        <v>121</v>
      </c>
      <c r="Z13" s="106">
        <f t="shared" si="4"/>
        <v>0</v>
      </c>
      <c r="AA13" s="106" t="str">
        <f t="shared" si="34"/>
        <v>DKG</v>
      </c>
      <c r="AB13" s="112">
        <v>1500000</v>
      </c>
      <c r="AC13" s="105" t="s">
        <v>112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DKG&lt;-&gt;Mỹ Hào, Hưng Yên</v>
      </c>
      <c r="AG13" s="106" t="str">
        <f t="shared" si="35"/>
        <v>CX001</v>
      </c>
      <c r="AH13" s="106" t="str">
        <f t="shared" si="8"/>
        <v>15C-12876</v>
      </c>
      <c r="AI13" s="109">
        <f t="shared" si="9"/>
        <v>22.562999999999999</v>
      </c>
      <c r="AJ13" s="112">
        <f t="shared" si="9"/>
        <v>380000</v>
      </c>
      <c r="AK13" s="112">
        <f t="shared" si="9"/>
        <v>8573940</v>
      </c>
      <c r="AL13" s="106" t="str">
        <f t="shared" si="10"/>
        <v>DKG</v>
      </c>
      <c r="AM13" s="112">
        <f t="shared" si="10"/>
        <v>1500000</v>
      </c>
      <c r="AN13" s="112">
        <f t="shared" si="36"/>
        <v>1400000</v>
      </c>
      <c r="AO13" s="112">
        <f t="shared" si="11"/>
        <v>100000</v>
      </c>
      <c r="AP13" s="105"/>
      <c r="AQ13" s="109">
        <f t="shared" si="12"/>
        <v>21.434849999999997</v>
      </c>
      <c r="AR13" s="109"/>
      <c r="AS13" s="112">
        <f t="shared" si="37"/>
        <v>315000</v>
      </c>
      <c r="AT13" s="112">
        <f t="shared" si="13"/>
        <v>6751977.7499999991</v>
      </c>
      <c r="AU13" s="112">
        <f t="shared" si="14"/>
        <v>1821962.2500000009</v>
      </c>
      <c r="AV13" s="105" t="str">
        <f t="shared" si="15"/>
        <v/>
      </c>
      <c r="AW13" s="115">
        <f t="shared" si="16"/>
        <v>1.1281500000000015</v>
      </c>
      <c r="AX13" s="115"/>
      <c r="AY13" s="116">
        <f t="shared" si="17"/>
        <v>1614999.9999999986</v>
      </c>
      <c r="AZ13" s="116">
        <f t="shared" si="18"/>
        <v>1821962.2500000009</v>
      </c>
      <c r="BA13" s="116">
        <f t="shared" si="19"/>
        <v>0</v>
      </c>
      <c r="BB13" s="117">
        <f t="shared" si="38"/>
        <v>512116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 t="shared" si="39"/>
        <v>6121116</v>
      </c>
      <c r="BI13" s="73" t="s">
        <v>122</v>
      </c>
      <c r="BJ13" s="73" t="str">
        <f t="shared" si="25"/>
        <v>TDG xe 15C-12876</v>
      </c>
      <c r="BK13" s="118" t="str">
        <f t="shared" si="26"/>
        <v>G</v>
      </c>
      <c r="BL13" s="74">
        <f t="shared" ca="1" si="40"/>
        <v>45521</v>
      </c>
      <c r="BM13" s="8" t="str">
        <f t="shared" ref="BM13:BM14" si="43">+C13</f>
        <v>CG00473</v>
      </c>
      <c r="BN13" s="8" t="str">
        <f t="shared" si="41"/>
        <v/>
      </c>
      <c r="BO13" s="8" t="str">
        <f t="shared" ref="BO13:BP14" si="44">+C13</f>
        <v>CG00473</v>
      </c>
      <c r="BP13" s="8" t="str">
        <f t="shared" si="44"/>
        <v>Hoàng (MHHY) 0379742999</v>
      </c>
      <c r="BQ13" s="8" t="str">
        <f t="shared" ref="BQ13:BQ14" si="45">+L13</f>
        <v>DKG&lt;-&gt;Mỹ Hào, Hưng Yên</v>
      </c>
      <c r="BS13" s="116">
        <f t="shared" ref="BS13:BS14" si="46">+W13</f>
        <v>380000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42"/>
        <v>saiiiiiiiiiiiiiiiii</v>
      </c>
      <c r="BX13" s="120">
        <f>VLOOKUP(BQ13,[2]gia3!$D$7:$W$256,19,0)</f>
        <v>3700000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45520</v>
      </c>
      <c r="C14" s="97" t="s">
        <v>139</v>
      </c>
      <c r="D14" s="99" t="s">
        <v>140</v>
      </c>
      <c r="E14" s="100" t="e">
        <v>#N/A</v>
      </c>
      <c r="F14" s="99" t="s">
        <v>141</v>
      </c>
      <c r="G14" s="99"/>
      <c r="H14" s="97" t="s">
        <v>114</v>
      </c>
      <c r="I14" s="97" t="s">
        <v>112</v>
      </c>
      <c r="J14" s="97"/>
      <c r="K14" s="101" t="e">
        <v>#N/A</v>
      </c>
      <c r="L14" s="102" t="s">
        <v>142</v>
      </c>
      <c r="M14" s="103" t="str">
        <f t="shared" si="0"/>
        <v>Hoàng Sơn</v>
      </c>
      <c r="N14" s="104" t="s">
        <v>143</v>
      </c>
      <c r="O14" s="105" t="str">
        <f t="shared" si="33"/>
        <v>Ngô Quang Hưng</v>
      </c>
      <c r="P14" s="103" t="str">
        <f t="shared" si="1"/>
        <v>HS</v>
      </c>
      <c r="Q14" s="106" t="str">
        <f t="shared" si="2"/>
        <v>HS</v>
      </c>
      <c r="R14" s="103" t="s">
        <v>118</v>
      </c>
      <c r="S14" s="103" t="s">
        <v>119</v>
      </c>
      <c r="T14" s="107" t="s">
        <v>144</v>
      </c>
      <c r="U14" s="108">
        <v>4</v>
      </c>
      <c r="V14" s="109">
        <v>26.811</v>
      </c>
      <c r="W14" s="110">
        <v>400000</v>
      </c>
      <c r="X14" s="111">
        <f t="shared" si="3"/>
        <v>10724400</v>
      </c>
      <c r="Y14" s="106" t="s">
        <v>121</v>
      </c>
      <c r="Z14" s="106">
        <f t="shared" si="4"/>
        <v>0</v>
      </c>
      <c r="AA14" s="106" t="str">
        <f t="shared" si="34"/>
        <v>DKG</v>
      </c>
      <c r="AB14" s="112">
        <v>800000</v>
      </c>
      <c r="AC14" s="105" t="s">
        <v>112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DKG&lt;-&gt;Quảng Yên (đi lối cao tốc), Quảng Ninh</v>
      </c>
      <c r="AG14" s="106" t="str">
        <f t="shared" si="35"/>
        <v>CX002</v>
      </c>
      <c r="AH14" s="106" t="str">
        <f t="shared" si="8"/>
        <v>15C-03470</v>
      </c>
      <c r="AI14" s="109">
        <f t="shared" si="9"/>
        <v>26.811</v>
      </c>
      <c r="AJ14" s="112">
        <f t="shared" si="9"/>
        <v>400000</v>
      </c>
      <c r="AK14" s="112">
        <f t="shared" si="9"/>
        <v>10724400</v>
      </c>
      <c r="AL14" s="106" t="str">
        <f t="shared" si="10"/>
        <v>DKG</v>
      </c>
      <c r="AM14" s="112">
        <f t="shared" si="10"/>
        <v>800000</v>
      </c>
      <c r="AN14" s="112" t="e">
        <f t="shared" si="36"/>
        <v>#N/A</v>
      </c>
      <c r="AO14" s="112" t="e">
        <f t="shared" si="11"/>
        <v>#N/A</v>
      </c>
      <c r="AP14" s="105"/>
      <c r="AQ14" s="109">
        <f t="shared" si="12"/>
        <v>25.47045</v>
      </c>
      <c r="AR14" s="109"/>
      <c r="AS14" s="112" t="e">
        <f t="shared" si="37"/>
        <v>#N/A</v>
      </c>
      <c r="AT14" s="112" t="e">
        <f t="shared" si="13"/>
        <v>#N/A</v>
      </c>
      <c r="AU14" s="112" t="e">
        <f t="shared" si="14"/>
        <v>#N/A</v>
      </c>
      <c r="AV14" s="105" t="str">
        <f t="shared" si="15"/>
        <v/>
      </c>
      <c r="AW14" s="115">
        <f t="shared" si="16"/>
        <v>1.3405500000000004</v>
      </c>
      <c r="AX14" s="115"/>
      <c r="AY14" s="116" t="e">
        <f t="shared" si="17"/>
        <v>#N/A</v>
      </c>
      <c r="AZ14" s="116" t="e">
        <f t="shared" si="18"/>
        <v>#N/A</v>
      </c>
      <c r="BA14" s="116" t="e">
        <f t="shared" si="19"/>
        <v>#N/A</v>
      </c>
      <c r="BB14" s="117">
        <f t="shared" si="38"/>
        <v>512212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331</v>
      </c>
      <c r="BG14" s="117">
        <f t="shared" si="24"/>
        <v>331</v>
      </c>
      <c r="BH14" s="118">
        <f t="shared" si="39"/>
        <v>0</v>
      </c>
      <c r="BI14" s="73" t="s">
        <v>122</v>
      </c>
      <c r="BJ14" s="73" t="str">
        <f t="shared" si="25"/>
        <v>TDG xe 15C-03470</v>
      </c>
      <c r="BK14" s="118" t="str">
        <f t="shared" si="26"/>
        <v>G</v>
      </c>
      <c r="BL14" s="74">
        <f t="shared" ca="1" si="40"/>
        <v>45521</v>
      </c>
      <c r="BM14" s="8" t="str">
        <f t="shared" si="43"/>
        <v>CG00325</v>
      </c>
      <c r="BN14" s="8" t="str">
        <f t="shared" si="41"/>
        <v/>
      </c>
      <c r="BO14" s="8" t="str">
        <f t="shared" si="44"/>
        <v>CG00325</v>
      </c>
      <c r="BP14" s="8" t="str">
        <f t="shared" si="44"/>
        <v>Nguyễn Văn Ích (QYQN) 0912524244</v>
      </c>
      <c r="BQ14" s="8" t="str">
        <f t="shared" si="45"/>
        <v>DKG&lt;-&gt;Quảng Yên (đi lối cao tốc), Quảng Ninh</v>
      </c>
      <c r="BS14" s="116">
        <f t="shared" si="46"/>
        <v>400000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42"/>
        <v>saiiiiiiiiiiiiiiiii</v>
      </c>
      <c r="BX14" s="120" t="e">
        <f>VLOOKUP(BQ14,[2]gia3!$D$7:$W$256,19,0)</f>
        <v>#N/A</v>
      </c>
      <c r="BY14" s="95" t="str">
        <f t="shared" si="31"/>
        <v/>
      </c>
      <c r="BZ14" s="96" t="e">
        <f t="shared" si="32"/>
        <v>#VALUE!</v>
      </c>
    </row>
  </sheetData>
  <autoFilter ref="A10:BL14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2024-08-17T02:48:19Z</dcterms:created>
  <dcterms:modified xsi:type="dcterms:W3CDTF">2024-08-17T02:48:21Z</dcterms:modified>
</cp:coreProperties>
</file>