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CBC7B740-84C5-4307-8FD4-3E65A0B76F38}" xr6:coauthVersionLast="47" xr6:coauthVersionMax="47" xr10:uidLastSave="{00000000-0000-0000-0000-000000000000}"/>
  <bookViews>
    <workbookView xWindow="-108" yWindow="-108" windowWidth="23256" windowHeight="12456" xr2:uid="{2FF70825-83D6-42A7-9289-5F17CD27C2FA}"/>
  </bookViews>
  <sheets>
    <sheet name="H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3" i="1" l="1"/>
  <c r="BQ23" i="1"/>
  <c r="BX23" i="1" s="1"/>
  <c r="BP23" i="1"/>
  <c r="BO23" i="1"/>
  <c r="BN23" i="1"/>
  <c r="BM23" i="1"/>
  <c r="BU23" i="1" s="1"/>
  <c r="BL23" i="1"/>
  <c r="BJ23" i="1"/>
  <c r="BE23" i="1"/>
  <c r="BB23" i="1"/>
  <c r="AV23" i="1"/>
  <c r="AM23" i="1"/>
  <c r="AL23" i="1"/>
  <c r="AJ23" i="1"/>
  <c r="AH23" i="1"/>
  <c r="AG23" i="1"/>
  <c r="BH23" i="1" s="1"/>
  <c r="AF23" i="1"/>
  <c r="AE23" i="1"/>
  <c r="AA23" i="1"/>
  <c r="BK23" i="1" s="1"/>
  <c r="Z23" i="1"/>
  <c r="V23" i="1"/>
  <c r="AI23" i="1" s="1"/>
  <c r="Q23" i="1"/>
  <c r="P23" i="1"/>
  <c r="O23" i="1"/>
  <c r="M23" i="1"/>
  <c r="BT22" i="1"/>
  <c r="BS22" i="1"/>
  <c r="BV22" i="1" s="1"/>
  <c r="BQ22" i="1"/>
  <c r="BX22" i="1" s="1"/>
  <c r="BP22" i="1"/>
  <c r="BO22" i="1"/>
  <c r="BN22" i="1"/>
  <c r="BM22" i="1"/>
  <c r="BU22" i="1" s="1"/>
  <c r="BL22" i="1"/>
  <c r="BJ22" i="1"/>
  <c r="BF22" i="1"/>
  <c r="BE22" i="1"/>
  <c r="AV22" i="1"/>
  <c r="AO22" i="1"/>
  <c r="AN22" i="1"/>
  <c r="AM22" i="1"/>
  <c r="AJ22" i="1"/>
  <c r="AH22" i="1"/>
  <c r="AG22" i="1"/>
  <c r="BB22" i="1" s="1"/>
  <c r="AF22" i="1"/>
  <c r="AE22" i="1"/>
  <c r="AA22" i="1"/>
  <c r="BC22" i="1" s="1"/>
  <c r="Z22" i="1"/>
  <c r="V22" i="1"/>
  <c r="X22" i="1" s="1"/>
  <c r="Q22" i="1"/>
  <c r="P22" i="1"/>
  <c r="O22" i="1"/>
  <c r="M22" i="1"/>
  <c r="BX21" i="1"/>
  <c r="BY21" i="1" s="1"/>
  <c r="BS21" i="1"/>
  <c r="BQ21" i="1"/>
  <c r="BP21" i="1"/>
  <c r="BO21" i="1"/>
  <c r="BN21" i="1"/>
  <c r="BM21" i="1"/>
  <c r="BU21" i="1" s="1"/>
  <c r="BL21" i="1"/>
  <c r="BK21" i="1"/>
  <c r="BJ21" i="1"/>
  <c r="BE21" i="1"/>
  <c r="AV21" i="1"/>
  <c r="AM21" i="1"/>
  <c r="AN21" i="1" s="1"/>
  <c r="AO21" i="1" s="1"/>
  <c r="AL21" i="1"/>
  <c r="AJ21" i="1"/>
  <c r="AI21" i="1"/>
  <c r="AW21" i="1" s="1"/>
  <c r="AH21" i="1"/>
  <c r="AG21" i="1"/>
  <c r="BG21" i="1" s="1"/>
  <c r="AF21" i="1"/>
  <c r="AE21" i="1"/>
  <c r="AA21" i="1"/>
  <c r="Z21" i="1"/>
  <c r="V21" i="1"/>
  <c r="AQ21" i="1" s="1"/>
  <c r="Q21" i="1"/>
  <c r="P21" i="1"/>
  <c r="O21" i="1"/>
  <c r="M21" i="1"/>
  <c r="BS20" i="1"/>
  <c r="BQ20" i="1"/>
  <c r="BX20" i="1" s="1"/>
  <c r="BP20" i="1"/>
  <c r="BO20" i="1"/>
  <c r="BN20" i="1"/>
  <c r="BY20" i="1" s="1"/>
  <c r="BM20" i="1"/>
  <c r="BU20" i="1" s="1"/>
  <c r="BL20" i="1"/>
  <c r="BJ20" i="1"/>
  <c r="BE20" i="1"/>
  <c r="BB20" i="1"/>
  <c r="AV20" i="1"/>
  <c r="AM20" i="1"/>
  <c r="AL20" i="1"/>
  <c r="AJ20" i="1"/>
  <c r="AH20" i="1"/>
  <c r="AG20" i="1"/>
  <c r="BH20" i="1" s="1"/>
  <c r="AF20" i="1"/>
  <c r="AE20" i="1"/>
  <c r="AA20" i="1"/>
  <c r="BK20" i="1" s="1"/>
  <c r="Z20" i="1"/>
  <c r="V20" i="1"/>
  <c r="AI20" i="1" s="1"/>
  <c r="Q20" i="1"/>
  <c r="P20" i="1"/>
  <c r="O20" i="1"/>
  <c r="M20" i="1"/>
  <c r="BS19" i="1"/>
  <c r="BQ19" i="1"/>
  <c r="BX19" i="1" s="1"/>
  <c r="BP19" i="1"/>
  <c r="BO19" i="1"/>
  <c r="BN19" i="1"/>
  <c r="BM19" i="1"/>
  <c r="BU19" i="1" s="1"/>
  <c r="BL19" i="1"/>
  <c r="BJ19" i="1"/>
  <c r="BF19" i="1"/>
  <c r="BE19" i="1"/>
  <c r="AV19" i="1"/>
  <c r="AQ19" i="1"/>
  <c r="AO19" i="1"/>
  <c r="AN19" i="1"/>
  <c r="AM19" i="1"/>
  <c r="AK19" i="1"/>
  <c r="AJ19" i="1"/>
  <c r="AI19" i="1"/>
  <c r="AW19" i="1" s="1"/>
  <c r="AH19" i="1"/>
  <c r="AG19" i="1"/>
  <c r="BB19" i="1" s="1"/>
  <c r="AF19" i="1"/>
  <c r="AE19" i="1"/>
  <c r="AA19" i="1"/>
  <c r="BC19" i="1" s="1"/>
  <c r="Z19" i="1"/>
  <c r="X19" i="1"/>
  <c r="P19" i="1"/>
  <c r="Q19" i="1" s="1"/>
  <c r="O19" i="1"/>
  <c r="M19" i="1"/>
  <c r="BX18" i="1"/>
  <c r="BU18" i="1"/>
  <c r="BS18" i="1"/>
  <c r="BQ18" i="1"/>
  <c r="BP18" i="1"/>
  <c r="BO18" i="1"/>
  <c r="BN18" i="1"/>
  <c r="BY18" i="1" s="1"/>
  <c r="BM18" i="1"/>
  <c r="BT18" i="1" s="1"/>
  <c r="BV18" i="1" s="1"/>
  <c r="BL18" i="1"/>
  <c r="BJ18" i="1"/>
  <c r="BG18" i="1"/>
  <c r="BE18" i="1"/>
  <c r="AV18" i="1"/>
  <c r="AN18" i="1"/>
  <c r="AO18" i="1" s="1"/>
  <c r="AM18" i="1"/>
  <c r="AK18" i="1"/>
  <c r="AJ18" i="1"/>
  <c r="AI18" i="1"/>
  <c r="AQ18" i="1" s="1"/>
  <c r="AH18" i="1"/>
  <c r="AG18" i="1"/>
  <c r="BF18" i="1" s="1"/>
  <c r="AF18" i="1"/>
  <c r="AE18" i="1"/>
  <c r="AA18" i="1"/>
  <c r="Z18" i="1"/>
  <c r="X18" i="1"/>
  <c r="P18" i="1"/>
  <c r="Q18" i="1" s="1"/>
  <c r="O18" i="1"/>
  <c r="M18" i="1"/>
  <c r="BS17" i="1"/>
  <c r="BQ17" i="1"/>
  <c r="BX17" i="1" s="1"/>
  <c r="BY17" i="1" s="1"/>
  <c r="BP17" i="1"/>
  <c r="BO17" i="1"/>
  <c r="BN17" i="1"/>
  <c r="BM17" i="1"/>
  <c r="BU17" i="1" s="1"/>
  <c r="BL17" i="1"/>
  <c r="BK17" i="1"/>
  <c r="BJ17" i="1"/>
  <c r="BG17" i="1"/>
  <c r="BF17" i="1"/>
  <c r="BE17" i="1"/>
  <c r="BC17" i="1"/>
  <c r="BB17" i="1"/>
  <c r="AV17" i="1"/>
  <c r="AM17" i="1"/>
  <c r="AL17" i="1"/>
  <c r="AK17" i="1"/>
  <c r="AJ17" i="1"/>
  <c r="AI17" i="1"/>
  <c r="AH17" i="1"/>
  <c r="AG17" i="1"/>
  <c r="BH17" i="1" s="1"/>
  <c r="AF17" i="1"/>
  <c r="AE17" i="1"/>
  <c r="AA17" i="1"/>
  <c r="BD17" i="1" s="1"/>
  <c r="Z17" i="1"/>
  <c r="X17" i="1"/>
  <c r="P17" i="1"/>
  <c r="Q17" i="1" s="1"/>
  <c r="O17" i="1"/>
  <c r="M17" i="1"/>
  <c r="BX16" i="1"/>
  <c r="BU16" i="1"/>
  <c r="BT16" i="1"/>
  <c r="BS16" i="1"/>
  <c r="BV16" i="1" s="1"/>
  <c r="BQ16" i="1"/>
  <c r="BP16" i="1"/>
  <c r="BO16" i="1"/>
  <c r="BN16" i="1"/>
  <c r="BY16" i="1" s="1"/>
  <c r="BZ16" i="1" s="1"/>
  <c r="BM16" i="1"/>
  <c r="BL16" i="1"/>
  <c r="BK16" i="1"/>
  <c r="BJ16" i="1"/>
  <c r="BF16" i="1"/>
  <c r="BE16" i="1"/>
  <c r="BC16" i="1"/>
  <c r="BB16" i="1"/>
  <c r="AV16" i="1"/>
  <c r="AS16" i="1"/>
  <c r="AQ16" i="1"/>
  <c r="AT16" i="1" s="1"/>
  <c r="AM16" i="1"/>
  <c r="AN16" i="1" s="1"/>
  <c r="AL16" i="1"/>
  <c r="AJ16" i="1"/>
  <c r="AI16" i="1"/>
  <c r="AW16" i="1" s="1"/>
  <c r="AH16" i="1"/>
  <c r="AG16" i="1"/>
  <c r="BH16" i="1" s="1"/>
  <c r="AF16" i="1"/>
  <c r="AE16" i="1"/>
  <c r="AD16" i="1"/>
  <c r="AA16" i="1"/>
  <c r="BD16" i="1" s="1"/>
  <c r="Z16" i="1"/>
  <c r="X16" i="1"/>
  <c r="AK16" i="1" s="1"/>
  <c r="Q16" i="1"/>
  <c r="P16" i="1"/>
  <c r="O16" i="1"/>
  <c r="M16" i="1"/>
  <c r="BY15" i="1"/>
  <c r="BU15" i="1"/>
  <c r="BS15" i="1"/>
  <c r="BV15" i="1" s="1"/>
  <c r="BQ15" i="1"/>
  <c r="BX15" i="1" s="1"/>
  <c r="BP15" i="1"/>
  <c r="BO15" i="1"/>
  <c r="BN15" i="1"/>
  <c r="BM15" i="1"/>
  <c r="BT15" i="1" s="1"/>
  <c r="BL15" i="1"/>
  <c r="BJ15" i="1"/>
  <c r="BE15" i="1"/>
  <c r="BC15" i="1"/>
  <c r="AV15" i="1"/>
  <c r="AQ15" i="1"/>
  <c r="AN15" i="1"/>
  <c r="AO15" i="1" s="1"/>
  <c r="AM15" i="1"/>
  <c r="AK15" i="1"/>
  <c r="AJ15" i="1"/>
  <c r="AI15" i="1"/>
  <c r="AW15" i="1" s="1"/>
  <c r="AH15" i="1"/>
  <c r="AG15" i="1"/>
  <c r="BB15" i="1" s="1"/>
  <c r="AF15" i="1"/>
  <c r="AE15" i="1"/>
  <c r="AA15" i="1"/>
  <c r="AL15" i="1" s="1"/>
  <c r="Z15" i="1"/>
  <c r="X15" i="1"/>
  <c r="P15" i="1"/>
  <c r="Q15" i="1" s="1"/>
  <c r="O15" i="1"/>
  <c r="M15" i="1"/>
  <c r="BY14" i="1"/>
  <c r="BX14" i="1"/>
  <c r="BU14" i="1"/>
  <c r="BT14" i="1"/>
  <c r="BV14" i="1" s="1"/>
  <c r="BS14" i="1"/>
  <c r="BQ14" i="1"/>
  <c r="BP14" i="1"/>
  <c r="BO14" i="1"/>
  <c r="BN14" i="1"/>
  <c r="BM14" i="1"/>
  <c r="BL14" i="1"/>
  <c r="BK14" i="1"/>
  <c r="BJ14" i="1"/>
  <c r="BG14" i="1"/>
  <c r="BF14" i="1"/>
  <c r="BE14" i="1"/>
  <c r="BC14" i="1"/>
  <c r="AV14" i="1"/>
  <c r="AM14" i="1"/>
  <c r="AL14" i="1"/>
  <c r="AJ14" i="1"/>
  <c r="AI14" i="1"/>
  <c r="AQ14" i="1" s="1"/>
  <c r="AH14" i="1"/>
  <c r="AG14" i="1"/>
  <c r="BB14" i="1" s="1"/>
  <c r="AF14" i="1"/>
  <c r="AE14" i="1"/>
  <c r="AA14" i="1"/>
  <c r="BD14" i="1" s="1"/>
  <c r="Z14" i="1"/>
  <c r="X14" i="1"/>
  <c r="Q14" i="1"/>
  <c r="P14" i="1"/>
  <c r="O14" i="1"/>
  <c r="M14" i="1"/>
  <c r="BY13" i="1"/>
  <c r="BZ13" i="1" s="1"/>
  <c r="BX13" i="1"/>
  <c r="BS13" i="1"/>
  <c r="BQ13" i="1"/>
  <c r="BP13" i="1"/>
  <c r="BO13" i="1"/>
  <c r="BN13" i="1"/>
  <c r="BM13" i="1"/>
  <c r="BU13" i="1" s="1"/>
  <c r="BL13" i="1"/>
  <c r="BK13" i="1"/>
  <c r="BJ13" i="1"/>
  <c r="BG13" i="1"/>
  <c r="BF13" i="1"/>
  <c r="BE13" i="1"/>
  <c r="BB13" i="1"/>
  <c r="AV13" i="1"/>
  <c r="AM13" i="1"/>
  <c r="AL13" i="1"/>
  <c r="AK13" i="1"/>
  <c r="AJ13" i="1"/>
  <c r="AI13" i="1"/>
  <c r="AQ13" i="1" s="1"/>
  <c r="AH13" i="1"/>
  <c r="AG13" i="1"/>
  <c r="BH13" i="1" s="1"/>
  <c r="AF13" i="1"/>
  <c r="AE13" i="1"/>
  <c r="AA13" i="1"/>
  <c r="AS13" i="1" s="1"/>
  <c r="Z13" i="1"/>
  <c r="X13" i="1"/>
  <c r="P13" i="1"/>
  <c r="Q13" i="1" s="1"/>
  <c r="O13" i="1"/>
  <c r="M13" i="1"/>
  <c r="A13" i="1"/>
  <c r="AD13" i="1" s="1"/>
  <c r="BW12" i="1"/>
  <c r="BU12" i="1"/>
  <c r="BT12" i="1"/>
  <c r="BS12" i="1"/>
  <c r="BV12" i="1" s="1"/>
  <c r="BQ12" i="1"/>
  <c r="BX12" i="1" s="1"/>
  <c r="BP12" i="1"/>
  <c r="BO12" i="1"/>
  <c r="BN12" i="1"/>
  <c r="BM12" i="1"/>
  <c r="BL12" i="1"/>
  <c r="BJ12" i="1"/>
  <c r="BF12" i="1"/>
  <c r="BE12" i="1"/>
  <c r="BC12" i="1"/>
  <c r="BB12" i="1"/>
  <c r="AV12" i="1"/>
  <c r="AQ12" i="1"/>
  <c r="AM12" i="1"/>
  <c r="AL12" i="1"/>
  <c r="AJ12" i="1"/>
  <c r="AI12" i="1"/>
  <c r="AW12" i="1" s="1"/>
  <c r="AH12" i="1"/>
  <c r="AG12" i="1"/>
  <c r="BH12" i="1" s="1"/>
  <c r="AF12" i="1"/>
  <c r="AE12" i="1"/>
  <c r="AD12" i="1"/>
  <c r="AA12" i="1"/>
  <c r="BD12" i="1" s="1"/>
  <c r="Z12" i="1"/>
  <c r="X12" i="1"/>
  <c r="AK12" i="1" s="1"/>
  <c r="Q12" i="1"/>
  <c r="P12" i="1"/>
  <c r="O12" i="1"/>
  <c r="M12" i="1"/>
  <c r="A12" i="1"/>
  <c r="BU11" i="1"/>
  <c r="BT11" i="1"/>
  <c r="BS11" i="1"/>
  <c r="BV11" i="1" s="1"/>
  <c r="BQ11" i="1"/>
  <c r="BX11" i="1" s="1"/>
  <c r="BP11" i="1"/>
  <c r="BO11" i="1"/>
  <c r="BN11" i="1"/>
  <c r="BY11" i="1" s="1"/>
  <c r="BM11" i="1"/>
  <c r="BL11" i="1"/>
  <c r="BJ11" i="1"/>
  <c r="BF11" i="1"/>
  <c r="BE11" i="1"/>
  <c r="AV11" i="1"/>
  <c r="AQ11" i="1"/>
  <c r="AM11" i="1"/>
  <c r="AN11" i="1" s="1"/>
  <c r="AK11" i="1"/>
  <c r="AJ11" i="1"/>
  <c r="AI11" i="1"/>
  <c r="AW11" i="1" s="1"/>
  <c r="AH11" i="1"/>
  <c r="AG11" i="1"/>
  <c r="BB11" i="1" s="1"/>
  <c r="AF11" i="1"/>
  <c r="AE11" i="1"/>
  <c r="AD11" i="1"/>
  <c r="AA11" i="1"/>
  <c r="BC11" i="1" s="1"/>
  <c r="Z11" i="1"/>
  <c r="X11" i="1"/>
  <c r="P11" i="1"/>
  <c r="Q11" i="1" s="1"/>
  <c r="O11" i="1"/>
  <c r="M11" i="1"/>
  <c r="AM9" i="1"/>
  <c r="AB9" i="1"/>
  <c r="U9" i="1"/>
  <c r="AI4" i="1"/>
  <c r="BV20" i="1" l="1"/>
  <c r="AO14" i="1"/>
  <c r="AZ16" i="1"/>
  <c r="BA16" i="1" s="1"/>
  <c r="AO11" i="1"/>
  <c r="AT13" i="1"/>
  <c r="AW13" i="1"/>
  <c r="AO20" i="1"/>
  <c r="BY22" i="1"/>
  <c r="AY16" i="1"/>
  <c r="AU16" i="1"/>
  <c r="BY23" i="1"/>
  <c r="AK22" i="1"/>
  <c r="BY12" i="1"/>
  <c r="BY19" i="1"/>
  <c r="BT19" i="1"/>
  <c r="BV19" i="1" s="1"/>
  <c r="X20" i="1"/>
  <c r="X23" i="1"/>
  <c r="BD11" i="1"/>
  <c r="BD22" i="1"/>
  <c r="BF15" i="1"/>
  <c r="AO16" i="1"/>
  <c r="AW18" i="1"/>
  <c r="BK18" i="1"/>
  <c r="BG19" i="1"/>
  <c r="AN20" i="1"/>
  <c r="BC20" i="1"/>
  <c r="BG22" i="1"/>
  <c r="AN23" i="1"/>
  <c r="AO23" i="1" s="1"/>
  <c r="BC23" i="1"/>
  <c r="BH14" i="1"/>
  <c r="AW14" i="1"/>
  <c r="BG15" i="1"/>
  <c r="BH19" i="1"/>
  <c r="BD20" i="1"/>
  <c r="BH22" i="1"/>
  <c r="BD23" i="1"/>
  <c r="BD19" i="1"/>
  <c r="AS11" i="1"/>
  <c r="BZ11" i="1" s="1"/>
  <c r="BG11" i="1"/>
  <c r="A14" i="1"/>
  <c r="BH15" i="1"/>
  <c r="AN17" i="1"/>
  <c r="AO17" i="1" s="1"/>
  <c r="AQ20" i="1"/>
  <c r="AW20" i="1" s="1"/>
  <c r="AQ23" i="1"/>
  <c r="AW23" i="1" s="1"/>
  <c r="BD15" i="1"/>
  <c r="AN12" i="1"/>
  <c r="AN9" i="1" s="1"/>
  <c r="BK11" i="1"/>
  <c r="BG12" i="1"/>
  <c r="AN13" i="1"/>
  <c r="AO13" i="1" s="1"/>
  <c r="BC13" i="1"/>
  <c r="AK14" i="1"/>
  <c r="A15" i="1"/>
  <c r="AD15" i="1" s="1"/>
  <c r="BG16" i="1"/>
  <c r="AL18" i="1"/>
  <c r="BK19" i="1"/>
  <c r="BF20" i="1"/>
  <c r="BT20" i="1"/>
  <c r="X21" i="1"/>
  <c r="BB21" i="1"/>
  <c r="AI22" i="1"/>
  <c r="BK22" i="1"/>
  <c r="BF23" i="1"/>
  <c r="BT23" i="1"/>
  <c r="BV23" i="1" s="1"/>
  <c r="BH11" i="1"/>
  <c r="AS12" i="1"/>
  <c r="AT12" i="1" s="1"/>
  <c r="BD13" i="1"/>
  <c r="BK15" i="1"/>
  <c r="AQ17" i="1"/>
  <c r="AW17" i="1" s="1"/>
  <c r="BB18" i="1"/>
  <c r="BG20" i="1"/>
  <c r="BC21" i="1"/>
  <c r="BG23" i="1"/>
  <c r="BT17" i="1"/>
  <c r="BV17" i="1" s="1"/>
  <c r="BC18" i="1"/>
  <c r="BD21" i="1"/>
  <c r="BH21" i="1"/>
  <c r="V9" i="1"/>
  <c r="X9" i="1"/>
  <c r="BK12" i="1"/>
  <c r="BT13" i="1"/>
  <c r="BV13" i="1" s="1"/>
  <c r="AN14" i="1"/>
  <c r="BD18" i="1"/>
  <c r="AL19" i="1"/>
  <c r="AL22" i="1"/>
  <c r="AL11" i="1"/>
  <c r="AI9" i="1"/>
  <c r="BF21" i="1"/>
  <c r="BT21" i="1"/>
  <c r="BV21" i="1" s="1"/>
  <c r="BH18" i="1"/>
  <c r="AY12" i="1" l="1"/>
  <c r="AZ12" i="1" s="1"/>
  <c r="BA12" i="1" s="1"/>
  <c r="AU12" i="1"/>
  <c r="AQ9" i="1"/>
  <c r="A19" i="1"/>
  <c r="AD14" i="1"/>
  <c r="AS14" i="1"/>
  <c r="A18" i="1"/>
  <c r="AS15" i="1"/>
  <c r="AT11" i="1"/>
  <c r="AO12" i="1"/>
  <c r="AO9" i="1" s="1"/>
  <c r="AW22" i="1"/>
  <c r="AQ22" i="1"/>
  <c r="A17" i="1"/>
  <c r="AY13" i="1"/>
  <c r="AZ13" i="1" s="1"/>
  <c r="BA13" i="1" s="1"/>
  <c r="AK21" i="1"/>
  <c r="AK23" i="1"/>
  <c r="AK9" i="1"/>
  <c r="BZ12" i="1"/>
  <c r="AU13" i="1"/>
  <c r="AK20" i="1"/>
  <c r="AU11" i="1" l="1"/>
  <c r="AY11" i="1"/>
  <c r="AZ11" i="1" s="1"/>
  <c r="BA11" i="1" s="1"/>
  <c r="AD19" i="1"/>
  <c r="AS19" i="1"/>
  <c r="BZ14" i="1"/>
  <c r="AT14" i="1"/>
  <c r="AD18" i="1"/>
  <c r="AS18" i="1"/>
  <c r="AS17" i="1"/>
  <c r="AD17" i="1"/>
  <c r="A20" i="1"/>
  <c r="A21" i="1"/>
  <c r="A22" i="1" s="1"/>
  <c r="BZ15" i="1"/>
  <c r="AT15" i="1"/>
  <c r="AD22" i="1" l="1"/>
  <c r="AS22" i="1"/>
  <c r="AD21" i="1"/>
  <c r="AS21" i="1"/>
  <c r="AT19" i="1"/>
  <c r="BZ19" i="1"/>
  <c r="AD20" i="1"/>
  <c r="AS20" i="1"/>
  <c r="BZ17" i="1"/>
  <c r="AT17" i="1"/>
  <c r="AT18" i="1"/>
  <c r="BZ18" i="1"/>
  <c r="AY15" i="1"/>
  <c r="AZ15" i="1" s="1"/>
  <c r="BA15" i="1" s="1"/>
  <c r="AU15" i="1"/>
  <c r="AY14" i="1"/>
  <c r="AZ14" i="1" s="1"/>
  <c r="BA14" i="1" s="1"/>
  <c r="AU14" i="1"/>
  <c r="A23" i="1"/>
  <c r="BZ20" i="1" l="1"/>
  <c r="AT20" i="1"/>
  <c r="AU18" i="1"/>
  <c r="AY18" i="1"/>
  <c r="AZ18" i="1" s="1"/>
  <c r="BA18" i="1"/>
  <c r="AY17" i="1"/>
  <c r="AZ17" i="1" s="1"/>
  <c r="AU17" i="1"/>
  <c r="BA17" i="1"/>
  <c r="AY19" i="1"/>
  <c r="AZ19" i="1" s="1"/>
  <c r="BA19" i="1" s="1"/>
  <c r="AU19" i="1"/>
  <c r="AT21" i="1"/>
  <c r="BZ21" i="1"/>
  <c r="BZ22" i="1"/>
  <c r="AT22" i="1"/>
  <c r="AD23" i="1"/>
  <c r="AS23" i="1"/>
  <c r="AU20" i="1" l="1"/>
  <c r="AY20" i="1"/>
  <c r="AZ20" i="1" s="1"/>
  <c r="BA20" i="1" s="1"/>
  <c r="AT23" i="1"/>
  <c r="BZ23" i="1"/>
  <c r="AY22" i="1"/>
  <c r="AZ22" i="1" s="1"/>
  <c r="BA22" i="1" s="1"/>
  <c r="AU22" i="1"/>
  <c r="AU21" i="1"/>
  <c r="AY21" i="1"/>
  <c r="AZ21" i="1" s="1"/>
  <c r="BA21" i="1" s="1"/>
  <c r="AY23" i="1" l="1"/>
  <c r="AZ23" i="1" s="1"/>
  <c r="BA23" i="1" s="1"/>
  <c r="AU23" i="1"/>
  <c r="AU9" i="1" s="1"/>
  <c r="AT9" i="1"/>
</calcChain>
</file>

<file path=xl/sharedStrings.xml><?xml version="1.0" encoding="utf-8"?>
<sst xmlns="http://schemas.openxmlformats.org/spreadsheetml/2006/main" count="309" uniqueCount="184">
  <si>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</si>
  <si>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</si>
  <si>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</si>
  <si>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</si>
  <si>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</si>
  <si>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</si>
  <si>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</si>
  <si>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</si>
  <si>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</si>
  <si>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</si>
  <si>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</si>
  <si>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</si>
  <si>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</si>
  <si>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</si>
  <si>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</si>
  <si>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</si>
  <si>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</si>
  <si>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</si>
  <si>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</si>
  <si>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</si>
  <si>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</si>
  <si>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</si>
  <si>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</si>
  <si>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</si>
  <si>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</si>
  <si>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</si>
  <si>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</si>
  <si>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</si>
  <si>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</si>
  <si>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</si>
  <si>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</si>
  <si>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</si>
  <si>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</si>
  <si>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</si>
  <si>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</si>
  <si>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</si>
  <si>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</si>
  <si>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</si>
  <si>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</si>
  <si>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</si>
  <si>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</si>
  <si>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</si>
  <si>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</si>
  <si>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</si>
  <si>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</si>
  <si>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</si>
  <si>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</si>
  <si>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</si>
  <si>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</si>
  <si>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</si>
  <si>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</si>
  <si>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</si>
  <si>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</si>
  <si>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</si>
  <si>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</si>
  <si>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</si>
  <si>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</si>
  <si>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</si>
  <si>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</si>
  <si>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</si>
  <si>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</si>
  <si>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</si>
  <si>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</si>
  <si>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</si>
  <si>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</si>
  <si>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</si>
  <si>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</si>
  <si>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</si>
  <si>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</si>
  <si>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</si>
  <si>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</si>
  <si>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</si>
  <si>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</si>
  <si>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</si>
  <si>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</si>
  <si>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</si>
  <si>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</si>
  <si>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</si>
  <si>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</si>
  <si>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</si>
  <si>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</si>
  <si>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</si>
  <si>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</si>
  <si>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</si>
  <si>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</si>
  <si>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</si>
  <si>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</si>
  <si>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</si>
  <si>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</si>
  <si>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</si>
  <si>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</si>
  <si>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</si>
  <si>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</si>
  <si>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</si>
  <si>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</si>
  <si>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</si>
  <si>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</si>
  <si>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</si>
  <si>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</si>
  <si>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</si>
  <si>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</si>
  <si>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</si>
  <si>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</si>
  <si>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</si>
  <si>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</si>
  <si>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</si>
  <si>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</si>
  <si>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</si>
  <si>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</si>
  <si>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</si>
  <si>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CG00447</t>
  </si>
  <si>
    <t>Tiến Nga (LNHNA) 0356702375</t>
  </si>
  <si>
    <t>Lý Nhân, Hà Nam</t>
  </si>
  <si>
    <t>HS</t>
  </si>
  <si>
    <t/>
  </si>
  <si>
    <t>LN.HNA.DKG</t>
  </si>
  <si>
    <t>DKG&lt;-&gt;Lý Nhân, Hà Nam</t>
  </si>
  <si>
    <t>15C-11856</t>
  </si>
  <si>
    <t>HS11</t>
  </si>
  <si>
    <t>Mạnh</t>
  </si>
  <si>
    <t>Gỗ lim tròn (Đại Lợi)</t>
  </si>
  <si>
    <t>CGN</t>
  </si>
  <si>
    <t xml:space="preserve">TDG xe </t>
  </si>
  <si>
    <t>CG00432</t>
  </si>
  <si>
    <t>Tiến (TPDN) 0905108038</t>
  </si>
  <si>
    <t>Tp. Đà Nẵng</t>
  </si>
  <si>
    <t>CT</t>
  </si>
  <si>
    <t>HA</t>
  </si>
  <si>
    <t>TCNU8842633</t>
  </si>
  <si>
    <t>CDV.HS</t>
  </si>
  <si>
    <t>DKG&lt;-&gt;Chuyển tải khu vực CĐV-HS</t>
  </si>
  <si>
    <t>15C-15237</t>
  </si>
  <si>
    <t>Gỗ Sapelli tròn (Mỹ Đoàn)</t>
  </si>
  <si>
    <t>RLL</t>
  </si>
  <si>
    <t>CG00397</t>
  </si>
  <si>
    <t>Khiêm (NHND) 0948346289</t>
  </si>
  <si>
    <t>Nghĩa Hưng, Nam Định</t>
  </si>
  <si>
    <t>HP</t>
  </si>
  <si>
    <t>NH.ND.DKG</t>
  </si>
  <si>
    <t>DKG&lt;-&gt;Nghĩa Hưng, Nam Định</t>
  </si>
  <si>
    <t>15C-12874</t>
  </si>
  <si>
    <t>Gỗ lim tròn (Minh)</t>
  </si>
  <si>
    <t>CG00250</t>
  </si>
  <si>
    <t>Trai (NTND) 0988492384</t>
  </si>
  <si>
    <t>Nam Trực, Nam Định</t>
  </si>
  <si>
    <t>TD.BN.DKG</t>
  </si>
  <si>
    <t>DKG&lt;-&gt;Tiên Du, Bắc Ninh</t>
  </si>
  <si>
    <t>15C-13036</t>
  </si>
  <si>
    <t>Gỗ Azobe tròn (Mỹ Đoàn)</t>
  </si>
  <si>
    <t>CG00448</t>
  </si>
  <si>
    <t>Kiên (YLHNA) 0919954967</t>
  </si>
  <si>
    <t>Yên Lệnh, Hà Nam</t>
  </si>
  <si>
    <t>DT.HNA.DKG</t>
  </si>
  <si>
    <t>DKG&lt;-&gt;Duy Tiên, Hà Nam</t>
  </si>
  <si>
    <t>15C-13568</t>
  </si>
  <si>
    <t>Gỗ Sến tròn (Phú Lân)</t>
  </si>
  <si>
    <t>CG00254</t>
  </si>
  <si>
    <t>Công ty CP Phú Lân (PXHN) 0963336999</t>
  </si>
  <si>
    <t>0104473265</t>
  </si>
  <si>
    <t>Thôn Văn Hội, Xã Đại Thắng, Huyện Phú Xuyên, Thành phố Hà Nội</t>
  </si>
  <si>
    <t>TTI.HN.DKG</t>
  </si>
  <si>
    <t>DKG&lt;-&gt;Thường Tín, Hà Nội</t>
  </si>
  <si>
    <t>Gỗ Pachy tròn (Phú Lân)</t>
  </si>
  <si>
    <t>CGL</t>
  </si>
  <si>
    <t>ghép</t>
  </si>
  <si>
    <t>CG00044</t>
  </si>
  <si>
    <t>Công ty TNHH Thương mại và Sản xuất Trí Dũng (QOHN) 0905557788</t>
  </si>
  <si>
    <t>0101453895</t>
  </si>
  <si>
    <t>Thôn Ngọc Phúc, xã Ngọc Liệp, huyện Quốc Oai, thành phố Hà Nội</t>
  </si>
  <si>
    <t>HS.HA</t>
  </si>
  <si>
    <t>DKG&lt;-&gt;Namtraco</t>
  </si>
  <si>
    <t>HS03</t>
  </si>
  <si>
    <t>Gỗ xẻ (Trí Dũng)</t>
  </si>
  <si>
    <t>15C-13840</t>
  </si>
  <si>
    <t>CG00024</t>
  </si>
  <si>
    <t>Công ty TNHH XNK và Thương mại Phúc Tâm (HDHN) 0913074797</t>
  </si>
  <si>
    <t>0106860679</t>
  </si>
  <si>
    <t xml:space="preserve">Thôn An Hạ, Xã An Thượng, Huyện Hoài Đức, Hà Nội </t>
  </si>
  <si>
    <t>CHP.HS</t>
  </si>
  <si>
    <t>DKG&lt;-&gt;Chuyển tải CHP-HS</t>
  </si>
  <si>
    <t>15C-10812</t>
  </si>
  <si>
    <t>RunFu8</t>
  </si>
  <si>
    <t>Phúc Tâm</t>
  </si>
  <si>
    <t>15C-13368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</si>
</sst>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35CB5CA2-D4C4-4409-A620-29689FED5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C640ADC-957E-40BE-A6DA-E5214A5B1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CEFC4BB-4D6C-43E7-8009-65041E755D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1C11000-9049-4F29-99AC-BA611AECBD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6AE481D-84D6-4D2D-B93E-3925E7127F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60FC1F2F-B717-4CF2-88D8-F7332CE07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09.07.24..xlsm" TargetMode="External"/><Relationship Id="rId1" Type="http://schemas.openxmlformats.org/officeDocument/2006/relationships/externalLinkPath" Target="/Dropbox/1.%20Tien_duong_tu_13.08.2021/KH09.07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08.07.24..xlsm" TargetMode="External"/><Relationship Id="rId1" Type="http://schemas.openxmlformats.org/officeDocument/2006/relationships/externalLinkPath" Target="/Dropbox/1.%20Tien_duong_tu_13.08.2021/KH08.07.24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Khach_hang"/>
      <sheetName val="23"/>
      <sheetName val="giaroi"/>
      <sheetName val="gia3"/>
      <sheetName val="cthuc"/>
      <sheetName val="sochu"/>
      <sheetName val="Hanghoa"/>
      <sheetName val="thu tie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5BC6-EFCB-4268-938D-B01EDA673985}">
  <sheetPr codeName="Sheet16">
    <tabColor rgb="FF00B0F0"/>
  </sheetPr>
  <dimension ref="A1:BZ23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45482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SUBTOTAL(9,U11:U111224)</f>
        <v>109</v>
      </c>
      <c r="V9" s="86">
        <f>SUBTOTAL(9,V11:V111224)</f>
        <v>275.60810980392159</v>
      </c>
      <c r="W9" s="85"/>
      <c r="X9" s="87">
        <f>SUBTOTAL(9,X11:X111224)</f>
        <v>65479445.490196079</v>
      </c>
      <c r="Y9" s="82"/>
      <c r="Z9" s="82"/>
      <c r="AA9" s="82"/>
      <c r="AB9" s="85">
        <f>SUBTOTAL(9,AB11:AB111224)</f>
        <v>10650000</v>
      </c>
      <c r="AC9" s="88"/>
      <c r="AD9" s="75"/>
      <c r="AE9" s="75"/>
      <c r="AF9" s="75"/>
      <c r="AG9" s="82"/>
      <c r="AH9" s="82"/>
      <c r="AI9" s="86">
        <f>SUBTOTAL(9,AI11:AI111215)</f>
        <v>275.60810980392159</v>
      </c>
      <c r="AJ9" s="85"/>
      <c r="AK9" s="85">
        <f>SUBTOTAL(9,AK11:AK111215)</f>
        <v>65479445.490196079</v>
      </c>
      <c r="AL9" s="85"/>
      <c r="AM9" s="85">
        <f>SUBTOTAL(9,AM11:AM111224)</f>
        <v>10650000</v>
      </c>
      <c r="AN9" s="85">
        <f>SUBTOTAL(9,AN11:AN111224)</f>
        <v>10250000</v>
      </c>
      <c r="AO9" s="85">
        <f>SUBTOTAL(9,AO11:AO111224)</f>
        <v>400000</v>
      </c>
      <c r="AP9" s="82"/>
      <c r="AQ9" s="86">
        <f>SUBTOTAL(9,AQ11:AQ111215)</f>
        <v>261.87770431372547</v>
      </c>
      <c r="AR9" s="86"/>
      <c r="AS9" s="85"/>
      <c r="AT9" s="85">
        <f>SUBTOTAL(9,AT11:AT111215)</f>
        <v>41601057</v>
      </c>
      <c r="AU9" s="85">
        <f>SUBTOTAL(9,AU11:AU111215)</f>
        <v>23878388.490196072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45482</v>
      </c>
      <c r="C11" s="97" t="s">
        <v>110</v>
      </c>
      <c r="D11" s="99" t="s">
        <v>111</v>
      </c>
      <c r="E11" s="100"/>
      <c r="F11" s="99" t="s">
        <v>112</v>
      </c>
      <c r="G11" s="99"/>
      <c r="H11" s="97" t="s">
        <v>113</v>
      </c>
      <c r="I11" s="97" t="s">
        <v>114</v>
      </c>
      <c r="J11" s="97"/>
      <c r="K11" s="101" t="s">
        <v>115</v>
      </c>
      <c r="L11" s="102" t="s">
        <v>116</v>
      </c>
      <c r="M11" s="103" t="str">
        <f t="shared" ref="M11:M23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117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Đinh Minh Dũng</v>
      </c>
      <c r="P11" s="103" t="str">
        <f t="shared" ref="P11:P23" si="1">RIGHT(H11,2)</f>
        <v>HS</v>
      </c>
      <c r="Q11" s="106" t="str">
        <f t="shared" ref="Q11:Q23" si="2">IF(P11="TC",189,P11)</f>
        <v>HS</v>
      </c>
      <c r="R11" s="103" t="s">
        <v>118</v>
      </c>
      <c r="S11" s="103" t="s">
        <v>119</v>
      </c>
      <c r="T11" s="107" t="s">
        <v>120</v>
      </c>
      <c r="U11" s="108">
        <v>3</v>
      </c>
      <c r="V11" s="109">
        <v>24.841999999999999</v>
      </c>
      <c r="W11" s="110">
        <v>420000</v>
      </c>
      <c r="X11" s="111">
        <f t="shared" ref="X11:X23" si="3">V11*W11</f>
        <v>10433640</v>
      </c>
      <c r="Y11" s="106" t="s">
        <v>121</v>
      </c>
      <c r="Z11" s="106">
        <f t="shared" ref="Z11:Z23" si="4">IF(Y11="RLL","OK/NO",0)</f>
        <v>0</v>
      </c>
      <c r="AA11" s="106" t="str">
        <f>LEFT(L11,3)</f>
        <v>DKG</v>
      </c>
      <c r="AB11" s="112">
        <v>2450000</v>
      </c>
      <c r="AC11" s="105" t="s">
        <v>114</v>
      </c>
      <c r="AD11" s="113">
        <f t="shared" ref="AD11:AD23" si="5">A11</f>
        <v>1</v>
      </c>
      <c r="AE11" s="113" t="str">
        <f t="shared" ref="AE11:AE23" si="6">H11</f>
        <v>HS</v>
      </c>
      <c r="AF11" s="114" t="str">
        <f t="shared" ref="AF11:AF23" si="7">L11</f>
        <v>DKG&lt;-&gt;Lý Nhân, Hà Nam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23" si="8">N11</f>
        <v>15C-11856</v>
      </c>
      <c r="AI11" s="109">
        <f t="shared" ref="AI11:AK23" si="9">V11</f>
        <v>24.841999999999999</v>
      </c>
      <c r="AJ11" s="112">
        <f t="shared" si="9"/>
        <v>420000</v>
      </c>
      <c r="AK11" s="112">
        <f t="shared" si="9"/>
        <v>10433640</v>
      </c>
      <c r="AL11" s="106" t="str">
        <f t="shared" ref="AL11:AM23" si="10">AA11</f>
        <v>DKG</v>
      </c>
      <c r="AM11" s="112">
        <f t="shared" si="10"/>
        <v>2450000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2350000</v>
      </c>
      <c r="AO11" s="112">
        <f t="shared" ref="AO11:AO23" si="11">AM11-AN11</f>
        <v>100000</v>
      </c>
      <c r="AP11" s="105"/>
      <c r="AQ11" s="109">
        <f t="shared" ref="AQ11:AQ23" si="12">IF(V11&lt;=1,V11,AI11*95%)</f>
        <v>23.599899999999998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355000</v>
      </c>
      <c r="AT11" s="112">
        <f t="shared" ref="AT11:AT23" si="13">AQ11*AS11</f>
        <v>8377964.4999999991</v>
      </c>
      <c r="AU11" s="112">
        <f t="shared" ref="AU11:AU23" si="14">AK11-AT11</f>
        <v>2055675.5000000009</v>
      </c>
      <c r="AV11" s="105" t="str">
        <f t="shared" ref="AV11:AV23" si="15">AC11</f>
        <v/>
      </c>
      <c r="AW11" s="115">
        <f t="shared" ref="AW11:AW23" si="16">IF(AI11-AQ11=0,AQ11,IF(AI11-AQ11&gt;0,AI11-AQ11))</f>
        <v>1.2421000000000006</v>
      </c>
      <c r="AX11" s="115"/>
      <c r="AY11" s="116">
        <f t="shared" ref="AY11:AY23" si="17">(AK11-AT11)/AW11</f>
        <v>1655000</v>
      </c>
      <c r="AZ11" s="116">
        <f t="shared" ref="AZ11:AZ23" si="18">AW11*AY11</f>
        <v>2055675.5000000012</v>
      </c>
      <c r="BA11" s="116">
        <f t="shared" ref="BA11:BA23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512132</v>
      </c>
      <c r="BC11" s="117">
        <f t="shared" ref="BC11:BC23" si="20">IF(AA11="DKG",511301,IF(AA11="THG",511302,0))</f>
        <v>511301</v>
      </c>
      <c r="BD11" s="117">
        <f t="shared" ref="BD11:BD23" si="21">IF(AA11="DKG",5123,IF(AA11="THG",522,0))</f>
        <v>5123</v>
      </c>
      <c r="BE11" s="117">
        <f t="shared" ref="BE11:BE23" si="22">IF(AP11="Phú","NV018",IF(AP11="Giang","NV006",IF(AP11="Quang","NV024",IF(AP11="Kỳ","NV222",0))))</f>
        <v>0</v>
      </c>
      <c r="BF11" s="117">
        <f t="shared" ref="BF11:BF23" si="23">IF(AG11="CX001",0,331)</f>
        <v>0</v>
      </c>
      <c r="BG11" s="117">
        <f t="shared" ref="BG11:BG23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6121132</v>
      </c>
      <c r="BI11" s="73" t="s">
        <v>122</v>
      </c>
      <c r="BJ11" s="73" t="str">
        <f t="shared" ref="BJ11:BJ23" si="25">CONCATENATE(BI11,N11)</f>
        <v>TDG xe 15C-11856</v>
      </c>
      <c r="BK11" s="118" t="str">
        <f t="shared" ref="BK11:BK23" si="26">IF(AA11="THG","T",IF(AA11="DKG","G",0))</f>
        <v>G</v>
      </c>
      <c r="BL11" s="74">
        <f ca="1">IF(Y11="CGN",TODAY(),"")</f>
        <v>45483</v>
      </c>
      <c r="BM11" s="8" t="str">
        <f t="shared" ref="BM11" si="27">+C11</f>
        <v>CG00447</v>
      </c>
      <c r="BN11" s="8" t="str">
        <f>I11</f>
        <v/>
      </c>
      <c r="BO11" s="8" t="str">
        <f t="shared" ref="BO11:BP11" si="28">+C11</f>
        <v>CG00447</v>
      </c>
      <c r="BP11" s="8" t="str">
        <f t="shared" si="28"/>
        <v>Tiến Nga (LNHNA) 0356702375</v>
      </c>
      <c r="BQ11" s="8" t="str">
        <f t="shared" ref="BQ11" si="29">+L11</f>
        <v>DKG&lt;-&gt;Lý Nhân, Hà Nam</v>
      </c>
      <c r="BS11" s="116">
        <f t="shared" ref="BS11" si="30">+W11</f>
        <v>420000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>
        <f>VLOOKUP(BQ11,[2]gia3!$D$7:$W$256,19,0)</f>
        <v>4500000</v>
      </c>
      <c r="BY11" s="95" t="str">
        <f t="shared" ref="BY11:BY23" si="31">IF(BN11="","",IF(BN11="LH",BX11+300000,BX11))</f>
        <v/>
      </c>
      <c r="BZ11" s="96" t="e">
        <f t="shared" ref="BZ11:BZ23" si="32">+BY11-AS11</f>
        <v>#VALUE!</v>
      </c>
    </row>
    <row r="12" spans="1:78" s="8" customFormat="1" ht="20.100000000000001" customHeight="1" x14ac:dyDescent="0.3">
      <c r="A12" s="97">
        <f>MAX($A$11:A11)+1</f>
        <v>2</v>
      </c>
      <c r="B12" s="98">
        <v>45482</v>
      </c>
      <c r="C12" s="97" t="s">
        <v>123</v>
      </c>
      <c r="D12" s="99" t="s">
        <v>124</v>
      </c>
      <c r="E12" s="100"/>
      <c r="F12" s="99" t="s">
        <v>125</v>
      </c>
      <c r="G12" s="99"/>
      <c r="H12" s="97" t="s">
        <v>126</v>
      </c>
      <c r="I12" s="97" t="s">
        <v>127</v>
      </c>
      <c r="J12" s="97" t="s">
        <v>128</v>
      </c>
      <c r="K12" s="101" t="s">
        <v>129</v>
      </c>
      <c r="L12" s="102" t="s">
        <v>130</v>
      </c>
      <c r="M12" s="103" t="str">
        <f t="shared" si="0"/>
        <v>Hoàng Sơn</v>
      </c>
      <c r="N12" s="104" t="s">
        <v>131</v>
      </c>
      <c r="O12" s="105" t="str">
        <f t="shared" ref="O12:O23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Lưu Xuân Thành</v>
      </c>
      <c r="P12" s="103" t="str">
        <f t="shared" si="1"/>
        <v>CT</v>
      </c>
      <c r="Q12" s="106" t="str">
        <f t="shared" si="2"/>
        <v>CT</v>
      </c>
      <c r="R12" s="103" t="s">
        <v>118</v>
      </c>
      <c r="S12" s="103" t="s">
        <v>119</v>
      </c>
      <c r="T12" s="107" t="s">
        <v>132</v>
      </c>
      <c r="U12" s="108"/>
      <c r="V12" s="109">
        <v>1</v>
      </c>
      <c r="W12" s="110">
        <v>1200000</v>
      </c>
      <c r="X12" s="111">
        <f t="shared" si="3"/>
        <v>1200000</v>
      </c>
      <c r="Y12" s="106" t="s">
        <v>133</v>
      </c>
      <c r="Z12" s="106" t="str">
        <f t="shared" si="4"/>
        <v>OK/NO</v>
      </c>
      <c r="AA12" s="106" t="str">
        <f t="shared" ref="AA12:AA23" si="34">LEFT(L12,3)</f>
        <v>DKG</v>
      </c>
      <c r="AB12" s="112">
        <v>150000</v>
      </c>
      <c r="AC12" s="105" t="s">
        <v>114</v>
      </c>
      <c r="AD12" s="113">
        <f t="shared" si="5"/>
        <v>2</v>
      </c>
      <c r="AE12" s="113" t="str">
        <f t="shared" si="6"/>
        <v>CT</v>
      </c>
      <c r="AF12" s="114" t="str">
        <f t="shared" si="7"/>
        <v>DKG&lt;-&gt;Chuyển tải khu vực CĐV-HS</v>
      </c>
      <c r="AG12" s="106" t="str">
        <f t="shared" ref="AG12:AG23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15C-15237</v>
      </c>
      <c r="AI12" s="109">
        <f t="shared" si="9"/>
        <v>1</v>
      </c>
      <c r="AJ12" s="112">
        <f t="shared" si="9"/>
        <v>1200000</v>
      </c>
      <c r="AK12" s="112">
        <f t="shared" si="9"/>
        <v>1200000</v>
      </c>
      <c r="AL12" s="106" t="str">
        <f t="shared" si="10"/>
        <v>DKG</v>
      </c>
      <c r="AM12" s="112">
        <f t="shared" si="10"/>
        <v>150000</v>
      </c>
      <c r="AN12" s="112">
        <f t="shared" ref="AN12:AN23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150000</v>
      </c>
      <c r="AO12" s="112">
        <f t="shared" si="11"/>
        <v>0</v>
      </c>
      <c r="AP12" s="105"/>
      <c r="AQ12" s="109">
        <f t="shared" si="12"/>
        <v>1</v>
      </c>
      <c r="AR12" s="109"/>
      <c r="AS12" s="112">
        <f t="shared" ref="AS12:AS23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550000</v>
      </c>
      <c r="AT12" s="112">
        <f t="shared" si="13"/>
        <v>550000</v>
      </c>
      <c r="AU12" s="112">
        <f t="shared" si="14"/>
        <v>650000</v>
      </c>
      <c r="AV12" s="105" t="str">
        <f t="shared" si="15"/>
        <v/>
      </c>
      <c r="AW12" s="115">
        <f t="shared" si="16"/>
        <v>1</v>
      </c>
      <c r="AX12" s="115"/>
      <c r="AY12" s="116">
        <f t="shared" si="17"/>
        <v>650000</v>
      </c>
      <c r="AZ12" s="116">
        <f t="shared" si="18"/>
        <v>650000</v>
      </c>
      <c r="BA12" s="116">
        <f t="shared" si="19"/>
        <v>0</v>
      </c>
      <c r="BB12" s="117">
        <f t="shared" ref="BB12:BB23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512119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23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6121119</v>
      </c>
      <c r="BI12" s="73" t="s">
        <v>122</v>
      </c>
      <c r="BJ12" s="73" t="str">
        <f t="shared" si="25"/>
        <v>TDG xe 15C-15237</v>
      </c>
      <c r="BK12" s="118" t="str">
        <f t="shared" si="26"/>
        <v>G</v>
      </c>
      <c r="BL12" s="74" t="str">
        <f t="shared" ref="BL12:BL23" ca="1" si="40">IF(Y12="CGN",TODAY(),"")</f>
        <v/>
      </c>
      <c r="BM12" s="8" t="str">
        <f>+C12</f>
        <v>CG00432</v>
      </c>
      <c r="BN12" s="8" t="str">
        <f t="shared" ref="BN12:BN23" si="41">I12</f>
        <v>HA</v>
      </c>
      <c r="BO12" s="8" t="str">
        <f>+C12</f>
        <v>CG00432</v>
      </c>
      <c r="BP12" s="8" t="str">
        <f>+D12</f>
        <v>Tiến (TPDN) 0905108038</v>
      </c>
      <c r="BQ12" s="8" t="str">
        <f>+L12</f>
        <v>DKG&lt;-&gt;Chuyển tải khu vực CĐV-HS</v>
      </c>
      <c r="BS12" s="116">
        <f>+W12</f>
        <v>1200000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23" si="42">IF(BS12-BT12=500000,BU12+400000,IF(BT12=BS12,BU12,"saiiiiiiiiiiiiiiiii"))</f>
        <v>saiiiiiiiiiiiiiiiii</v>
      </c>
      <c r="BW12" s="8" t="str">
        <f>I12</f>
        <v>HA</v>
      </c>
      <c r="BX12" s="120" t="e">
        <f>VLOOKUP(BQ12,[2]gia3!$D$7:$W$256,19,0)</f>
        <v>#N/A</v>
      </c>
      <c r="BY12" s="95" t="e">
        <f t="shared" si="31"/>
        <v>#N/A</v>
      </c>
      <c r="BZ12" s="96" t="e">
        <f t="shared" si="32"/>
        <v>#N/A</v>
      </c>
    </row>
    <row r="13" spans="1:78" s="8" customFormat="1" ht="20.100000000000001" customHeight="1" x14ac:dyDescent="0.3">
      <c r="A13" s="97">
        <f>MAX($A$11:A12)+1</f>
        <v>3</v>
      </c>
      <c r="B13" s="98">
        <v>45482</v>
      </c>
      <c r="C13" s="97" t="s">
        <v>134</v>
      </c>
      <c r="D13" s="99" t="s">
        <v>135</v>
      </c>
      <c r="E13" s="100"/>
      <c r="F13" s="99" t="s">
        <v>136</v>
      </c>
      <c r="G13" s="99"/>
      <c r="H13" s="97" t="s">
        <v>137</v>
      </c>
      <c r="I13" s="97" t="s">
        <v>114</v>
      </c>
      <c r="J13" s="97"/>
      <c r="K13" s="101" t="s">
        <v>138</v>
      </c>
      <c r="L13" s="102" t="s">
        <v>139</v>
      </c>
      <c r="M13" s="103" t="str">
        <f t="shared" si="0"/>
        <v>Hoàng Sơn</v>
      </c>
      <c r="N13" s="104" t="s">
        <v>140</v>
      </c>
      <c r="O13" s="105" t="str">
        <f t="shared" si="33"/>
        <v>Phạm Đức Lợi</v>
      </c>
      <c r="P13" s="103" t="str">
        <f t="shared" si="1"/>
        <v>HP</v>
      </c>
      <c r="Q13" s="106" t="str">
        <f t="shared" si="2"/>
        <v>HP</v>
      </c>
      <c r="R13" s="103" t="s">
        <v>118</v>
      </c>
      <c r="S13" s="103" t="s">
        <v>119</v>
      </c>
      <c r="T13" s="107" t="s">
        <v>141</v>
      </c>
      <c r="U13" s="108">
        <v>6</v>
      </c>
      <c r="V13" s="109">
        <v>27.52</v>
      </c>
      <c r="W13" s="110">
        <v>450000</v>
      </c>
      <c r="X13" s="111">
        <f t="shared" si="3"/>
        <v>12384000</v>
      </c>
      <c r="Y13" s="106" t="s">
        <v>121</v>
      </c>
      <c r="Z13" s="106">
        <f t="shared" si="4"/>
        <v>0</v>
      </c>
      <c r="AA13" s="106" t="str">
        <f t="shared" si="34"/>
        <v>DKG</v>
      </c>
      <c r="AB13" s="112">
        <v>2650000</v>
      </c>
      <c r="AC13" s="105" t="s">
        <v>114</v>
      </c>
      <c r="AD13" s="113">
        <f t="shared" si="5"/>
        <v>3</v>
      </c>
      <c r="AE13" s="113" t="str">
        <f t="shared" si="6"/>
        <v>HP</v>
      </c>
      <c r="AF13" s="114" t="str">
        <f t="shared" si="7"/>
        <v>DKG&lt;-&gt;Nghĩa Hưng, Nam Định</v>
      </c>
      <c r="AG13" s="106" t="str">
        <f t="shared" si="35"/>
        <v>CX001</v>
      </c>
      <c r="AH13" s="106" t="str">
        <f t="shared" si="8"/>
        <v>15C-12874</v>
      </c>
      <c r="AI13" s="109">
        <f t="shared" si="9"/>
        <v>27.52</v>
      </c>
      <c r="AJ13" s="112">
        <f t="shared" si="9"/>
        <v>450000</v>
      </c>
      <c r="AK13" s="112">
        <f t="shared" si="9"/>
        <v>12384000</v>
      </c>
      <c r="AL13" s="106" t="str">
        <f t="shared" si="10"/>
        <v>DKG</v>
      </c>
      <c r="AM13" s="112">
        <f t="shared" si="10"/>
        <v>2650000</v>
      </c>
      <c r="AN13" s="112">
        <f t="shared" si="36"/>
        <v>2550000</v>
      </c>
      <c r="AO13" s="112">
        <f t="shared" si="11"/>
        <v>100000</v>
      </c>
      <c r="AP13" s="105"/>
      <c r="AQ13" s="109">
        <f t="shared" si="12"/>
        <v>26.143999999999998</v>
      </c>
      <c r="AR13" s="109"/>
      <c r="AS13" s="112">
        <f t="shared" si="37"/>
        <v>385000</v>
      </c>
      <c r="AT13" s="112">
        <f t="shared" si="13"/>
        <v>10065440</v>
      </c>
      <c r="AU13" s="112">
        <f t="shared" si="14"/>
        <v>2318560</v>
      </c>
      <c r="AV13" s="105" t="str">
        <f t="shared" si="15"/>
        <v/>
      </c>
      <c r="AW13" s="115">
        <f t="shared" si="16"/>
        <v>1.3760000000000012</v>
      </c>
      <c r="AX13" s="115"/>
      <c r="AY13" s="116">
        <f t="shared" si="17"/>
        <v>1684999.9999999986</v>
      </c>
      <c r="AZ13" s="116">
        <f t="shared" si="18"/>
        <v>2318560</v>
      </c>
      <c r="BA13" s="116">
        <f t="shared" si="19"/>
        <v>0</v>
      </c>
      <c r="BB13" s="117">
        <f t="shared" si="38"/>
        <v>512115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 t="shared" si="39"/>
        <v>6121115</v>
      </c>
      <c r="BI13" s="73" t="s">
        <v>122</v>
      </c>
      <c r="BJ13" s="73" t="str">
        <f t="shared" si="25"/>
        <v>TDG xe 15C-12874</v>
      </c>
      <c r="BK13" s="118" t="str">
        <f t="shared" si="26"/>
        <v>G</v>
      </c>
      <c r="BL13" s="74">
        <f t="shared" ca="1" si="40"/>
        <v>45483</v>
      </c>
      <c r="BM13" s="8" t="str">
        <f t="shared" ref="BM13:BM23" si="43">+C13</f>
        <v>CG00397</v>
      </c>
      <c r="BN13" s="8" t="str">
        <f t="shared" si="41"/>
        <v/>
      </c>
      <c r="BO13" s="8" t="str">
        <f t="shared" ref="BO13:BP23" si="44">+C13</f>
        <v>CG00397</v>
      </c>
      <c r="BP13" s="8" t="str">
        <f t="shared" si="44"/>
        <v>Khiêm (NHND) 0948346289</v>
      </c>
      <c r="BQ13" s="8" t="str">
        <f t="shared" ref="BQ13:BQ23" si="45">+L13</f>
        <v>DKG&lt;-&gt;Nghĩa Hưng, Nam Định</v>
      </c>
      <c r="BS13" s="116">
        <f t="shared" ref="BS13:BS23" si="46">+W13</f>
        <v>450000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>
        <f>VLOOKUP(BQ13,[2]gia3!$D$7:$W$256,19,0)</f>
        <v>0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45482</v>
      </c>
      <c r="C14" s="97" t="s">
        <v>142</v>
      </c>
      <c r="D14" s="99" t="s">
        <v>143</v>
      </c>
      <c r="E14" s="100" t="s">
        <v>114</v>
      </c>
      <c r="F14" s="99" t="s">
        <v>144</v>
      </c>
      <c r="G14" s="99"/>
      <c r="H14" s="97" t="s">
        <v>113</v>
      </c>
      <c r="I14" s="97" t="s">
        <v>114</v>
      </c>
      <c r="J14" s="97"/>
      <c r="K14" s="101" t="s">
        <v>145</v>
      </c>
      <c r="L14" s="102" t="s">
        <v>146</v>
      </c>
      <c r="M14" s="103" t="str">
        <f t="shared" si="0"/>
        <v>Cậu Mợ</v>
      </c>
      <c r="N14" s="104" t="s">
        <v>147</v>
      </c>
      <c r="O14" s="105" t="str">
        <f t="shared" si="33"/>
        <v>Nguyễn Ngọc Anh</v>
      </c>
      <c r="P14" s="103" t="str">
        <f t="shared" si="1"/>
        <v>HS</v>
      </c>
      <c r="Q14" s="106" t="str">
        <f t="shared" si="2"/>
        <v>HS</v>
      </c>
      <c r="R14" s="103" t="s">
        <v>118</v>
      </c>
      <c r="S14" s="103" t="s">
        <v>119</v>
      </c>
      <c r="T14" s="107" t="s">
        <v>148</v>
      </c>
      <c r="U14" s="108">
        <v>3</v>
      </c>
      <c r="V14" s="109">
        <v>32.79</v>
      </c>
      <c r="W14" s="110">
        <v>400000</v>
      </c>
      <c r="X14" s="111">
        <f t="shared" si="3"/>
        <v>13116000</v>
      </c>
      <c r="Y14" s="106" t="s">
        <v>121</v>
      </c>
      <c r="Z14" s="106">
        <f t="shared" si="4"/>
        <v>0</v>
      </c>
      <c r="AA14" s="106" t="str">
        <f t="shared" si="34"/>
        <v>DKG</v>
      </c>
      <c r="AB14" s="112">
        <v>2100000</v>
      </c>
      <c r="AC14" s="105" t="s">
        <v>114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DKG&lt;-&gt;Tiên Du, Bắc Ninh</v>
      </c>
      <c r="AG14" s="106" t="str">
        <f t="shared" si="35"/>
        <v>CX006</v>
      </c>
      <c r="AH14" s="106" t="str">
        <f t="shared" si="8"/>
        <v>15C-13036</v>
      </c>
      <c r="AI14" s="109">
        <f t="shared" si="9"/>
        <v>32.79</v>
      </c>
      <c r="AJ14" s="112">
        <f t="shared" si="9"/>
        <v>400000</v>
      </c>
      <c r="AK14" s="112">
        <f t="shared" si="9"/>
        <v>13116000</v>
      </c>
      <c r="AL14" s="106" t="str">
        <f t="shared" si="10"/>
        <v>DKG</v>
      </c>
      <c r="AM14" s="112">
        <f t="shared" si="10"/>
        <v>2100000</v>
      </c>
      <c r="AN14" s="112">
        <f t="shared" si="36"/>
        <v>2000000</v>
      </c>
      <c r="AO14" s="112">
        <f t="shared" si="11"/>
        <v>100000</v>
      </c>
      <c r="AP14" s="105"/>
      <c r="AQ14" s="109">
        <f t="shared" si="12"/>
        <v>31.150499999999997</v>
      </c>
      <c r="AR14" s="109"/>
      <c r="AS14" s="112">
        <f t="shared" si="37"/>
        <v>335000</v>
      </c>
      <c r="AT14" s="112">
        <f t="shared" si="13"/>
        <v>10435417.5</v>
      </c>
      <c r="AU14" s="112">
        <f t="shared" si="14"/>
        <v>2680582.5</v>
      </c>
      <c r="AV14" s="105" t="str">
        <f t="shared" si="15"/>
        <v/>
      </c>
      <c r="AW14" s="115">
        <f t="shared" si="16"/>
        <v>1.6395000000000017</v>
      </c>
      <c r="AX14" s="115"/>
      <c r="AY14" s="116">
        <f t="shared" si="17"/>
        <v>1634999.9999999984</v>
      </c>
      <c r="AZ14" s="116">
        <f t="shared" si="18"/>
        <v>2680582.5</v>
      </c>
      <c r="BA14" s="116">
        <f t="shared" si="19"/>
        <v>0</v>
      </c>
      <c r="BB14" s="117">
        <f t="shared" si="38"/>
        <v>51224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331</v>
      </c>
      <c r="BG14" s="117">
        <f t="shared" si="24"/>
        <v>331</v>
      </c>
      <c r="BH14" s="118">
        <f t="shared" si="39"/>
        <v>0</v>
      </c>
      <c r="BI14" s="73" t="s">
        <v>122</v>
      </c>
      <c r="BJ14" s="73" t="str">
        <f t="shared" si="25"/>
        <v>TDG xe 15C-13036</v>
      </c>
      <c r="BK14" s="118" t="str">
        <f t="shared" si="26"/>
        <v>G</v>
      </c>
      <c r="BL14" s="74">
        <f t="shared" ca="1" si="40"/>
        <v>45483</v>
      </c>
      <c r="BM14" s="8" t="str">
        <f t="shared" si="43"/>
        <v>CG00250</v>
      </c>
      <c r="BN14" s="8" t="str">
        <f t="shared" si="41"/>
        <v/>
      </c>
      <c r="BO14" s="8" t="str">
        <f t="shared" si="44"/>
        <v>CG00250</v>
      </c>
      <c r="BP14" s="8" t="str">
        <f t="shared" si="44"/>
        <v>Trai (NTND) 0988492384</v>
      </c>
      <c r="BQ14" s="8" t="str">
        <f t="shared" si="45"/>
        <v>DKG&lt;-&gt;Tiên Du, Bắc Ninh</v>
      </c>
      <c r="BS14" s="116">
        <f t="shared" si="46"/>
        <v>400000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2"/>
        <v>saiiiiiiiiiiiiiiiii</v>
      </c>
      <c r="BX14" s="120">
        <f>VLOOKUP(BQ14,[2]gia3!$D$7:$W$256,19,0)</f>
        <v>4500000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45482</v>
      </c>
      <c r="C15" s="97" t="s">
        <v>149</v>
      </c>
      <c r="D15" s="99" t="s">
        <v>150</v>
      </c>
      <c r="E15" s="100"/>
      <c r="F15" s="99" t="s">
        <v>151</v>
      </c>
      <c r="G15" s="99"/>
      <c r="H15" s="97" t="s">
        <v>113</v>
      </c>
      <c r="I15" s="97" t="s">
        <v>114</v>
      </c>
      <c r="J15" s="97"/>
      <c r="K15" s="101" t="s">
        <v>152</v>
      </c>
      <c r="L15" s="102" t="s">
        <v>153</v>
      </c>
      <c r="M15" s="103" t="str">
        <f t="shared" si="0"/>
        <v>Hoàng Sơn</v>
      </c>
      <c r="N15" s="104" t="s">
        <v>154</v>
      </c>
      <c r="O15" s="105" t="str">
        <f t="shared" si="33"/>
        <v>Trần Quốc Đại</v>
      </c>
      <c r="P15" s="103" t="str">
        <f t="shared" si="1"/>
        <v>HS</v>
      </c>
      <c r="Q15" s="106" t="str">
        <f t="shared" si="2"/>
        <v>HS</v>
      </c>
      <c r="R15" s="103" t="s">
        <v>118</v>
      </c>
      <c r="S15" s="103" t="s">
        <v>119</v>
      </c>
      <c r="T15" s="107" t="s">
        <v>155</v>
      </c>
      <c r="U15" s="108">
        <v>2</v>
      </c>
      <c r="V15" s="109">
        <v>11</v>
      </c>
      <c r="W15" s="110">
        <v>450000</v>
      </c>
      <c r="X15" s="111">
        <f t="shared" si="3"/>
        <v>4950000</v>
      </c>
      <c r="Y15" s="106" t="s">
        <v>121</v>
      </c>
      <c r="Z15" s="106">
        <f t="shared" si="4"/>
        <v>0</v>
      </c>
      <c r="AA15" s="106" t="str">
        <f t="shared" si="34"/>
        <v>DKG</v>
      </c>
      <c r="AB15" s="112">
        <v>2600000</v>
      </c>
      <c r="AC15" s="105" t="s">
        <v>114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DKG&lt;-&gt;Duy Tiên, Hà Nam</v>
      </c>
      <c r="AG15" s="106" t="str">
        <f t="shared" si="35"/>
        <v>CX001</v>
      </c>
      <c r="AH15" s="106" t="str">
        <f t="shared" si="8"/>
        <v>15C-13568</v>
      </c>
      <c r="AI15" s="109">
        <f t="shared" si="9"/>
        <v>11</v>
      </c>
      <c r="AJ15" s="112">
        <f t="shared" si="9"/>
        <v>450000</v>
      </c>
      <c r="AK15" s="112">
        <f t="shared" si="9"/>
        <v>4950000</v>
      </c>
      <c r="AL15" s="106" t="str">
        <f t="shared" si="10"/>
        <v>DKG</v>
      </c>
      <c r="AM15" s="112">
        <f t="shared" si="10"/>
        <v>2600000</v>
      </c>
      <c r="AN15" s="112">
        <f t="shared" si="36"/>
        <v>2500000</v>
      </c>
      <c r="AO15" s="112">
        <f t="shared" si="11"/>
        <v>100000</v>
      </c>
      <c r="AP15" s="105"/>
      <c r="AQ15" s="109">
        <f t="shared" si="12"/>
        <v>10.45</v>
      </c>
      <c r="AR15" s="109"/>
      <c r="AS15" s="112">
        <f t="shared" si="37"/>
        <v>385000</v>
      </c>
      <c r="AT15" s="112">
        <f t="shared" si="13"/>
        <v>4023249.9999999995</v>
      </c>
      <c r="AU15" s="112">
        <f t="shared" si="14"/>
        <v>926750.00000000047</v>
      </c>
      <c r="AV15" s="105" t="str">
        <f t="shared" si="15"/>
        <v/>
      </c>
      <c r="AW15" s="115">
        <f t="shared" si="16"/>
        <v>0.55000000000000071</v>
      </c>
      <c r="AX15" s="115"/>
      <c r="AY15" s="116">
        <f t="shared" si="17"/>
        <v>1684999.9999999986</v>
      </c>
      <c r="AZ15" s="116">
        <f t="shared" si="18"/>
        <v>926750.00000000047</v>
      </c>
      <c r="BA15" s="116">
        <f t="shared" si="19"/>
        <v>0</v>
      </c>
      <c r="BB15" s="117">
        <f t="shared" si="38"/>
        <v>512136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si="39"/>
        <v>6121136</v>
      </c>
      <c r="BI15" s="73" t="s">
        <v>122</v>
      </c>
      <c r="BJ15" s="73" t="str">
        <f t="shared" si="25"/>
        <v>TDG xe 15C-13568</v>
      </c>
      <c r="BK15" s="118" t="str">
        <f t="shared" si="26"/>
        <v>G</v>
      </c>
      <c r="BL15" s="74">
        <f t="shared" ca="1" si="40"/>
        <v>45483</v>
      </c>
      <c r="BM15" s="8" t="str">
        <f t="shared" si="43"/>
        <v>CG00448</v>
      </c>
      <c r="BN15" s="8" t="str">
        <f t="shared" si="41"/>
        <v/>
      </c>
      <c r="BO15" s="8" t="str">
        <f t="shared" si="44"/>
        <v>CG00448</v>
      </c>
      <c r="BP15" s="8" t="str">
        <f t="shared" si="44"/>
        <v>Kiên (YLHNA) 0919954967</v>
      </c>
      <c r="BQ15" s="8" t="str">
        <f t="shared" si="45"/>
        <v>DKG&lt;-&gt;Duy Tiên, Hà Nam</v>
      </c>
      <c r="BS15" s="116">
        <f t="shared" si="46"/>
        <v>450000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42"/>
        <v>saiiiiiiiiiiiiiiiii</v>
      </c>
      <c r="BX15" s="120">
        <f>VLOOKUP(BQ15,[2]gia3!$D$7:$W$256,19,0)</f>
        <v>4500000</v>
      </c>
      <c r="BY15" s="95" t="str">
        <f t="shared" si="31"/>
        <v/>
      </c>
      <c r="BZ15" s="96" t="e">
        <f t="shared" si="32"/>
        <v>#VALUE!</v>
      </c>
    </row>
    <row r="16" spans="1:78" s="8" customFormat="1" ht="20.100000000000001" customHeight="1" x14ac:dyDescent="0.3">
      <c r="A16" s="97"/>
      <c r="B16" s="98">
        <v>45482</v>
      </c>
      <c r="C16" s="97" t="s">
        <v>156</v>
      </c>
      <c r="D16" s="99" t="s">
        <v>157</v>
      </c>
      <c r="E16" s="100" t="s">
        <v>158</v>
      </c>
      <c r="F16" s="99" t="s">
        <v>159</v>
      </c>
      <c r="G16" s="99"/>
      <c r="H16" s="97" t="s">
        <v>113</v>
      </c>
      <c r="I16" s="97" t="s">
        <v>114</v>
      </c>
      <c r="J16" s="97"/>
      <c r="K16" s="101" t="s">
        <v>160</v>
      </c>
      <c r="L16" s="102" t="s">
        <v>161</v>
      </c>
      <c r="M16" s="103" t="str">
        <f t="shared" si="0"/>
        <v>Hoàng Sơn</v>
      </c>
      <c r="N16" s="104" t="s">
        <v>154</v>
      </c>
      <c r="O16" s="105" t="str">
        <f t="shared" si="33"/>
        <v>Trần Quốc Đại</v>
      </c>
      <c r="P16" s="103" t="str">
        <f t="shared" si="1"/>
        <v>HS</v>
      </c>
      <c r="Q16" s="106" t="str">
        <f t="shared" si="2"/>
        <v>HS</v>
      </c>
      <c r="R16" s="103" t="s">
        <v>118</v>
      </c>
      <c r="S16" s="103" t="s">
        <v>119</v>
      </c>
      <c r="T16" s="107" t="s">
        <v>162</v>
      </c>
      <c r="U16" s="108">
        <v>2</v>
      </c>
      <c r="V16" s="109">
        <v>11.78</v>
      </c>
      <c r="W16" s="110">
        <v>400000</v>
      </c>
      <c r="X16" s="111">
        <f t="shared" si="3"/>
        <v>4712000</v>
      </c>
      <c r="Y16" s="106" t="s">
        <v>163</v>
      </c>
      <c r="Z16" s="106">
        <f t="shared" si="4"/>
        <v>0</v>
      </c>
      <c r="AA16" s="106" t="str">
        <f t="shared" si="34"/>
        <v>DKG</v>
      </c>
      <c r="AB16" s="112"/>
      <c r="AC16" s="105" t="s">
        <v>164</v>
      </c>
      <c r="AD16" s="113">
        <f t="shared" si="5"/>
        <v>0</v>
      </c>
      <c r="AE16" s="113" t="str">
        <f t="shared" si="6"/>
        <v>HS</v>
      </c>
      <c r="AF16" s="114" t="str">
        <f t="shared" si="7"/>
        <v>DKG&lt;-&gt;Thường Tín, Hà Nội</v>
      </c>
      <c r="AG16" s="106" t="str">
        <f t="shared" si="35"/>
        <v>CX001</v>
      </c>
      <c r="AH16" s="106" t="str">
        <f t="shared" si="8"/>
        <v>15C-13568</v>
      </c>
      <c r="AI16" s="109">
        <f t="shared" si="9"/>
        <v>11.78</v>
      </c>
      <c r="AJ16" s="112">
        <f t="shared" si="9"/>
        <v>400000</v>
      </c>
      <c r="AK16" s="112">
        <f t="shared" si="9"/>
        <v>4712000</v>
      </c>
      <c r="AL16" s="106" t="str">
        <f t="shared" si="10"/>
        <v>DKG</v>
      </c>
      <c r="AM16" s="112">
        <f t="shared" si="10"/>
        <v>0</v>
      </c>
      <c r="AN16" s="112">
        <f t="shared" si="36"/>
        <v>0</v>
      </c>
      <c r="AO16" s="112">
        <f t="shared" si="11"/>
        <v>0</v>
      </c>
      <c r="AP16" s="105"/>
      <c r="AQ16" s="109">
        <f t="shared" si="12"/>
        <v>11.190999999999999</v>
      </c>
      <c r="AR16" s="109"/>
      <c r="AS16" s="112">
        <f t="shared" si="37"/>
        <v>335000</v>
      </c>
      <c r="AT16" s="112">
        <f t="shared" si="13"/>
        <v>3748984.9999999995</v>
      </c>
      <c r="AU16" s="112">
        <f t="shared" si="14"/>
        <v>963015.00000000047</v>
      </c>
      <c r="AV16" s="105" t="str">
        <f t="shared" si="15"/>
        <v>ghép</v>
      </c>
      <c r="AW16" s="115">
        <f t="shared" si="16"/>
        <v>0.58900000000000041</v>
      </c>
      <c r="AX16" s="115"/>
      <c r="AY16" s="116">
        <f t="shared" si="17"/>
        <v>1634999.9999999995</v>
      </c>
      <c r="AZ16" s="116">
        <f t="shared" si="18"/>
        <v>963015.00000000035</v>
      </c>
      <c r="BA16" s="116">
        <f t="shared" si="19"/>
        <v>0</v>
      </c>
      <c r="BB16" s="117">
        <f t="shared" si="38"/>
        <v>512136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0</v>
      </c>
      <c r="BG16" s="117">
        <f t="shared" si="24"/>
        <v>15401</v>
      </c>
      <c r="BH16" s="118">
        <f t="shared" si="39"/>
        <v>6121136</v>
      </c>
      <c r="BI16" s="73" t="s">
        <v>122</v>
      </c>
      <c r="BJ16" s="73" t="str">
        <f t="shared" si="25"/>
        <v>TDG xe 15C-13568</v>
      </c>
      <c r="BK16" s="118" t="str">
        <f t="shared" si="26"/>
        <v>G</v>
      </c>
      <c r="BL16" s="74" t="str">
        <f t="shared" ca="1" si="40"/>
        <v/>
      </c>
      <c r="BM16" s="8" t="str">
        <f t="shared" si="43"/>
        <v>CG00254</v>
      </c>
      <c r="BN16" s="8" t="str">
        <f t="shared" si="41"/>
        <v/>
      </c>
      <c r="BO16" s="8" t="str">
        <f t="shared" si="44"/>
        <v>CG00254</v>
      </c>
      <c r="BP16" s="8" t="str">
        <f t="shared" si="44"/>
        <v>Công ty CP Phú Lân (PXHN) 0963336999</v>
      </c>
      <c r="BQ16" s="8" t="str">
        <f t="shared" si="45"/>
        <v>DKG&lt;-&gt;Thường Tín, Hà Nội</v>
      </c>
      <c r="BS16" s="116">
        <f t="shared" si="46"/>
        <v>400000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42"/>
        <v>saiiiiiiiiiiiiiiiii</v>
      </c>
      <c r="BX16" s="120">
        <f>VLOOKUP(BQ16,[2]gia3!$D$7:$W$256,19,0)</f>
        <v>4600000</v>
      </c>
      <c r="BY16" s="95" t="str">
        <f t="shared" si="31"/>
        <v/>
      </c>
      <c r="BZ16" s="96" t="e">
        <f t="shared" si="32"/>
        <v>#VALUE!</v>
      </c>
    </row>
    <row r="17" spans="1:78" s="8" customFormat="1" ht="20.100000000000001" customHeight="1" x14ac:dyDescent="0.3">
      <c r="A17" s="97">
        <f>MAX($A$11:A16)+1</f>
        <v>6</v>
      </c>
      <c r="B17" s="98">
        <v>45482</v>
      </c>
      <c r="C17" s="97" t="s">
        <v>165</v>
      </c>
      <c r="D17" s="99" t="s">
        <v>166</v>
      </c>
      <c r="E17" s="100" t="s">
        <v>167</v>
      </c>
      <c r="F17" s="99" t="s">
        <v>168</v>
      </c>
      <c r="G17" s="99"/>
      <c r="H17" s="97" t="s">
        <v>113</v>
      </c>
      <c r="I17" s="97"/>
      <c r="J17" s="97"/>
      <c r="K17" s="97" t="s">
        <v>169</v>
      </c>
      <c r="L17" s="97" t="s">
        <v>170</v>
      </c>
      <c r="M17" s="103" t="str">
        <f t="shared" si="0"/>
        <v>Hoàng Sơn</v>
      </c>
      <c r="N17" s="104" t="s">
        <v>131</v>
      </c>
      <c r="O17" s="105" t="str">
        <f t="shared" si="33"/>
        <v>Lưu Xuân Thành</v>
      </c>
      <c r="P17" s="103" t="str">
        <f t="shared" si="1"/>
        <v>HS</v>
      </c>
      <c r="Q17" s="106" t="str">
        <f t="shared" si="2"/>
        <v>HS</v>
      </c>
      <c r="R17" s="103" t="s">
        <v>171</v>
      </c>
      <c r="S17" s="103" t="s">
        <v>119</v>
      </c>
      <c r="T17" s="107" t="s">
        <v>172</v>
      </c>
      <c r="U17" s="108">
        <v>27</v>
      </c>
      <c r="V17" s="109">
        <v>23</v>
      </c>
      <c r="W17" s="110">
        <v>200000</v>
      </c>
      <c r="X17" s="111">
        <f t="shared" si="3"/>
        <v>4600000</v>
      </c>
      <c r="Y17" s="106" t="s">
        <v>133</v>
      </c>
      <c r="Z17" s="106" t="str">
        <f t="shared" si="4"/>
        <v>OK/NO</v>
      </c>
      <c r="AA17" s="106" t="str">
        <f t="shared" si="34"/>
        <v>DKG</v>
      </c>
      <c r="AB17" s="112">
        <v>100000</v>
      </c>
      <c r="AC17" s="105"/>
      <c r="AD17" s="113">
        <f t="shared" si="5"/>
        <v>6</v>
      </c>
      <c r="AE17" s="113" t="str">
        <f t="shared" si="6"/>
        <v>HS</v>
      </c>
      <c r="AF17" s="114" t="str">
        <f t="shared" si="7"/>
        <v>DKG&lt;-&gt;Namtraco</v>
      </c>
      <c r="AG17" s="106" t="str">
        <f t="shared" si="35"/>
        <v>CX001</v>
      </c>
      <c r="AH17" s="106" t="str">
        <f t="shared" si="8"/>
        <v>15C-15237</v>
      </c>
      <c r="AI17" s="109">
        <f t="shared" si="9"/>
        <v>23</v>
      </c>
      <c r="AJ17" s="112">
        <f t="shared" si="9"/>
        <v>200000</v>
      </c>
      <c r="AK17" s="112">
        <f t="shared" si="9"/>
        <v>4600000</v>
      </c>
      <c r="AL17" s="106" t="str">
        <f t="shared" si="10"/>
        <v>DKG</v>
      </c>
      <c r="AM17" s="112">
        <f t="shared" si="10"/>
        <v>100000</v>
      </c>
      <c r="AN17" s="112">
        <f t="shared" si="36"/>
        <v>100000</v>
      </c>
      <c r="AO17" s="112">
        <f t="shared" si="11"/>
        <v>0</v>
      </c>
      <c r="AP17" s="105"/>
      <c r="AQ17" s="109">
        <f t="shared" si="12"/>
        <v>21.849999999999998</v>
      </c>
      <c r="AR17" s="109"/>
      <c r="AS17" s="112">
        <f t="shared" si="37"/>
        <v>36613.272311212815</v>
      </c>
      <c r="AT17" s="112">
        <f t="shared" si="13"/>
        <v>799999.99999999988</v>
      </c>
      <c r="AU17" s="112">
        <f t="shared" si="14"/>
        <v>3800000</v>
      </c>
      <c r="AV17" s="105">
        <f t="shared" si="15"/>
        <v>0</v>
      </c>
      <c r="AW17" s="115">
        <f t="shared" si="16"/>
        <v>1.1500000000000021</v>
      </c>
      <c r="AX17" s="115"/>
      <c r="AY17" s="116">
        <f t="shared" si="17"/>
        <v>3304347.8260869505</v>
      </c>
      <c r="AZ17" s="116">
        <f t="shared" si="18"/>
        <v>3800000</v>
      </c>
      <c r="BA17" s="116">
        <f t="shared" si="19"/>
        <v>0</v>
      </c>
      <c r="BB17" s="117">
        <f t="shared" si="38"/>
        <v>512119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39"/>
        <v>6121119</v>
      </c>
      <c r="BI17" s="73" t="s">
        <v>122</v>
      </c>
      <c r="BJ17" s="73" t="str">
        <f t="shared" si="25"/>
        <v>TDG xe 15C-15237</v>
      </c>
      <c r="BK17" s="118" t="str">
        <f t="shared" si="26"/>
        <v>G</v>
      </c>
      <c r="BL17" s="74" t="str">
        <f t="shared" ca="1" si="40"/>
        <v/>
      </c>
      <c r="BM17" s="8" t="str">
        <f t="shared" si="43"/>
        <v>CG00044</v>
      </c>
      <c r="BN17" s="8">
        <f t="shared" si="41"/>
        <v>0</v>
      </c>
      <c r="BO17" s="8" t="str">
        <f t="shared" si="44"/>
        <v>CG00044</v>
      </c>
      <c r="BP17" s="8" t="str">
        <f t="shared" si="44"/>
        <v>Công ty TNHH Thương mại và Sản xuất Trí Dũng (QOHN) 0905557788</v>
      </c>
      <c r="BQ17" s="8" t="str">
        <f t="shared" si="45"/>
        <v>DKG&lt;-&gt;Namtraco</v>
      </c>
      <c r="BS17" s="116">
        <f t="shared" si="46"/>
        <v>200000</v>
      </c>
      <c r="BT17" s="119" t="e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#N/A</v>
      </c>
      <c r="BU17" s="119" t="e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#N/A</v>
      </c>
      <c r="BV17" s="8" t="e">
        <f t="shared" si="42"/>
        <v>#N/A</v>
      </c>
      <c r="BX17" s="120" t="e">
        <f>VLOOKUP(BQ17,[2]gia3!$D$7:$W$256,19,0)</f>
        <v>#N/A</v>
      </c>
      <c r="BY17" s="95" t="e">
        <f t="shared" si="31"/>
        <v>#N/A</v>
      </c>
      <c r="BZ17" s="96" t="e">
        <f t="shared" si="32"/>
        <v>#N/A</v>
      </c>
    </row>
    <row r="18" spans="1:78" s="8" customFormat="1" ht="20.100000000000001" customHeight="1" x14ac:dyDescent="0.3">
      <c r="A18" s="97">
        <f>MAX($A$11:A17)+1</f>
        <v>7</v>
      </c>
      <c r="B18" s="98">
        <v>45482</v>
      </c>
      <c r="C18" s="97" t="s">
        <v>165</v>
      </c>
      <c r="D18" s="99" t="s">
        <v>166</v>
      </c>
      <c r="E18" s="100" t="s">
        <v>167</v>
      </c>
      <c r="F18" s="99" t="s">
        <v>168</v>
      </c>
      <c r="G18" s="99"/>
      <c r="H18" s="97" t="s">
        <v>113</v>
      </c>
      <c r="I18" s="97"/>
      <c r="J18" s="97"/>
      <c r="K18" s="97" t="s">
        <v>169</v>
      </c>
      <c r="L18" s="97" t="s">
        <v>170</v>
      </c>
      <c r="M18" s="103" t="str">
        <f t="shared" si="0"/>
        <v>Hoàng Sơn</v>
      </c>
      <c r="N18" s="104" t="s">
        <v>173</v>
      </c>
      <c r="O18" s="105" t="str">
        <f t="shared" si="33"/>
        <v>Trương Văn Cao</v>
      </c>
      <c r="P18" s="103" t="str">
        <f t="shared" si="1"/>
        <v>HS</v>
      </c>
      <c r="Q18" s="106" t="str">
        <f t="shared" si="2"/>
        <v>HS</v>
      </c>
      <c r="R18" s="103" t="s">
        <v>171</v>
      </c>
      <c r="S18" s="103" t="s">
        <v>119</v>
      </c>
      <c r="T18" s="107" t="s">
        <v>172</v>
      </c>
      <c r="U18" s="108">
        <v>24</v>
      </c>
      <c r="V18" s="109">
        <v>23</v>
      </c>
      <c r="W18" s="110">
        <v>200000</v>
      </c>
      <c r="X18" s="111">
        <f t="shared" si="3"/>
        <v>4600000</v>
      </c>
      <c r="Y18" s="106" t="s">
        <v>133</v>
      </c>
      <c r="Z18" s="106" t="str">
        <f t="shared" si="4"/>
        <v>OK/NO</v>
      </c>
      <c r="AA18" s="106" t="str">
        <f t="shared" si="34"/>
        <v>DKG</v>
      </c>
      <c r="AB18" s="112">
        <v>100000</v>
      </c>
      <c r="AC18" s="105"/>
      <c r="AD18" s="113">
        <f t="shared" si="5"/>
        <v>7</v>
      </c>
      <c r="AE18" s="113" t="str">
        <f t="shared" si="6"/>
        <v>HS</v>
      </c>
      <c r="AF18" s="114" t="str">
        <f t="shared" si="7"/>
        <v>DKG&lt;-&gt;Namtraco</v>
      </c>
      <c r="AG18" s="106" t="str">
        <f t="shared" si="35"/>
        <v>CX001</v>
      </c>
      <c r="AH18" s="106" t="str">
        <f t="shared" si="8"/>
        <v>15C-13840</v>
      </c>
      <c r="AI18" s="109">
        <f t="shared" si="9"/>
        <v>23</v>
      </c>
      <c r="AJ18" s="112">
        <f t="shared" si="9"/>
        <v>200000</v>
      </c>
      <c r="AK18" s="112">
        <f t="shared" si="9"/>
        <v>4600000</v>
      </c>
      <c r="AL18" s="106" t="str">
        <f t="shared" si="10"/>
        <v>DKG</v>
      </c>
      <c r="AM18" s="112">
        <f t="shared" si="10"/>
        <v>100000</v>
      </c>
      <c r="AN18" s="112">
        <f t="shared" si="36"/>
        <v>100000</v>
      </c>
      <c r="AO18" s="112">
        <f t="shared" si="11"/>
        <v>0</v>
      </c>
      <c r="AP18" s="105"/>
      <c r="AQ18" s="109">
        <f t="shared" si="12"/>
        <v>21.849999999999998</v>
      </c>
      <c r="AR18" s="109"/>
      <c r="AS18" s="112">
        <f t="shared" si="37"/>
        <v>36613.272311212815</v>
      </c>
      <c r="AT18" s="112">
        <f t="shared" si="13"/>
        <v>799999.99999999988</v>
      </c>
      <c r="AU18" s="112">
        <f t="shared" si="14"/>
        <v>3800000</v>
      </c>
      <c r="AV18" s="105">
        <f t="shared" si="15"/>
        <v>0</v>
      </c>
      <c r="AW18" s="115">
        <f t="shared" si="16"/>
        <v>1.1500000000000021</v>
      </c>
      <c r="AX18" s="115"/>
      <c r="AY18" s="116">
        <f t="shared" si="17"/>
        <v>3304347.8260869505</v>
      </c>
      <c r="AZ18" s="116">
        <f t="shared" si="18"/>
        <v>3800000</v>
      </c>
      <c r="BA18" s="116">
        <f t="shared" si="19"/>
        <v>0</v>
      </c>
      <c r="BB18" s="117">
        <f t="shared" si="38"/>
        <v>512118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0</v>
      </c>
      <c r="BG18" s="117">
        <f t="shared" si="24"/>
        <v>15401</v>
      </c>
      <c r="BH18" s="118">
        <f t="shared" si="39"/>
        <v>6121118</v>
      </c>
      <c r="BI18" s="73" t="s">
        <v>122</v>
      </c>
      <c r="BJ18" s="73" t="str">
        <f t="shared" si="25"/>
        <v>TDG xe 15C-13840</v>
      </c>
      <c r="BK18" s="118" t="str">
        <f t="shared" si="26"/>
        <v>G</v>
      </c>
      <c r="BL18" s="74" t="str">
        <f t="shared" ca="1" si="40"/>
        <v/>
      </c>
      <c r="BM18" s="8" t="str">
        <f t="shared" si="43"/>
        <v>CG00044</v>
      </c>
      <c r="BN18" s="8">
        <f t="shared" si="41"/>
        <v>0</v>
      </c>
      <c r="BO18" s="8" t="str">
        <f t="shared" si="44"/>
        <v>CG00044</v>
      </c>
      <c r="BP18" s="8" t="str">
        <f t="shared" si="44"/>
        <v>Công ty TNHH Thương mại và Sản xuất Trí Dũng (QOHN) 0905557788</v>
      </c>
      <c r="BQ18" s="8" t="str">
        <f t="shared" si="45"/>
        <v>DKG&lt;-&gt;Namtraco</v>
      </c>
      <c r="BS18" s="116">
        <f t="shared" si="46"/>
        <v>200000</v>
      </c>
      <c r="BT18" s="119" t="e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#N/A</v>
      </c>
      <c r="BU18" s="119" t="e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#N/A</v>
      </c>
      <c r="BV18" s="8" t="e">
        <f t="shared" si="42"/>
        <v>#N/A</v>
      </c>
      <c r="BX18" s="120" t="e">
        <f>VLOOKUP(BQ18,[2]gia3!$D$7:$W$256,19,0)</f>
        <v>#N/A</v>
      </c>
      <c r="BY18" s="95" t="e">
        <f t="shared" si="31"/>
        <v>#N/A</v>
      </c>
      <c r="BZ18" s="96" t="e">
        <f t="shared" si="32"/>
        <v>#N/A</v>
      </c>
    </row>
    <row r="19" spans="1:78" s="8" customFormat="1" ht="20.100000000000001" customHeight="1" x14ac:dyDescent="0.3">
      <c r="A19" s="97">
        <f>MAX($A$11:A18)+1</f>
        <v>8</v>
      </c>
      <c r="B19" s="98">
        <v>45482</v>
      </c>
      <c r="C19" s="97" t="s">
        <v>165</v>
      </c>
      <c r="D19" s="99" t="s">
        <v>166</v>
      </c>
      <c r="E19" s="100" t="s">
        <v>167</v>
      </c>
      <c r="F19" s="99" t="s">
        <v>168</v>
      </c>
      <c r="G19" s="99"/>
      <c r="H19" s="97" t="s">
        <v>113</v>
      </c>
      <c r="I19" s="97"/>
      <c r="J19" s="97"/>
      <c r="K19" s="97" t="s">
        <v>169</v>
      </c>
      <c r="L19" s="97" t="s">
        <v>170</v>
      </c>
      <c r="M19" s="103" t="str">
        <f t="shared" si="0"/>
        <v>Cậu Mợ</v>
      </c>
      <c r="N19" s="104" t="s">
        <v>147</v>
      </c>
      <c r="O19" s="105" t="str">
        <f t="shared" si="33"/>
        <v>Nguyễn Ngọc Anh</v>
      </c>
      <c r="P19" s="103" t="str">
        <f t="shared" si="1"/>
        <v>HS</v>
      </c>
      <c r="Q19" s="106" t="str">
        <f t="shared" si="2"/>
        <v>HS</v>
      </c>
      <c r="R19" s="103" t="s">
        <v>171</v>
      </c>
      <c r="S19" s="103" t="s">
        <v>119</v>
      </c>
      <c r="T19" s="107" t="s">
        <v>172</v>
      </c>
      <c r="U19" s="108">
        <v>26</v>
      </c>
      <c r="V19" s="109">
        <v>23</v>
      </c>
      <c r="W19" s="110">
        <v>200000</v>
      </c>
      <c r="X19" s="111">
        <f t="shared" si="3"/>
        <v>4600000</v>
      </c>
      <c r="Y19" s="106" t="s">
        <v>133</v>
      </c>
      <c r="Z19" s="106" t="str">
        <f t="shared" si="4"/>
        <v>OK/NO</v>
      </c>
      <c r="AA19" s="106" t="str">
        <f t="shared" si="34"/>
        <v>DKG</v>
      </c>
      <c r="AB19" s="112">
        <v>100000</v>
      </c>
      <c r="AC19" s="105"/>
      <c r="AD19" s="113">
        <f t="shared" si="5"/>
        <v>8</v>
      </c>
      <c r="AE19" s="113" t="str">
        <f t="shared" si="6"/>
        <v>HS</v>
      </c>
      <c r="AF19" s="114" t="str">
        <f t="shared" si="7"/>
        <v>DKG&lt;-&gt;Namtraco</v>
      </c>
      <c r="AG19" s="106" t="str">
        <f t="shared" si="35"/>
        <v>CX006</v>
      </c>
      <c r="AH19" s="106" t="str">
        <f t="shared" si="8"/>
        <v>15C-13036</v>
      </c>
      <c r="AI19" s="109">
        <f t="shared" si="9"/>
        <v>23</v>
      </c>
      <c r="AJ19" s="112">
        <f t="shared" si="9"/>
        <v>200000</v>
      </c>
      <c r="AK19" s="112">
        <f t="shared" si="9"/>
        <v>4600000</v>
      </c>
      <c r="AL19" s="106" t="str">
        <f t="shared" si="10"/>
        <v>DKG</v>
      </c>
      <c r="AM19" s="112">
        <f t="shared" si="10"/>
        <v>100000</v>
      </c>
      <c r="AN19" s="112">
        <f t="shared" si="36"/>
        <v>100000</v>
      </c>
      <c r="AO19" s="112">
        <f t="shared" si="11"/>
        <v>0</v>
      </c>
      <c r="AP19" s="105"/>
      <c r="AQ19" s="109">
        <f t="shared" si="12"/>
        <v>21.849999999999998</v>
      </c>
      <c r="AR19" s="109"/>
      <c r="AS19" s="112">
        <f t="shared" si="37"/>
        <v>36613.272311212815</v>
      </c>
      <c r="AT19" s="112">
        <f t="shared" si="13"/>
        <v>799999.99999999988</v>
      </c>
      <c r="AU19" s="112">
        <f t="shared" si="14"/>
        <v>3800000</v>
      </c>
      <c r="AV19" s="105">
        <f t="shared" si="15"/>
        <v>0</v>
      </c>
      <c r="AW19" s="115">
        <f t="shared" si="16"/>
        <v>1.1500000000000021</v>
      </c>
      <c r="AX19" s="115"/>
      <c r="AY19" s="116">
        <f t="shared" si="17"/>
        <v>3304347.8260869505</v>
      </c>
      <c r="AZ19" s="116">
        <f t="shared" si="18"/>
        <v>3800000</v>
      </c>
      <c r="BA19" s="116">
        <f t="shared" si="19"/>
        <v>0</v>
      </c>
      <c r="BB19" s="117">
        <f t="shared" si="38"/>
        <v>51224</v>
      </c>
      <c r="BC19" s="117">
        <f t="shared" si="20"/>
        <v>511301</v>
      </c>
      <c r="BD19" s="117">
        <f t="shared" si="21"/>
        <v>5123</v>
      </c>
      <c r="BE19" s="117">
        <f t="shared" si="22"/>
        <v>0</v>
      </c>
      <c r="BF19" s="117">
        <f t="shared" si="23"/>
        <v>331</v>
      </c>
      <c r="BG19" s="117">
        <f t="shared" si="24"/>
        <v>331</v>
      </c>
      <c r="BH19" s="118">
        <f t="shared" si="39"/>
        <v>0</v>
      </c>
      <c r="BI19" s="73" t="s">
        <v>122</v>
      </c>
      <c r="BJ19" s="73" t="str">
        <f t="shared" si="25"/>
        <v>TDG xe 15C-13036</v>
      </c>
      <c r="BK19" s="118" t="str">
        <f t="shared" si="26"/>
        <v>G</v>
      </c>
      <c r="BL19" s="74" t="str">
        <f t="shared" ca="1" si="40"/>
        <v/>
      </c>
      <c r="BM19" s="8" t="str">
        <f t="shared" si="43"/>
        <v>CG00044</v>
      </c>
      <c r="BN19" s="8">
        <f t="shared" si="41"/>
        <v>0</v>
      </c>
      <c r="BO19" s="8" t="str">
        <f t="shared" si="44"/>
        <v>CG00044</v>
      </c>
      <c r="BP19" s="8" t="str">
        <f t="shared" si="44"/>
        <v>Công ty TNHH Thương mại và Sản xuất Trí Dũng (QOHN) 0905557788</v>
      </c>
      <c r="BQ19" s="8" t="str">
        <f t="shared" si="45"/>
        <v>DKG&lt;-&gt;Namtraco</v>
      </c>
      <c r="BS19" s="116">
        <f t="shared" si="46"/>
        <v>200000</v>
      </c>
      <c r="BT19" s="119" t="e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#N/A</v>
      </c>
      <c r="BU19" s="119" t="e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#N/A</v>
      </c>
      <c r="BV19" s="8" t="e">
        <f t="shared" si="42"/>
        <v>#N/A</v>
      </c>
      <c r="BX19" s="120" t="e">
        <f>VLOOKUP(BQ19,[2]gia3!$D$7:$W$256,19,0)</f>
        <v>#N/A</v>
      </c>
      <c r="BY19" s="95" t="e">
        <f t="shared" si="31"/>
        <v>#N/A</v>
      </c>
      <c r="BZ19" s="96" t="e">
        <f t="shared" si="32"/>
        <v>#N/A</v>
      </c>
    </row>
    <row r="20" spans="1:78" s="8" customFormat="1" ht="20.100000000000001" customHeight="1" x14ac:dyDescent="0.3">
      <c r="A20" s="97">
        <f>MAX($A$11:A19)+1</f>
        <v>9</v>
      </c>
      <c r="B20" s="98">
        <v>45482</v>
      </c>
      <c r="C20" s="97" t="s">
        <v>174</v>
      </c>
      <c r="D20" s="99" t="s">
        <v>175</v>
      </c>
      <c r="E20" s="100" t="s">
        <v>176</v>
      </c>
      <c r="F20" s="99" t="s">
        <v>177</v>
      </c>
      <c r="G20" s="99"/>
      <c r="H20" s="97" t="s">
        <v>126</v>
      </c>
      <c r="I20" s="97"/>
      <c r="J20" s="97"/>
      <c r="K20" s="101" t="s">
        <v>178</v>
      </c>
      <c r="L20" s="102" t="s">
        <v>179</v>
      </c>
      <c r="M20" s="103" t="str">
        <f t="shared" si="0"/>
        <v>Hoàng Sơn</v>
      </c>
      <c r="N20" s="104" t="s">
        <v>180</v>
      </c>
      <c r="O20" s="105" t="str">
        <f t="shared" si="33"/>
        <v>Lại Văn Ngân</v>
      </c>
      <c r="P20" s="103" t="str">
        <f t="shared" si="1"/>
        <v>CT</v>
      </c>
      <c r="Q20" s="106" t="str">
        <f t="shared" si="2"/>
        <v>CT</v>
      </c>
      <c r="R20" s="103">
        <v>0</v>
      </c>
      <c r="S20" s="103" t="s">
        <v>114</v>
      </c>
      <c r="T20" s="107" t="s">
        <v>181</v>
      </c>
      <c r="U20" s="108">
        <v>3</v>
      </c>
      <c r="V20" s="109">
        <f t="shared" ref="V20:V23" si="47">1556.713/255*U20</f>
        <v>18.314270588235292</v>
      </c>
      <c r="W20" s="110">
        <v>50000</v>
      </c>
      <c r="X20" s="111">
        <f t="shared" si="3"/>
        <v>915713.52941176458</v>
      </c>
      <c r="Y20" s="106" t="s">
        <v>133</v>
      </c>
      <c r="Z20" s="106" t="str">
        <f t="shared" si="4"/>
        <v>OK/NO</v>
      </c>
      <c r="AA20" s="106" t="str">
        <f t="shared" si="34"/>
        <v>DKG</v>
      </c>
      <c r="AB20" s="112">
        <v>100000</v>
      </c>
      <c r="AC20" s="105" t="s">
        <v>182</v>
      </c>
      <c r="AD20" s="113">
        <f t="shared" si="5"/>
        <v>9</v>
      </c>
      <c r="AE20" s="113" t="str">
        <f t="shared" si="6"/>
        <v>CT</v>
      </c>
      <c r="AF20" s="114" t="str">
        <f t="shared" si="7"/>
        <v>DKG&lt;-&gt;Chuyển tải CHP-HS</v>
      </c>
      <c r="AG20" s="106" t="str">
        <f t="shared" si="35"/>
        <v>CX001</v>
      </c>
      <c r="AH20" s="106" t="str">
        <f t="shared" si="8"/>
        <v>15C-10812</v>
      </c>
      <c r="AI20" s="109">
        <f t="shared" si="9"/>
        <v>18.314270588235292</v>
      </c>
      <c r="AJ20" s="112">
        <f t="shared" si="9"/>
        <v>50000</v>
      </c>
      <c r="AK20" s="112">
        <f t="shared" si="9"/>
        <v>915713.52941176458</v>
      </c>
      <c r="AL20" s="106" t="str">
        <f t="shared" si="10"/>
        <v>DKG</v>
      </c>
      <c r="AM20" s="112">
        <f t="shared" si="10"/>
        <v>100000</v>
      </c>
      <c r="AN20" s="112">
        <f t="shared" si="36"/>
        <v>100000</v>
      </c>
      <c r="AO20" s="112">
        <f t="shared" si="11"/>
        <v>0</v>
      </c>
      <c r="AP20" s="105"/>
      <c r="AQ20" s="109">
        <f t="shared" si="12"/>
        <v>17.398557058823528</v>
      </c>
      <c r="AR20" s="109"/>
      <c r="AS20" s="112">
        <f t="shared" si="37"/>
        <v>28738.01536009731</v>
      </c>
      <c r="AT20" s="112">
        <f t="shared" si="13"/>
        <v>500000</v>
      </c>
      <c r="AU20" s="112">
        <f t="shared" si="14"/>
        <v>415713.52941176458</v>
      </c>
      <c r="AV20" s="105" t="str">
        <f t="shared" si="15"/>
        <v>Phúc Tâm</v>
      </c>
      <c r="AW20" s="115">
        <f t="shared" si="16"/>
        <v>0.91571352941176443</v>
      </c>
      <c r="AX20" s="115"/>
      <c r="AY20" s="116">
        <f t="shared" si="17"/>
        <v>453977.70815815119</v>
      </c>
      <c r="AZ20" s="116">
        <f t="shared" si="18"/>
        <v>415713.52941176458</v>
      </c>
      <c r="BA20" s="116">
        <f t="shared" si="19"/>
        <v>0</v>
      </c>
      <c r="BB20" s="117">
        <f t="shared" si="38"/>
        <v>512110</v>
      </c>
      <c r="BC20" s="117">
        <f t="shared" si="20"/>
        <v>511301</v>
      </c>
      <c r="BD20" s="117">
        <f t="shared" si="21"/>
        <v>5123</v>
      </c>
      <c r="BE20" s="117">
        <f t="shared" si="22"/>
        <v>0</v>
      </c>
      <c r="BF20" s="117">
        <f t="shared" si="23"/>
        <v>0</v>
      </c>
      <c r="BG20" s="117">
        <f t="shared" si="24"/>
        <v>15401</v>
      </c>
      <c r="BH20" s="118">
        <f t="shared" si="39"/>
        <v>6121110</v>
      </c>
      <c r="BI20" s="73" t="s">
        <v>122</v>
      </c>
      <c r="BJ20" s="73" t="str">
        <f t="shared" si="25"/>
        <v>TDG xe 15C-10812</v>
      </c>
      <c r="BK20" s="118" t="str">
        <f t="shared" si="26"/>
        <v>G</v>
      </c>
      <c r="BL20" s="74" t="str">
        <f t="shared" ca="1" si="40"/>
        <v/>
      </c>
      <c r="BM20" s="8" t="str">
        <f t="shared" si="43"/>
        <v>CG00024</v>
      </c>
      <c r="BN20" s="8">
        <f t="shared" si="41"/>
        <v>0</v>
      </c>
      <c r="BO20" s="8" t="str">
        <f t="shared" si="44"/>
        <v>CG00024</v>
      </c>
      <c r="BP20" s="8" t="str">
        <f t="shared" si="44"/>
        <v>Công ty TNHH XNK và Thương mại Phúc Tâm (HDHN) 0913074797</v>
      </c>
      <c r="BQ20" s="8" t="str">
        <f t="shared" si="45"/>
        <v>DKG&lt;-&gt;Chuyển tải CHP-HS</v>
      </c>
      <c r="BS20" s="116">
        <f t="shared" si="46"/>
        <v>50000</v>
      </c>
      <c r="BT20" s="119" t="b">
        <f>IF(OR(BM20="CG00047",BM20="Dong Duong",BM20="CG00073",BM20="CG00078",BM20="CG00045"),VLOOKUP(BQ20,[3]gia3!$D$7:$T$206,4,0),IF(OR(BM20="CG00088",BM20="CG00044",),VLOOKUP(BQ20,[3]gia3!$D$7:$T$206,6,0),IF(BM20="Đinh Gia",VLOOKUP(BQ20,[3]gia3!$D$7:$T$206,8,0),IF(OR(BM20="Greeensky",BM20="CG..."),VLOOKUP(BQ20,[3]gia3!$D$7:$T$206,10,0),IF(OR(BM20="Đại Huu",BM20="Vietj Mỹ"),VLOOKUP(BQ20,[3]gia3!$D$7:$T$206,14,0) )))))</f>
        <v>0</v>
      </c>
      <c r="BU20" s="119" t="b">
        <f>IF(OR(BM20="CG00047",BM20="Dong Duong",BM20="CG00073",BM20="CG00078",BM20="CG00045"),VLOOKUP(BQ20,[3]gia3!$D$7:$T$206,5,0),IF(OR(BM20="CG00088",BM20="CG00044",),VLOOKUP(BQ20,[3]gia3!$D$7:$T$206,7,0),IF(BM20="Đinh Gia",VLOOKUP(BQ20,[3]gia3!$D$7:$T$206,9,0),IF(OR(BM20="Greeensky",BM20="CG..."),VLOOKUP(BQ20,[3]gia3!$D$7:$T$206,11,0),IF(OR(BM20="Đại Huu",BM20="Vietj Mỹ"),VLOOKUP(BQ20,[3]gia3!$D$7:$T$206,15,0) )))))</f>
        <v>0</v>
      </c>
      <c r="BV20" s="8" t="str">
        <f t="shared" si="42"/>
        <v>saiiiiiiiiiiiiiiiii</v>
      </c>
      <c r="BX20" s="120" t="e">
        <f>VLOOKUP(BQ20,[2]gia3!$D$7:$W$256,19,0)</f>
        <v>#N/A</v>
      </c>
      <c r="BY20" s="95" t="e">
        <f t="shared" si="31"/>
        <v>#N/A</v>
      </c>
      <c r="BZ20" s="96" t="e">
        <f t="shared" si="32"/>
        <v>#N/A</v>
      </c>
    </row>
    <row r="21" spans="1:78" s="8" customFormat="1" ht="20.100000000000001" customHeight="1" x14ac:dyDescent="0.3">
      <c r="A21" s="97">
        <f>MAX($A$11:A20)+1</f>
        <v>10</v>
      </c>
      <c r="B21" s="98">
        <v>45482</v>
      </c>
      <c r="C21" s="97" t="s">
        <v>174</v>
      </c>
      <c r="D21" s="99" t="s">
        <v>175</v>
      </c>
      <c r="E21" s="100" t="s">
        <v>176</v>
      </c>
      <c r="F21" s="99" t="s">
        <v>177</v>
      </c>
      <c r="G21" s="99"/>
      <c r="H21" s="97" t="s">
        <v>126</v>
      </c>
      <c r="I21" s="97"/>
      <c r="J21" s="97"/>
      <c r="K21" s="101" t="s">
        <v>178</v>
      </c>
      <c r="L21" s="102" t="s">
        <v>179</v>
      </c>
      <c r="M21" s="103" t="str">
        <f t="shared" si="0"/>
        <v>Hoàng Sơn</v>
      </c>
      <c r="N21" s="104" t="s">
        <v>183</v>
      </c>
      <c r="O21" s="105" t="str">
        <f t="shared" si="33"/>
        <v>Vũ Đức Chiến</v>
      </c>
      <c r="P21" s="103" t="str">
        <f t="shared" si="1"/>
        <v>CT</v>
      </c>
      <c r="Q21" s="106" t="str">
        <f t="shared" si="2"/>
        <v>CT</v>
      </c>
      <c r="R21" s="103">
        <v>0</v>
      </c>
      <c r="S21" s="103" t="s">
        <v>114</v>
      </c>
      <c r="T21" s="107" t="s">
        <v>181</v>
      </c>
      <c r="U21" s="108">
        <v>3</v>
      </c>
      <c r="V21" s="109">
        <f t="shared" si="47"/>
        <v>18.314270588235292</v>
      </c>
      <c r="W21" s="110">
        <v>50000</v>
      </c>
      <c r="X21" s="111">
        <f t="shared" si="3"/>
        <v>915713.52941176458</v>
      </c>
      <c r="Y21" s="106" t="s">
        <v>133</v>
      </c>
      <c r="Z21" s="106" t="str">
        <f t="shared" si="4"/>
        <v>OK/NO</v>
      </c>
      <c r="AA21" s="106" t="str">
        <f t="shared" si="34"/>
        <v>DKG</v>
      </c>
      <c r="AB21" s="112">
        <v>100000</v>
      </c>
      <c r="AC21" s="105" t="s">
        <v>182</v>
      </c>
      <c r="AD21" s="113">
        <f t="shared" si="5"/>
        <v>10</v>
      </c>
      <c r="AE21" s="113" t="str">
        <f t="shared" si="6"/>
        <v>CT</v>
      </c>
      <c r="AF21" s="114" t="str">
        <f t="shared" si="7"/>
        <v>DKG&lt;-&gt;Chuyển tải CHP-HS</v>
      </c>
      <c r="AG21" s="106" t="str">
        <f t="shared" si="35"/>
        <v>CX001</v>
      </c>
      <c r="AH21" s="106" t="str">
        <f t="shared" si="8"/>
        <v>15C-13368</v>
      </c>
      <c r="AI21" s="109">
        <f t="shared" si="9"/>
        <v>18.314270588235292</v>
      </c>
      <c r="AJ21" s="112">
        <f t="shared" si="9"/>
        <v>50000</v>
      </c>
      <c r="AK21" s="112">
        <f t="shared" si="9"/>
        <v>915713.52941176458</v>
      </c>
      <c r="AL21" s="106" t="str">
        <f t="shared" si="10"/>
        <v>DKG</v>
      </c>
      <c r="AM21" s="112">
        <f t="shared" si="10"/>
        <v>100000</v>
      </c>
      <c r="AN21" s="112">
        <f t="shared" si="36"/>
        <v>100000</v>
      </c>
      <c r="AO21" s="112">
        <f t="shared" si="11"/>
        <v>0</v>
      </c>
      <c r="AP21" s="105"/>
      <c r="AQ21" s="109">
        <f t="shared" si="12"/>
        <v>17.398557058823528</v>
      </c>
      <c r="AR21" s="109"/>
      <c r="AS21" s="112">
        <f t="shared" si="37"/>
        <v>28738.01536009731</v>
      </c>
      <c r="AT21" s="112">
        <f t="shared" si="13"/>
        <v>500000</v>
      </c>
      <c r="AU21" s="112">
        <f t="shared" si="14"/>
        <v>415713.52941176458</v>
      </c>
      <c r="AV21" s="105" t="str">
        <f t="shared" si="15"/>
        <v>Phúc Tâm</v>
      </c>
      <c r="AW21" s="115">
        <f t="shared" si="16"/>
        <v>0.91571352941176443</v>
      </c>
      <c r="AX21" s="115"/>
      <c r="AY21" s="116">
        <f t="shared" si="17"/>
        <v>453977.70815815119</v>
      </c>
      <c r="AZ21" s="116">
        <f t="shared" si="18"/>
        <v>415713.52941176458</v>
      </c>
      <c r="BA21" s="116">
        <f t="shared" si="19"/>
        <v>0</v>
      </c>
      <c r="BB21" s="117">
        <f t="shared" si="38"/>
        <v>512135</v>
      </c>
      <c r="BC21" s="117">
        <f t="shared" si="20"/>
        <v>511301</v>
      </c>
      <c r="BD21" s="117">
        <f t="shared" si="21"/>
        <v>5123</v>
      </c>
      <c r="BE21" s="117">
        <f t="shared" si="22"/>
        <v>0</v>
      </c>
      <c r="BF21" s="117">
        <f t="shared" si="23"/>
        <v>0</v>
      </c>
      <c r="BG21" s="117">
        <f t="shared" si="24"/>
        <v>15401</v>
      </c>
      <c r="BH21" s="118">
        <f t="shared" si="39"/>
        <v>6121135</v>
      </c>
      <c r="BI21" s="73" t="s">
        <v>122</v>
      </c>
      <c r="BJ21" s="73" t="str">
        <f t="shared" si="25"/>
        <v>TDG xe 15C-13368</v>
      </c>
      <c r="BK21" s="118" t="str">
        <f t="shared" si="26"/>
        <v>G</v>
      </c>
      <c r="BL21" s="74" t="str">
        <f t="shared" ca="1" si="40"/>
        <v/>
      </c>
      <c r="BM21" s="8" t="str">
        <f t="shared" si="43"/>
        <v>CG00024</v>
      </c>
      <c r="BN21" s="8">
        <f t="shared" si="41"/>
        <v>0</v>
      </c>
      <c r="BO21" s="8" t="str">
        <f t="shared" si="44"/>
        <v>CG00024</v>
      </c>
      <c r="BP21" s="8" t="str">
        <f t="shared" si="44"/>
        <v>Công ty TNHH XNK và Thương mại Phúc Tâm (HDHN) 0913074797</v>
      </c>
      <c r="BQ21" s="8" t="str">
        <f t="shared" si="45"/>
        <v>DKG&lt;-&gt;Chuyển tải CHP-HS</v>
      </c>
      <c r="BS21" s="116">
        <f t="shared" si="46"/>
        <v>50000</v>
      </c>
      <c r="BT21" s="119" t="b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0</v>
      </c>
      <c r="BU21" s="119" t="b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0</v>
      </c>
      <c r="BV21" s="8" t="str">
        <f t="shared" si="42"/>
        <v>saiiiiiiiiiiiiiiiii</v>
      </c>
      <c r="BX21" s="120" t="e">
        <f>VLOOKUP(BQ21,[2]gia3!$D$7:$W$256,19,0)</f>
        <v>#N/A</v>
      </c>
      <c r="BY21" s="95" t="e">
        <f t="shared" si="31"/>
        <v>#N/A</v>
      </c>
      <c r="BZ21" s="96" t="e">
        <f t="shared" si="32"/>
        <v>#N/A</v>
      </c>
    </row>
    <row r="22" spans="1:78" s="8" customFormat="1" ht="20.100000000000001" customHeight="1" x14ac:dyDescent="0.3">
      <c r="A22" s="97">
        <f>MAX($A$11:A21)+1</f>
        <v>11</v>
      </c>
      <c r="B22" s="98">
        <v>45482</v>
      </c>
      <c r="C22" s="97" t="s">
        <v>174</v>
      </c>
      <c r="D22" s="99" t="s">
        <v>175</v>
      </c>
      <c r="E22" s="100" t="s">
        <v>176</v>
      </c>
      <c r="F22" s="99" t="s">
        <v>177</v>
      </c>
      <c r="G22" s="99"/>
      <c r="H22" s="97" t="s">
        <v>126</v>
      </c>
      <c r="I22" s="97"/>
      <c r="J22" s="97"/>
      <c r="K22" s="101" t="s">
        <v>178</v>
      </c>
      <c r="L22" s="102" t="s">
        <v>179</v>
      </c>
      <c r="M22" s="103" t="str">
        <f t="shared" si="0"/>
        <v>Hoàng Sơn</v>
      </c>
      <c r="N22" s="104" t="s">
        <v>180</v>
      </c>
      <c r="O22" s="105" t="str">
        <f t="shared" si="33"/>
        <v>Lại Văn Ngân</v>
      </c>
      <c r="P22" s="103" t="str">
        <f t="shared" si="1"/>
        <v>CT</v>
      </c>
      <c r="Q22" s="106" t="str">
        <f t="shared" si="2"/>
        <v>CT</v>
      </c>
      <c r="R22" s="103">
        <v>0</v>
      </c>
      <c r="S22" s="103" t="s">
        <v>114</v>
      </c>
      <c r="T22" s="107" t="s">
        <v>181</v>
      </c>
      <c r="U22" s="108">
        <v>5</v>
      </c>
      <c r="V22" s="109">
        <f t="shared" si="47"/>
        <v>30.523784313725489</v>
      </c>
      <c r="W22" s="110">
        <v>50000</v>
      </c>
      <c r="X22" s="111">
        <f t="shared" si="3"/>
        <v>1526189.2156862745</v>
      </c>
      <c r="Y22" s="106" t="s">
        <v>133</v>
      </c>
      <c r="Z22" s="106" t="str">
        <f t="shared" si="4"/>
        <v>OK/NO</v>
      </c>
      <c r="AA22" s="106" t="str">
        <f t="shared" si="34"/>
        <v>DKG</v>
      </c>
      <c r="AB22" s="112">
        <v>100000</v>
      </c>
      <c r="AC22" s="105" t="s">
        <v>182</v>
      </c>
      <c r="AD22" s="113">
        <f t="shared" si="5"/>
        <v>11</v>
      </c>
      <c r="AE22" s="113" t="str">
        <f t="shared" si="6"/>
        <v>CT</v>
      </c>
      <c r="AF22" s="114" t="str">
        <f t="shared" si="7"/>
        <v>DKG&lt;-&gt;Chuyển tải CHP-HS</v>
      </c>
      <c r="AG22" s="106" t="str">
        <f t="shared" si="35"/>
        <v>CX001</v>
      </c>
      <c r="AH22" s="106" t="str">
        <f t="shared" si="8"/>
        <v>15C-10812</v>
      </c>
      <c r="AI22" s="109">
        <f t="shared" si="9"/>
        <v>30.523784313725489</v>
      </c>
      <c r="AJ22" s="112">
        <f t="shared" si="9"/>
        <v>50000</v>
      </c>
      <c r="AK22" s="112">
        <f t="shared" si="9"/>
        <v>1526189.2156862745</v>
      </c>
      <c r="AL22" s="106" t="str">
        <f t="shared" si="10"/>
        <v>DKG</v>
      </c>
      <c r="AM22" s="112">
        <f t="shared" si="10"/>
        <v>100000</v>
      </c>
      <c r="AN22" s="112">
        <f t="shared" si="36"/>
        <v>100000</v>
      </c>
      <c r="AO22" s="112">
        <f t="shared" si="11"/>
        <v>0</v>
      </c>
      <c r="AP22" s="105"/>
      <c r="AQ22" s="109">
        <f t="shared" si="12"/>
        <v>28.997595098039213</v>
      </c>
      <c r="AR22" s="109"/>
      <c r="AS22" s="112">
        <f t="shared" si="37"/>
        <v>17242.809216058384</v>
      </c>
      <c r="AT22" s="112">
        <f t="shared" si="13"/>
        <v>499999.99999999994</v>
      </c>
      <c r="AU22" s="112">
        <f t="shared" si="14"/>
        <v>1026189.2156862745</v>
      </c>
      <c r="AV22" s="105" t="str">
        <f t="shared" si="15"/>
        <v>Phúc Tâm</v>
      </c>
      <c r="AW22" s="115">
        <f t="shared" si="16"/>
        <v>1.5261892156862764</v>
      </c>
      <c r="AX22" s="115"/>
      <c r="AY22" s="116">
        <f t="shared" si="17"/>
        <v>672386.62489488989</v>
      </c>
      <c r="AZ22" s="116">
        <f t="shared" si="18"/>
        <v>1026189.2156862746</v>
      </c>
      <c r="BA22" s="116">
        <f t="shared" si="19"/>
        <v>0</v>
      </c>
      <c r="BB22" s="117">
        <f t="shared" si="38"/>
        <v>512110</v>
      </c>
      <c r="BC22" s="117">
        <f t="shared" si="20"/>
        <v>511301</v>
      </c>
      <c r="BD22" s="117">
        <f t="shared" si="21"/>
        <v>5123</v>
      </c>
      <c r="BE22" s="117">
        <f t="shared" si="22"/>
        <v>0</v>
      </c>
      <c r="BF22" s="117">
        <f t="shared" si="23"/>
        <v>0</v>
      </c>
      <c r="BG22" s="117">
        <f t="shared" si="24"/>
        <v>15401</v>
      </c>
      <c r="BH22" s="118">
        <f t="shared" si="39"/>
        <v>6121110</v>
      </c>
      <c r="BI22" s="73" t="s">
        <v>122</v>
      </c>
      <c r="BJ22" s="73" t="str">
        <f t="shared" si="25"/>
        <v>TDG xe 15C-10812</v>
      </c>
      <c r="BK22" s="118" t="str">
        <f t="shared" si="26"/>
        <v>G</v>
      </c>
      <c r="BL22" s="74" t="str">
        <f t="shared" ca="1" si="40"/>
        <v/>
      </c>
      <c r="BM22" s="8" t="str">
        <f t="shared" si="43"/>
        <v>CG00024</v>
      </c>
      <c r="BN22" s="8">
        <f t="shared" si="41"/>
        <v>0</v>
      </c>
      <c r="BO22" s="8" t="str">
        <f t="shared" si="44"/>
        <v>CG00024</v>
      </c>
      <c r="BP22" s="8" t="str">
        <f t="shared" si="44"/>
        <v>Công ty TNHH XNK và Thương mại Phúc Tâm (HDHN) 0913074797</v>
      </c>
      <c r="BQ22" s="8" t="str">
        <f t="shared" si="45"/>
        <v>DKG&lt;-&gt;Chuyển tải CHP-HS</v>
      </c>
      <c r="BS22" s="116">
        <f t="shared" si="46"/>
        <v>50000</v>
      </c>
      <c r="BT22" s="119" t="b">
        <f>IF(OR(BM22="CG00047",BM22="Dong Duong",BM22="CG00073",BM22="CG00078",BM22="CG00045"),VLOOKUP(BQ22,[1]gia3!$D$7:$T$206,4,0),IF(OR(BM22="CG00088",BM22="CG00044",),VLOOKUP(BQ22,[1]gia3!$D$7:$T$206,6,0),IF(BM22="Đinh Gia",VLOOKUP(BQ22,[1]gia3!$D$7:$T$206,8,0),IF(OR(BM22="Greeensky",BM22="CG..."),VLOOKUP(BQ22,[1]gia3!$D$7:$T$206,10,0),IF(OR(BM22="Đại Huu",BM22="Vietj Mỹ"),VLOOKUP(BQ22,[1]gia3!$D$7:$T$206,14,0) )))))</f>
        <v>0</v>
      </c>
      <c r="BU22" s="119" t="b">
        <f>IF(OR(BM22="CG00047",BM22="Dong Duong",BM22="CG00073",BM22="CG00078",BM22="CG00045"),VLOOKUP(BQ22,[1]gia3!$D$7:$T$206,5,0),IF(OR(BM22="CG00088",BM22="CG00044",),VLOOKUP(BQ22,[1]gia3!$D$7:$T$206,7,0),IF(BM22="Đinh Gia",VLOOKUP(BQ22,[1]gia3!$D$7:$T$206,9,0),IF(OR(BM22="Greeensky",BM22="CG..."),VLOOKUP(BQ22,[1]gia3!$D$7:$T$206,11,0),IF(OR(BM22="Đại Huu",BM22="Vietj Mỹ"),VLOOKUP(BQ22,[1]gia3!$D$7:$T$206,15,0) )))))</f>
        <v>0</v>
      </c>
      <c r="BV22" s="8" t="str">
        <f t="shared" si="42"/>
        <v>saiiiiiiiiiiiiiiiii</v>
      </c>
      <c r="BX22" s="120" t="e">
        <f>VLOOKUP(BQ22,[2]gia3!$D$7:$W$256,19,0)</f>
        <v>#N/A</v>
      </c>
      <c r="BY22" s="95" t="e">
        <f t="shared" si="31"/>
        <v>#N/A</v>
      </c>
      <c r="BZ22" s="96" t="e">
        <f t="shared" si="32"/>
        <v>#N/A</v>
      </c>
    </row>
    <row r="23" spans="1:78" s="8" customFormat="1" ht="20.100000000000001" customHeight="1" x14ac:dyDescent="0.3">
      <c r="A23" s="97">
        <f>MAX($A$11:A22)+1</f>
        <v>12</v>
      </c>
      <c r="B23" s="98">
        <v>45482</v>
      </c>
      <c r="C23" s="97" t="s">
        <v>174</v>
      </c>
      <c r="D23" s="99" t="s">
        <v>175</v>
      </c>
      <c r="E23" s="100" t="s">
        <v>176</v>
      </c>
      <c r="F23" s="99" t="s">
        <v>177</v>
      </c>
      <c r="G23" s="99"/>
      <c r="H23" s="97" t="s">
        <v>126</v>
      </c>
      <c r="I23" s="97"/>
      <c r="J23" s="97"/>
      <c r="K23" s="101" t="s">
        <v>178</v>
      </c>
      <c r="L23" s="102" t="s">
        <v>179</v>
      </c>
      <c r="M23" s="103" t="str">
        <f t="shared" si="0"/>
        <v>Hoàng Sơn</v>
      </c>
      <c r="N23" s="104" t="s">
        <v>183</v>
      </c>
      <c r="O23" s="105" t="str">
        <f t="shared" si="33"/>
        <v>Vũ Đức Chiến</v>
      </c>
      <c r="P23" s="103" t="str">
        <f t="shared" si="1"/>
        <v>CT</v>
      </c>
      <c r="Q23" s="106" t="str">
        <f t="shared" si="2"/>
        <v>CT</v>
      </c>
      <c r="R23" s="103">
        <v>0</v>
      </c>
      <c r="S23" s="103" t="s">
        <v>114</v>
      </c>
      <c r="T23" s="107" t="s">
        <v>181</v>
      </c>
      <c r="U23" s="108">
        <v>5</v>
      </c>
      <c r="V23" s="109">
        <f t="shared" si="47"/>
        <v>30.523784313725489</v>
      </c>
      <c r="W23" s="110">
        <v>50000</v>
      </c>
      <c r="X23" s="111">
        <f t="shared" si="3"/>
        <v>1526189.2156862745</v>
      </c>
      <c r="Y23" s="106" t="s">
        <v>133</v>
      </c>
      <c r="Z23" s="106" t="str">
        <f t="shared" si="4"/>
        <v>OK/NO</v>
      </c>
      <c r="AA23" s="106" t="str">
        <f t="shared" si="34"/>
        <v>DKG</v>
      </c>
      <c r="AB23" s="112">
        <v>100000</v>
      </c>
      <c r="AC23" s="105" t="s">
        <v>182</v>
      </c>
      <c r="AD23" s="113">
        <f t="shared" si="5"/>
        <v>12</v>
      </c>
      <c r="AE23" s="113" t="str">
        <f t="shared" si="6"/>
        <v>CT</v>
      </c>
      <c r="AF23" s="114" t="str">
        <f t="shared" si="7"/>
        <v>DKG&lt;-&gt;Chuyển tải CHP-HS</v>
      </c>
      <c r="AG23" s="106" t="str">
        <f t="shared" si="35"/>
        <v>CX001</v>
      </c>
      <c r="AH23" s="106" t="str">
        <f t="shared" si="8"/>
        <v>15C-13368</v>
      </c>
      <c r="AI23" s="109">
        <f t="shared" si="9"/>
        <v>30.523784313725489</v>
      </c>
      <c r="AJ23" s="112">
        <f t="shared" si="9"/>
        <v>50000</v>
      </c>
      <c r="AK23" s="112">
        <f t="shared" si="9"/>
        <v>1526189.2156862745</v>
      </c>
      <c r="AL23" s="106" t="str">
        <f t="shared" si="10"/>
        <v>DKG</v>
      </c>
      <c r="AM23" s="112">
        <f t="shared" si="10"/>
        <v>100000</v>
      </c>
      <c r="AN23" s="112">
        <f t="shared" si="36"/>
        <v>100000</v>
      </c>
      <c r="AO23" s="112">
        <f t="shared" si="11"/>
        <v>0</v>
      </c>
      <c r="AP23" s="105"/>
      <c r="AQ23" s="109">
        <f t="shared" si="12"/>
        <v>28.997595098039213</v>
      </c>
      <c r="AR23" s="109"/>
      <c r="AS23" s="112">
        <f t="shared" si="37"/>
        <v>17242.809216058384</v>
      </c>
      <c r="AT23" s="112">
        <f t="shared" si="13"/>
        <v>499999.99999999994</v>
      </c>
      <c r="AU23" s="112">
        <f t="shared" si="14"/>
        <v>1026189.2156862745</v>
      </c>
      <c r="AV23" s="105" t="str">
        <f t="shared" si="15"/>
        <v>Phúc Tâm</v>
      </c>
      <c r="AW23" s="115">
        <f t="shared" si="16"/>
        <v>1.5261892156862764</v>
      </c>
      <c r="AX23" s="115"/>
      <c r="AY23" s="116">
        <f t="shared" si="17"/>
        <v>672386.62489488989</v>
      </c>
      <c r="AZ23" s="116">
        <f t="shared" si="18"/>
        <v>1026189.2156862746</v>
      </c>
      <c r="BA23" s="116">
        <f t="shared" si="19"/>
        <v>0</v>
      </c>
      <c r="BB23" s="117">
        <f t="shared" si="38"/>
        <v>512135</v>
      </c>
      <c r="BC23" s="117">
        <f t="shared" si="20"/>
        <v>511301</v>
      </c>
      <c r="BD23" s="117">
        <f t="shared" si="21"/>
        <v>5123</v>
      </c>
      <c r="BE23" s="117">
        <f t="shared" si="22"/>
        <v>0</v>
      </c>
      <c r="BF23" s="117">
        <f t="shared" si="23"/>
        <v>0</v>
      </c>
      <c r="BG23" s="117">
        <f t="shared" si="24"/>
        <v>15401</v>
      </c>
      <c r="BH23" s="118">
        <f t="shared" si="39"/>
        <v>6121135</v>
      </c>
      <c r="BI23" s="73" t="s">
        <v>122</v>
      </c>
      <c r="BJ23" s="73" t="str">
        <f t="shared" si="25"/>
        <v>TDG xe 15C-13368</v>
      </c>
      <c r="BK23" s="118" t="str">
        <f t="shared" si="26"/>
        <v>G</v>
      </c>
      <c r="BL23" s="74" t="str">
        <f t="shared" ca="1" si="40"/>
        <v/>
      </c>
      <c r="BM23" s="8" t="str">
        <f t="shared" si="43"/>
        <v>CG00024</v>
      </c>
      <c r="BN23" s="8">
        <f t="shared" si="41"/>
        <v>0</v>
      </c>
      <c r="BO23" s="8" t="str">
        <f t="shared" si="44"/>
        <v>CG00024</v>
      </c>
      <c r="BP23" s="8" t="str">
        <f t="shared" si="44"/>
        <v>Công ty TNHH XNK và Thương mại Phúc Tâm (HDHN) 0913074797</v>
      </c>
      <c r="BQ23" s="8" t="str">
        <f t="shared" si="45"/>
        <v>DKG&lt;-&gt;Chuyển tải CHP-HS</v>
      </c>
      <c r="BS23" s="116">
        <f t="shared" si="46"/>
        <v>50000</v>
      </c>
      <c r="BT23" s="119" t="b">
        <f>IF(OR(BM23="CG00047",BM23="Dong Duong",BM23="CG00073",BM23="CG00078",BM23="CG00045"),VLOOKUP(BQ23,[1]gia3!$D$7:$T$206,4,0),IF(OR(BM23="CG00088",BM23="CG00044",),VLOOKUP(BQ23,[1]gia3!$D$7:$T$206,6,0),IF(BM23="Đinh Gia",VLOOKUP(BQ23,[1]gia3!$D$7:$T$206,8,0),IF(OR(BM23="Greeensky",BM23="CG..."),VLOOKUP(BQ23,[1]gia3!$D$7:$T$206,10,0),IF(OR(BM23="Đại Huu",BM23="Vietj Mỹ"),VLOOKUP(BQ23,[1]gia3!$D$7:$T$206,14,0) )))))</f>
        <v>0</v>
      </c>
      <c r="BU23" s="119" t="b">
        <f>IF(OR(BM23="CG00047",BM23="Dong Duong",BM23="CG00073",BM23="CG00078",BM23="CG00045"),VLOOKUP(BQ23,[1]gia3!$D$7:$T$206,5,0),IF(OR(BM23="CG00088",BM23="CG00044",),VLOOKUP(BQ23,[1]gia3!$D$7:$T$206,7,0),IF(BM23="Đinh Gia",VLOOKUP(BQ23,[1]gia3!$D$7:$T$206,9,0),IF(OR(BM23="Greeensky",BM23="CG..."),VLOOKUP(BQ23,[1]gia3!$D$7:$T$206,11,0),IF(OR(BM23="Đại Huu",BM23="Vietj Mỹ"),VLOOKUP(BQ23,[1]gia3!$D$7:$T$206,15,0) )))))</f>
        <v>0</v>
      </c>
      <c r="BV23" s="8" t="str">
        <f t="shared" si="42"/>
        <v>saiiiiiiiiiiiiiiiii</v>
      </c>
      <c r="BX23" s="120" t="e">
        <f>VLOOKUP(BQ23,[2]gia3!$D$7:$W$256,19,0)</f>
        <v>#N/A</v>
      </c>
      <c r="BY23" s="95" t="e">
        <f t="shared" si="31"/>
        <v>#N/A</v>
      </c>
      <c r="BZ23" s="96" t="e">
        <f t="shared" si="32"/>
        <v>#N/A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2024-07-10T03:02:14Z</dcterms:created>
  <dcterms:modified xsi:type="dcterms:W3CDTF">2024-07-10T03:02:15Z</dcterms:modified>
</cp:coreProperties>
</file>