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A46B9553-16EF-4203-83E0-0C6155EBF377}" xr6:coauthVersionLast="47" xr6:coauthVersionMax="47" xr10:uidLastSave="{00000000-0000-0000-0000-000000000000}"/>
  <bookViews>
    <workbookView xWindow="-108" yWindow="-108" windowWidth="23256" windowHeight="12456" xr2:uid="{B5587AFE-2CD8-4AFC-AE1B-F6236698051B}"/>
  </bookViews>
  <sheets>
    <sheet name="H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HT!$A$10:$BL$18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1" i="1" l="1"/>
  <c r="BE31" i="1"/>
  <c r="AV31" i="1"/>
  <c r="AM31" i="1"/>
  <c r="AN31" i="1" s="1"/>
  <c r="AO31" i="1" s="1"/>
  <c r="AJ31" i="1"/>
  <c r="AI31" i="1"/>
  <c r="AW31" i="1" s="1"/>
  <c r="AH31" i="1"/>
  <c r="AG31" i="1"/>
  <c r="BH31" i="1" s="1"/>
  <c r="AF31" i="1"/>
  <c r="AE31" i="1"/>
  <c r="AA31" i="1"/>
  <c r="Z31" i="1"/>
  <c r="V31" i="1"/>
  <c r="AQ31" i="1" s="1"/>
  <c r="P31" i="1"/>
  <c r="Q31" i="1" s="1"/>
  <c r="O31" i="1"/>
  <c r="M31" i="1"/>
  <c r="BJ30" i="1"/>
  <c r="BE30" i="1"/>
  <c r="BC30" i="1"/>
  <c r="AV30" i="1"/>
  <c r="AM30" i="1"/>
  <c r="AL30" i="1"/>
  <c r="AJ30" i="1"/>
  <c r="AH30" i="1"/>
  <c r="AG30" i="1"/>
  <c r="BH30" i="1" s="1"/>
  <c r="AF30" i="1"/>
  <c r="AE30" i="1"/>
  <c r="AA30" i="1"/>
  <c r="BD30" i="1" s="1"/>
  <c r="Z30" i="1"/>
  <c r="V30" i="1"/>
  <c r="AI30" i="1" s="1"/>
  <c r="Q30" i="1"/>
  <c r="P30" i="1"/>
  <c r="O30" i="1"/>
  <c r="M30" i="1"/>
  <c r="BJ29" i="1"/>
  <c r="BE29" i="1"/>
  <c r="BC29" i="1"/>
  <c r="AV29" i="1"/>
  <c r="AN29" i="1"/>
  <c r="AM29" i="1"/>
  <c r="AO29" i="1" s="1"/>
  <c r="AK29" i="1"/>
  <c r="AJ29" i="1"/>
  <c r="AI29" i="1"/>
  <c r="AW29" i="1" s="1"/>
  <c r="AH29" i="1"/>
  <c r="AG29" i="1"/>
  <c r="BH29" i="1" s="1"/>
  <c r="AF29" i="1"/>
  <c r="AE29" i="1"/>
  <c r="AA29" i="1"/>
  <c r="AL29" i="1" s="1"/>
  <c r="Z29" i="1"/>
  <c r="X29" i="1"/>
  <c r="V29" i="1"/>
  <c r="AQ29" i="1" s="1"/>
  <c r="Q29" i="1"/>
  <c r="P29" i="1"/>
  <c r="O29" i="1"/>
  <c r="M29" i="1"/>
  <c r="BJ28" i="1"/>
  <c r="BE28" i="1"/>
  <c r="BB28" i="1"/>
  <c r="AV28" i="1"/>
  <c r="AQ28" i="1"/>
  <c r="AM28" i="1"/>
  <c r="AN28" i="1" s="1"/>
  <c r="AL28" i="1"/>
  <c r="AJ28" i="1"/>
  <c r="AI28" i="1"/>
  <c r="AW28" i="1" s="1"/>
  <c r="AH28" i="1"/>
  <c r="AG28" i="1"/>
  <c r="BH28" i="1" s="1"/>
  <c r="AF28" i="1"/>
  <c r="AE28" i="1"/>
  <c r="AA28" i="1"/>
  <c r="BC28" i="1" s="1"/>
  <c r="Z28" i="1"/>
  <c r="X28" i="1"/>
  <c r="V28" i="1"/>
  <c r="Q28" i="1"/>
  <c r="P28" i="1"/>
  <c r="O28" i="1"/>
  <c r="M28" i="1"/>
  <c r="BJ27" i="1"/>
  <c r="BG27" i="1"/>
  <c r="BE27" i="1"/>
  <c r="AV27" i="1"/>
  <c r="AM27" i="1"/>
  <c r="AN27" i="1" s="1"/>
  <c r="AO27" i="1" s="1"/>
  <c r="AK27" i="1"/>
  <c r="AJ27" i="1"/>
  <c r="AH27" i="1"/>
  <c r="AG27" i="1"/>
  <c r="BB27" i="1" s="1"/>
  <c r="AF27" i="1"/>
  <c r="AE27" i="1"/>
  <c r="AA27" i="1"/>
  <c r="BD27" i="1" s="1"/>
  <c r="Z27" i="1"/>
  <c r="X27" i="1"/>
  <c r="V27" i="1"/>
  <c r="Q27" i="1"/>
  <c r="P27" i="1"/>
  <c r="O27" i="1"/>
  <c r="M27" i="1"/>
  <c r="BJ26" i="1"/>
  <c r="BF26" i="1"/>
  <c r="BE26" i="1"/>
  <c r="BB26" i="1"/>
  <c r="AV26" i="1"/>
  <c r="AM26" i="1"/>
  <c r="AJ26" i="1"/>
  <c r="AI26" i="1"/>
  <c r="AQ26" i="1" s="1"/>
  <c r="AH26" i="1"/>
  <c r="AG26" i="1"/>
  <c r="BG26" i="1" s="1"/>
  <c r="AF26" i="1"/>
  <c r="AE26" i="1"/>
  <c r="AA26" i="1"/>
  <c r="BD26" i="1" s="1"/>
  <c r="Z26" i="1"/>
  <c r="X26" i="1"/>
  <c r="V26" i="1"/>
  <c r="Q26" i="1"/>
  <c r="P26" i="1"/>
  <c r="O26" i="1"/>
  <c r="M26" i="1"/>
  <c r="BJ25" i="1"/>
  <c r="BE25" i="1"/>
  <c r="AV25" i="1"/>
  <c r="AM25" i="1"/>
  <c r="AN25" i="1" s="1"/>
  <c r="AO25" i="1" s="1"/>
  <c r="AK25" i="1"/>
  <c r="AJ25" i="1"/>
  <c r="AI25" i="1"/>
  <c r="AH25" i="1"/>
  <c r="AG25" i="1"/>
  <c r="BH25" i="1" s="1"/>
  <c r="AF25" i="1"/>
  <c r="AE25" i="1"/>
  <c r="AA25" i="1"/>
  <c r="Z25" i="1"/>
  <c r="X25" i="1"/>
  <c r="V25" i="1"/>
  <c r="AQ25" i="1" s="1"/>
  <c r="P25" i="1"/>
  <c r="Q25" i="1" s="1"/>
  <c r="O25" i="1"/>
  <c r="M25" i="1"/>
  <c r="BJ24" i="1"/>
  <c r="BF24" i="1"/>
  <c r="BE24" i="1"/>
  <c r="BB24" i="1"/>
  <c r="AV24" i="1"/>
  <c r="AM24" i="1"/>
  <c r="AL24" i="1"/>
  <c r="AJ24" i="1"/>
  <c r="AH24" i="1"/>
  <c r="AG24" i="1"/>
  <c r="BH24" i="1" s="1"/>
  <c r="AF24" i="1"/>
  <c r="AE24" i="1"/>
  <c r="AA24" i="1"/>
  <c r="BD24" i="1" s="1"/>
  <c r="Z24" i="1"/>
  <c r="V24" i="1"/>
  <c r="AI24" i="1" s="1"/>
  <c r="Q24" i="1"/>
  <c r="P24" i="1"/>
  <c r="O24" i="1"/>
  <c r="M24" i="1"/>
  <c r="BJ23" i="1"/>
  <c r="BE23" i="1"/>
  <c r="BC23" i="1"/>
  <c r="AV23" i="1"/>
  <c r="AN23" i="1"/>
  <c r="AO23" i="1" s="1"/>
  <c r="AM23" i="1"/>
  <c r="AK23" i="1"/>
  <c r="AJ23" i="1"/>
  <c r="AI23" i="1"/>
  <c r="AH23" i="1"/>
  <c r="AG23" i="1"/>
  <c r="BH23" i="1" s="1"/>
  <c r="AF23" i="1"/>
  <c r="AE23" i="1"/>
  <c r="AA23" i="1"/>
  <c r="AL23" i="1" s="1"/>
  <c r="Z23" i="1"/>
  <c r="X23" i="1"/>
  <c r="V23" i="1"/>
  <c r="Q23" i="1"/>
  <c r="P23" i="1"/>
  <c r="O23" i="1"/>
  <c r="M23" i="1"/>
  <c r="BU22" i="1"/>
  <c r="BS22" i="1"/>
  <c r="BQ22" i="1"/>
  <c r="BX22" i="1" s="1"/>
  <c r="BP22" i="1"/>
  <c r="BO22" i="1"/>
  <c r="BN22" i="1"/>
  <c r="BM22" i="1"/>
  <c r="BT22" i="1" s="1"/>
  <c r="BV22" i="1" s="1"/>
  <c r="BL22" i="1"/>
  <c r="BJ22" i="1"/>
  <c r="BG22" i="1"/>
  <c r="BE22" i="1"/>
  <c r="AV22" i="1"/>
  <c r="AM22" i="1"/>
  <c r="AN22" i="1" s="1"/>
  <c r="AO22" i="1" s="1"/>
  <c r="AK22" i="1"/>
  <c r="AJ22" i="1"/>
  <c r="AH22" i="1"/>
  <c r="AG22" i="1"/>
  <c r="BB22" i="1" s="1"/>
  <c r="AF22" i="1"/>
  <c r="AE22" i="1"/>
  <c r="AA22" i="1"/>
  <c r="BD22" i="1" s="1"/>
  <c r="Z22" i="1"/>
  <c r="X22" i="1"/>
  <c r="V22" i="1"/>
  <c r="Q22" i="1"/>
  <c r="P22" i="1"/>
  <c r="O22" i="1"/>
  <c r="M22" i="1"/>
  <c r="BS21" i="1"/>
  <c r="BQ21" i="1"/>
  <c r="BX21" i="1" s="1"/>
  <c r="BP21" i="1"/>
  <c r="BO21" i="1"/>
  <c r="BN21" i="1"/>
  <c r="BY21" i="1" s="1"/>
  <c r="BM21" i="1"/>
  <c r="BU21" i="1" s="1"/>
  <c r="BL21" i="1"/>
  <c r="BJ21" i="1"/>
  <c r="BE21" i="1"/>
  <c r="AV21" i="1"/>
  <c r="AM21" i="1"/>
  <c r="AN21" i="1" s="1"/>
  <c r="AO21" i="1" s="1"/>
  <c r="AK21" i="1"/>
  <c r="AJ21" i="1"/>
  <c r="AI21" i="1"/>
  <c r="AQ21" i="1" s="1"/>
  <c r="AH21" i="1"/>
  <c r="AG21" i="1"/>
  <c r="BH21" i="1" s="1"/>
  <c r="AF21" i="1"/>
  <c r="AE21" i="1"/>
  <c r="AA21" i="1"/>
  <c r="Z21" i="1"/>
  <c r="X21" i="1"/>
  <c r="P21" i="1"/>
  <c r="Q21" i="1" s="1"/>
  <c r="O21" i="1"/>
  <c r="M21" i="1"/>
  <c r="BX20" i="1"/>
  <c r="BU20" i="1"/>
  <c r="BS20" i="1"/>
  <c r="BQ20" i="1"/>
  <c r="BP20" i="1"/>
  <c r="BO20" i="1"/>
  <c r="BN20" i="1"/>
  <c r="BY20" i="1" s="1"/>
  <c r="BM20" i="1"/>
  <c r="BT20" i="1" s="1"/>
  <c r="BL20" i="1"/>
  <c r="BJ20" i="1"/>
  <c r="BG20" i="1"/>
  <c r="BE20" i="1"/>
  <c r="BC20" i="1"/>
  <c r="BB20" i="1"/>
  <c r="AV20" i="1"/>
  <c r="AM20" i="1"/>
  <c r="AJ20" i="1"/>
  <c r="AI20" i="1"/>
  <c r="AH20" i="1"/>
  <c r="AG20" i="1"/>
  <c r="BH20" i="1" s="1"/>
  <c r="AF20" i="1"/>
  <c r="AE20" i="1"/>
  <c r="AA20" i="1"/>
  <c r="BK20" i="1" s="1"/>
  <c r="Z20" i="1"/>
  <c r="X20" i="1"/>
  <c r="AK20" i="1" s="1"/>
  <c r="Q20" i="1"/>
  <c r="P20" i="1"/>
  <c r="O20" i="1"/>
  <c r="M20" i="1"/>
  <c r="BY19" i="1"/>
  <c r="BS19" i="1"/>
  <c r="BQ19" i="1"/>
  <c r="BX19" i="1" s="1"/>
  <c r="BP19" i="1"/>
  <c r="BO19" i="1"/>
  <c r="BN19" i="1"/>
  <c r="BM19" i="1"/>
  <c r="BU19" i="1" s="1"/>
  <c r="BL19" i="1"/>
  <c r="BK19" i="1"/>
  <c r="BJ19" i="1"/>
  <c r="BF19" i="1"/>
  <c r="BE19" i="1"/>
  <c r="BB19" i="1"/>
  <c r="AV19" i="1"/>
  <c r="AQ19" i="1"/>
  <c r="AM19" i="1"/>
  <c r="AN19" i="1" s="1"/>
  <c r="AL19" i="1"/>
  <c r="AK19" i="1"/>
  <c r="AJ19" i="1"/>
  <c r="AI19" i="1"/>
  <c r="AW19" i="1" s="1"/>
  <c r="AH19" i="1"/>
  <c r="AG19" i="1"/>
  <c r="BH19" i="1" s="1"/>
  <c r="AF19" i="1"/>
  <c r="AE19" i="1"/>
  <c r="AA19" i="1"/>
  <c r="BC19" i="1" s="1"/>
  <c r="Z19" i="1"/>
  <c r="X19" i="1"/>
  <c r="P19" i="1"/>
  <c r="Q19" i="1" s="1"/>
  <c r="O19" i="1"/>
  <c r="M19" i="1"/>
  <c r="BX18" i="1"/>
  <c r="BS18" i="1"/>
  <c r="BQ18" i="1"/>
  <c r="BT18" i="1" s="1"/>
  <c r="BV18" i="1" s="1"/>
  <c r="BP18" i="1"/>
  <c r="BO18" i="1"/>
  <c r="BN18" i="1"/>
  <c r="BY18" i="1" s="1"/>
  <c r="BM18" i="1"/>
  <c r="BL18" i="1"/>
  <c r="BJ18" i="1"/>
  <c r="BE18" i="1"/>
  <c r="BC18" i="1"/>
  <c r="AV18" i="1"/>
  <c r="AQ18" i="1"/>
  <c r="AN18" i="1"/>
  <c r="AO18" i="1" s="1"/>
  <c r="AM18" i="1"/>
  <c r="AL18" i="1"/>
  <c r="AJ18" i="1"/>
  <c r="AI18" i="1"/>
  <c r="AW18" i="1" s="1"/>
  <c r="AH18" i="1"/>
  <c r="AG18" i="1"/>
  <c r="BF18" i="1" s="1"/>
  <c r="AF18" i="1"/>
  <c r="AE18" i="1"/>
  <c r="AA18" i="1"/>
  <c r="Z18" i="1"/>
  <c r="X18" i="1"/>
  <c r="AK18" i="1" s="1"/>
  <c r="Q18" i="1"/>
  <c r="P18" i="1"/>
  <c r="O18" i="1"/>
  <c r="M18" i="1"/>
  <c r="BT17" i="1"/>
  <c r="BV17" i="1" s="1"/>
  <c r="BS17" i="1"/>
  <c r="BQ17" i="1"/>
  <c r="BX17" i="1" s="1"/>
  <c r="BP17" i="1"/>
  <c r="BO17" i="1"/>
  <c r="BN17" i="1"/>
  <c r="BY17" i="1" s="1"/>
  <c r="BM17" i="1"/>
  <c r="BU17" i="1" s="1"/>
  <c r="BL17" i="1"/>
  <c r="BJ17" i="1"/>
  <c r="BF17" i="1"/>
  <c r="BE17" i="1"/>
  <c r="AV17" i="1"/>
  <c r="AQ17" i="1"/>
  <c r="AM17" i="1"/>
  <c r="AN17" i="1" s="1"/>
  <c r="AO17" i="1" s="1"/>
  <c r="AK17" i="1"/>
  <c r="AJ17" i="1"/>
  <c r="AI17" i="1"/>
  <c r="AW17" i="1" s="1"/>
  <c r="AH17" i="1"/>
  <c r="AG17" i="1"/>
  <c r="BH17" i="1" s="1"/>
  <c r="AF17" i="1"/>
  <c r="AE17" i="1"/>
  <c r="AA17" i="1"/>
  <c r="BD17" i="1" s="1"/>
  <c r="Z17" i="1"/>
  <c r="X17" i="1"/>
  <c r="P17" i="1"/>
  <c r="Q17" i="1" s="1"/>
  <c r="O17" i="1"/>
  <c r="M17" i="1"/>
  <c r="BX16" i="1"/>
  <c r="BU16" i="1"/>
  <c r="BS16" i="1"/>
  <c r="BQ16" i="1"/>
  <c r="BP16" i="1"/>
  <c r="BO16" i="1"/>
  <c r="BN16" i="1"/>
  <c r="BY16" i="1" s="1"/>
  <c r="BM16" i="1"/>
  <c r="BT16" i="1" s="1"/>
  <c r="BL16" i="1"/>
  <c r="BJ16" i="1"/>
  <c r="BG16" i="1"/>
  <c r="BE16" i="1"/>
  <c r="BC16" i="1"/>
  <c r="BB16" i="1"/>
  <c r="AV16" i="1"/>
  <c r="AQ16" i="1"/>
  <c r="AM16" i="1"/>
  <c r="AN16" i="1" s="1"/>
  <c r="AL16" i="1"/>
  <c r="AJ16" i="1"/>
  <c r="AI16" i="1"/>
  <c r="AW16" i="1" s="1"/>
  <c r="AH16" i="1"/>
  <c r="AG16" i="1"/>
  <c r="BH16" i="1" s="1"/>
  <c r="AF16" i="1"/>
  <c r="AE16" i="1"/>
  <c r="AA16" i="1"/>
  <c r="BK16" i="1" s="1"/>
  <c r="Z16" i="1"/>
  <c r="X16" i="1"/>
  <c r="AK16" i="1" s="1"/>
  <c r="Q16" i="1"/>
  <c r="P16" i="1"/>
  <c r="O16" i="1"/>
  <c r="M16" i="1"/>
  <c r="BY15" i="1"/>
  <c r="BZ15" i="1" s="1"/>
  <c r="BS15" i="1"/>
  <c r="BQ15" i="1"/>
  <c r="BX15" i="1" s="1"/>
  <c r="BP15" i="1"/>
  <c r="BO15" i="1"/>
  <c r="BN15" i="1"/>
  <c r="BM15" i="1"/>
  <c r="BU15" i="1" s="1"/>
  <c r="BL15" i="1"/>
  <c r="BK15" i="1"/>
  <c r="BJ15" i="1"/>
  <c r="BF15" i="1"/>
  <c r="BE15" i="1"/>
  <c r="BB15" i="1"/>
  <c r="AV15" i="1"/>
  <c r="AS15" i="1"/>
  <c r="AQ15" i="1"/>
  <c r="AT15" i="1" s="1"/>
  <c r="AM15" i="1"/>
  <c r="AN15" i="1" s="1"/>
  <c r="AL15" i="1"/>
  <c r="AK15" i="1"/>
  <c r="AJ15" i="1"/>
  <c r="AI15" i="1"/>
  <c r="AW15" i="1" s="1"/>
  <c r="AH15" i="1"/>
  <c r="AG15" i="1"/>
  <c r="BH15" i="1" s="1"/>
  <c r="AF15" i="1"/>
  <c r="AE15" i="1"/>
  <c r="AD15" i="1"/>
  <c r="AA15" i="1"/>
  <c r="BC15" i="1" s="1"/>
  <c r="Z15" i="1"/>
  <c r="X15" i="1"/>
  <c r="P15" i="1"/>
  <c r="Q15" i="1" s="1"/>
  <c r="O15" i="1"/>
  <c r="M15" i="1"/>
  <c r="BU14" i="1"/>
  <c r="BS14" i="1"/>
  <c r="BQ14" i="1"/>
  <c r="BX14" i="1" s="1"/>
  <c r="BP14" i="1"/>
  <c r="BO14" i="1"/>
  <c r="BN14" i="1"/>
  <c r="BY14" i="1" s="1"/>
  <c r="BM14" i="1"/>
  <c r="BT14" i="1" s="1"/>
  <c r="BV14" i="1" s="1"/>
  <c r="BL14" i="1"/>
  <c r="BJ14" i="1"/>
  <c r="BG14" i="1"/>
  <c r="BE14" i="1"/>
  <c r="BB14" i="1"/>
  <c r="AV14" i="1"/>
  <c r="AM14" i="1"/>
  <c r="AJ14" i="1"/>
  <c r="AI14" i="1"/>
  <c r="AQ14" i="1" s="1"/>
  <c r="AH14" i="1"/>
  <c r="AG14" i="1"/>
  <c r="BH14" i="1" s="1"/>
  <c r="AF14" i="1"/>
  <c r="AE14" i="1"/>
  <c r="AA14" i="1"/>
  <c r="BD14" i="1" s="1"/>
  <c r="Z14" i="1"/>
  <c r="X14" i="1"/>
  <c r="P14" i="1"/>
  <c r="Q14" i="1" s="1"/>
  <c r="O14" i="1"/>
  <c r="M14" i="1"/>
  <c r="BY13" i="1"/>
  <c r="BU13" i="1"/>
  <c r="BT13" i="1"/>
  <c r="BS13" i="1"/>
  <c r="BV13" i="1" s="1"/>
  <c r="BQ13" i="1"/>
  <c r="BX13" i="1" s="1"/>
  <c r="BP13" i="1"/>
  <c r="BO13" i="1"/>
  <c r="BN13" i="1"/>
  <c r="BM13" i="1"/>
  <c r="BL13" i="1"/>
  <c r="BK13" i="1"/>
  <c r="BJ13" i="1"/>
  <c r="BG13" i="1"/>
  <c r="BF13" i="1"/>
  <c r="BE13" i="1"/>
  <c r="BC13" i="1"/>
  <c r="AV13" i="1"/>
  <c r="AN13" i="1"/>
  <c r="AO13" i="1" s="1"/>
  <c r="AM13" i="1"/>
  <c r="AL13" i="1"/>
  <c r="AK13" i="1"/>
  <c r="AJ13" i="1"/>
  <c r="AI13" i="1"/>
  <c r="AQ13" i="1" s="1"/>
  <c r="AH13" i="1"/>
  <c r="AG13" i="1"/>
  <c r="BH13" i="1" s="1"/>
  <c r="AF13" i="1"/>
  <c r="AE13" i="1"/>
  <c r="AA13" i="1"/>
  <c r="BD13" i="1" s="1"/>
  <c r="Z13" i="1"/>
  <c r="X13" i="1"/>
  <c r="Q13" i="1"/>
  <c r="P13" i="1"/>
  <c r="O13" i="1"/>
  <c r="M13" i="1"/>
  <c r="BX12" i="1"/>
  <c r="BY12" i="1" s="1"/>
  <c r="BZ12" i="1" s="1"/>
  <c r="BW12" i="1"/>
  <c r="BU12" i="1"/>
  <c r="BS12" i="1"/>
  <c r="BQ12" i="1"/>
  <c r="BP12" i="1"/>
  <c r="BO12" i="1"/>
  <c r="BN12" i="1"/>
  <c r="BM12" i="1"/>
  <c r="BT12" i="1" s="1"/>
  <c r="BL12" i="1"/>
  <c r="BK12" i="1"/>
  <c r="BJ12" i="1"/>
  <c r="BG12" i="1"/>
  <c r="BE12" i="1"/>
  <c r="BC12" i="1"/>
  <c r="AW12" i="1"/>
  <c r="AV12" i="1"/>
  <c r="AT12" i="1"/>
  <c r="AQ12" i="1"/>
  <c r="AM12" i="1"/>
  <c r="AL12" i="1"/>
  <c r="AJ12" i="1"/>
  <c r="AI12" i="1"/>
  <c r="AH12" i="1"/>
  <c r="AG12" i="1"/>
  <c r="BH12" i="1" s="1"/>
  <c r="AF12" i="1"/>
  <c r="AE12" i="1"/>
  <c r="AA12" i="1"/>
  <c r="BD12" i="1" s="1"/>
  <c r="Z12" i="1"/>
  <c r="X12" i="1"/>
  <c r="Q12" i="1"/>
  <c r="P12" i="1"/>
  <c r="O12" i="1"/>
  <c r="M12" i="1"/>
  <c r="A12" i="1"/>
  <c r="BX11" i="1"/>
  <c r="BS11" i="1"/>
  <c r="BQ11" i="1"/>
  <c r="BP11" i="1"/>
  <c r="BO11" i="1"/>
  <c r="BN11" i="1"/>
  <c r="BY11" i="1" s="1"/>
  <c r="BZ11" i="1" s="1"/>
  <c r="BM11" i="1"/>
  <c r="BU11" i="1" s="1"/>
  <c r="BL11" i="1"/>
  <c r="BJ11" i="1"/>
  <c r="BE11" i="1"/>
  <c r="BD11" i="1"/>
  <c r="AV11" i="1"/>
  <c r="AT11" i="1"/>
  <c r="AQ11" i="1"/>
  <c r="AN11" i="1"/>
  <c r="AM11" i="1"/>
  <c r="AK11" i="1"/>
  <c r="AU11" i="1" s="1"/>
  <c r="AJ11" i="1"/>
  <c r="AI11" i="1"/>
  <c r="AW11" i="1" s="1"/>
  <c r="AH11" i="1"/>
  <c r="AG11" i="1"/>
  <c r="BB11" i="1" s="1"/>
  <c r="AF11" i="1"/>
  <c r="AE11" i="1"/>
  <c r="AD11" i="1"/>
  <c r="AA11" i="1"/>
  <c r="AL11" i="1" s="1"/>
  <c r="Z11" i="1"/>
  <c r="X11" i="1"/>
  <c r="P11" i="1"/>
  <c r="Q11" i="1" s="1"/>
  <c r="O11" i="1"/>
  <c r="M11" i="1"/>
  <c r="AB9" i="1"/>
  <c r="V9" i="1"/>
  <c r="U9" i="1"/>
  <c r="AI4" i="1"/>
  <c r="BV20" i="1" l="1"/>
  <c r="BY22" i="1"/>
  <c r="AY11" i="1"/>
  <c r="AZ11" i="1"/>
  <c r="BA11" i="1" s="1"/>
  <c r="BV12" i="1"/>
  <c r="BV16" i="1"/>
  <c r="AY15" i="1"/>
  <c r="AZ15" i="1" s="1"/>
  <c r="BA15" i="1" s="1"/>
  <c r="AW25" i="1"/>
  <c r="BC11" i="1"/>
  <c r="AK12" i="1"/>
  <c r="A13" i="1"/>
  <c r="BF14" i="1"/>
  <c r="AO15" i="1"/>
  <c r="BD15" i="1"/>
  <c r="BK17" i="1"/>
  <c r="BG18" i="1"/>
  <c r="BU18" i="1"/>
  <c r="AO19" i="1"/>
  <c r="BD19" i="1"/>
  <c r="AL20" i="1"/>
  <c r="AW21" i="1"/>
  <c r="BK21" i="1"/>
  <c r="BF22" i="1"/>
  <c r="BB23" i="1"/>
  <c r="BH26" i="1"/>
  <c r="BF27" i="1"/>
  <c r="AO28" i="1"/>
  <c r="BD28" i="1"/>
  <c r="BB29" i="1"/>
  <c r="BB12" i="1"/>
  <c r="BT19" i="1"/>
  <c r="BV19" i="1" s="1"/>
  <c r="AN20" i="1"/>
  <c r="AO20" i="1" s="1"/>
  <c r="BH22" i="1"/>
  <c r="BD23" i="1"/>
  <c r="X24" i="1"/>
  <c r="AW26" i="1"/>
  <c r="BH27" i="1"/>
  <c r="BF28" i="1"/>
  <c r="BD29" i="1"/>
  <c r="X30" i="1"/>
  <c r="BB30" i="1"/>
  <c r="BH18" i="1"/>
  <c r="AM9" i="1"/>
  <c r="AO11" i="1"/>
  <c r="BT15" i="1"/>
  <c r="BV15" i="1" s="1"/>
  <c r="BF11" i="1"/>
  <c r="BT11" i="1"/>
  <c r="BV11" i="1" s="1"/>
  <c r="AN12" i="1"/>
  <c r="AN9" i="1" s="1"/>
  <c r="A14" i="1"/>
  <c r="AD14" i="1" s="1"/>
  <c r="BG15" i="1"/>
  <c r="AO16" i="1"/>
  <c r="BD16" i="1"/>
  <c r="AL17" i="1"/>
  <c r="BK18" i="1"/>
  <c r="BG19" i="1"/>
  <c r="BD20" i="1"/>
  <c r="AL21" i="1"/>
  <c r="AQ23" i="1"/>
  <c r="AN24" i="1"/>
  <c r="AO24" i="1" s="1"/>
  <c r="BC24" i="1"/>
  <c r="AL25" i="1"/>
  <c r="BG28" i="1"/>
  <c r="AN30" i="1"/>
  <c r="AO30" i="1" s="1"/>
  <c r="AL31" i="1"/>
  <c r="AW13" i="1"/>
  <c r="BG11" i="1"/>
  <c r="AU15" i="1"/>
  <c r="BB17" i="1"/>
  <c r="AQ20" i="1"/>
  <c r="BB21" i="1"/>
  <c r="AI22" i="1"/>
  <c r="AI9" i="1" s="1"/>
  <c r="BK22" i="1"/>
  <c r="BF23" i="1"/>
  <c r="BB25" i="1"/>
  <c r="AK26" i="1"/>
  <c r="AI27" i="1"/>
  <c r="BF29" i="1"/>
  <c r="X31" i="1"/>
  <c r="BB31" i="1"/>
  <c r="AW14" i="1"/>
  <c r="BK14" i="1"/>
  <c r="BH11" i="1"/>
  <c r="AD12" i="1"/>
  <c r="BF12" i="1"/>
  <c r="BB13" i="1"/>
  <c r="BF16" i="1"/>
  <c r="BC17" i="1"/>
  <c r="BF20" i="1"/>
  <c r="BC21" i="1"/>
  <c r="BG23" i="1"/>
  <c r="AQ24" i="1"/>
  <c r="BC25" i="1"/>
  <c r="AL26" i="1"/>
  <c r="BG29" i="1"/>
  <c r="AQ30" i="1"/>
  <c r="BC31" i="1"/>
  <c r="BD21" i="1"/>
  <c r="BD25" i="1"/>
  <c r="BF30" i="1"/>
  <c r="BD31" i="1"/>
  <c r="AK14" i="1"/>
  <c r="BK11" i="1"/>
  <c r="AL14" i="1"/>
  <c r="BB18" i="1"/>
  <c r="AL22" i="1"/>
  <c r="BG24" i="1"/>
  <c r="AN26" i="1"/>
  <c r="AO26" i="1" s="1"/>
  <c r="BC26" i="1"/>
  <c r="AL27" i="1"/>
  <c r="BG30" i="1"/>
  <c r="BF21" i="1"/>
  <c r="BT21" i="1"/>
  <c r="BV21" i="1" s="1"/>
  <c r="BF25" i="1"/>
  <c r="AK28" i="1"/>
  <c r="BF31" i="1"/>
  <c r="AN14" i="1"/>
  <c r="AO14" i="1" s="1"/>
  <c r="BC14" i="1"/>
  <c r="BG17" i="1"/>
  <c r="BD18" i="1"/>
  <c r="BG21" i="1"/>
  <c r="BC22" i="1"/>
  <c r="BG25" i="1"/>
  <c r="BC27" i="1"/>
  <c r="BG31" i="1"/>
  <c r="AK31" i="1" l="1"/>
  <c r="AW23" i="1"/>
  <c r="AK24" i="1"/>
  <c r="X9" i="1"/>
  <c r="AW20" i="1"/>
  <c r="AW30" i="1"/>
  <c r="AO12" i="1"/>
  <c r="AO9" i="1" s="1"/>
  <c r="AS14" i="1"/>
  <c r="AW24" i="1"/>
  <c r="AK30" i="1"/>
  <c r="AD13" i="1"/>
  <c r="A16" i="1"/>
  <c r="AS13" i="1"/>
  <c r="AQ22" i="1"/>
  <c r="AW22" i="1" s="1"/>
  <c r="AY12" i="1"/>
  <c r="AZ12" i="1" s="1"/>
  <c r="BA12" i="1" s="1"/>
  <c r="AU12" i="1"/>
  <c r="AQ27" i="1"/>
  <c r="AW27" i="1" s="1"/>
  <c r="AQ9" i="1" l="1"/>
  <c r="BZ13" i="1"/>
  <c r="AT13" i="1"/>
  <c r="AK9" i="1"/>
  <c r="AD16" i="1"/>
  <c r="AS16" i="1"/>
  <c r="BZ14" i="1"/>
  <c r="AT14" i="1"/>
  <c r="A17" i="1"/>
  <c r="AY13" i="1" l="1"/>
  <c r="AZ13" i="1" s="1"/>
  <c r="BA13" i="1" s="1"/>
  <c r="AU13" i="1"/>
  <c r="AS17" i="1"/>
  <c r="AD17" i="1"/>
  <c r="A18" i="1"/>
  <c r="AY14" i="1"/>
  <c r="AZ14" i="1" s="1"/>
  <c r="BA14" i="1" s="1"/>
  <c r="AU14" i="1"/>
  <c r="AT16" i="1"/>
  <c r="BZ16" i="1"/>
  <c r="AU16" i="1" l="1"/>
  <c r="AY16" i="1"/>
  <c r="AZ16" i="1" s="1"/>
  <c r="BA16" i="1"/>
  <c r="AD18" i="1"/>
  <c r="AS18" i="1"/>
  <c r="A20" i="1"/>
  <c r="A19" i="1"/>
  <c r="AT17" i="1"/>
  <c r="BZ17" i="1"/>
  <c r="AD20" i="1" l="1"/>
  <c r="AS20" i="1"/>
  <c r="A21" i="1"/>
  <c r="AY17" i="1"/>
  <c r="AZ17" i="1" s="1"/>
  <c r="BA17" i="1" s="1"/>
  <c r="AU17" i="1"/>
  <c r="AT18" i="1"/>
  <c r="BZ18" i="1"/>
  <c r="AS19" i="1"/>
  <c r="AD19" i="1"/>
  <c r="A22" i="1"/>
  <c r="BZ19" i="1" l="1"/>
  <c r="AT19" i="1"/>
  <c r="AD22" i="1"/>
  <c r="AS22" i="1"/>
  <c r="A23" i="1"/>
  <c r="AD21" i="1"/>
  <c r="AS21" i="1"/>
  <c r="AY18" i="1"/>
  <c r="AZ18" i="1" s="1"/>
  <c r="BA18" i="1" s="1"/>
  <c r="AU18" i="1"/>
  <c r="BZ20" i="1"/>
  <c r="AT20" i="1"/>
  <c r="AT21" i="1" l="1"/>
  <c r="BZ21" i="1"/>
  <c r="AD23" i="1"/>
  <c r="AS23" i="1"/>
  <c r="AT23" i="1" s="1"/>
  <c r="A24" i="1"/>
  <c r="BZ22" i="1"/>
  <c r="AT22" i="1"/>
  <c r="AY20" i="1"/>
  <c r="AZ20" i="1" s="1"/>
  <c r="BA20" i="1" s="1"/>
  <c r="AU20" i="1"/>
  <c r="AY19" i="1"/>
  <c r="AZ19" i="1" s="1"/>
  <c r="BA19" i="1" s="1"/>
  <c r="AU19" i="1"/>
  <c r="AU22" i="1" l="1"/>
  <c r="AY22" i="1"/>
  <c r="AZ22" i="1" s="1"/>
  <c r="BA22" i="1"/>
  <c r="AS24" i="1"/>
  <c r="AT24" i="1" s="1"/>
  <c r="AD24" i="1"/>
  <c r="A25" i="1"/>
  <c r="AY23" i="1"/>
  <c r="AZ23" i="1" s="1"/>
  <c r="BA23" i="1" s="1"/>
  <c r="AU23" i="1"/>
  <c r="AY21" i="1"/>
  <c r="AZ21" i="1" s="1"/>
  <c r="BA21" i="1" s="1"/>
  <c r="AU21" i="1"/>
  <c r="AU24" i="1" l="1"/>
  <c r="AY24" i="1"/>
  <c r="AZ24" i="1" s="1"/>
  <c r="BA24" i="1" s="1"/>
  <c r="AD25" i="1"/>
  <c r="AS25" i="1"/>
  <c r="AT25" i="1" s="1"/>
  <c r="A26" i="1"/>
  <c r="AS26" i="1" l="1"/>
  <c r="AT26" i="1" s="1"/>
  <c r="AD26" i="1"/>
  <c r="A27" i="1"/>
  <c r="AU25" i="1"/>
  <c r="AY25" i="1"/>
  <c r="AZ25" i="1" s="1"/>
  <c r="BA25" i="1"/>
  <c r="AD27" i="1" l="1"/>
  <c r="AS27" i="1"/>
  <c r="AT27" i="1" s="1"/>
  <c r="A28" i="1"/>
  <c r="AY26" i="1"/>
  <c r="AZ26" i="1" s="1"/>
  <c r="BA26" i="1" s="1"/>
  <c r="AU26" i="1"/>
  <c r="AD28" i="1" l="1"/>
  <c r="AS28" i="1"/>
  <c r="AT28" i="1" s="1"/>
  <c r="A29" i="1"/>
  <c r="AU27" i="1"/>
  <c r="AY27" i="1"/>
  <c r="AZ27" i="1" s="1"/>
  <c r="BA27" i="1" s="1"/>
  <c r="AD29" i="1" l="1"/>
  <c r="AS29" i="1"/>
  <c r="AT29" i="1" s="1"/>
  <c r="A30" i="1"/>
  <c r="AU28" i="1"/>
  <c r="AY28" i="1"/>
  <c r="AZ28" i="1" s="1"/>
  <c r="BA28" i="1" s="1"/>
  <c r="AS30" i="1" l="1"/>
  <c r="AT30" i="1" s="1"/>
  <c r="AD30" i="1"/>
  <c r="A31" i="1"/>
  <c r="AY29" i="1"/>
  <c r="AZ29" i="1" s="1"/>
  <c r="BA29" i="1" s="1"/>
  <c r="AU29" i="1"/>
  <c r="AD31" i="1" l="1"/>
  <c r="AS31" i="1"/>
  <c r="AT31" i="1" s="1"/>
  <c r="AY30" i="1"/>
  <c r="AZ30" i="1" s="1"/>
  <c r="BA30" i="1" s="1"/>
  <c r="AU30" i="1"/>
  <c r="AY31" i="1" l="1"/>
  <c r="AZ31" i="1" s="1"/>
  <c r="BA31" i="1" s="1"/>
  <c r="AU31" i="1"/>
  <c r="AU9" i="1" s="1"/>
  <c r="AT9" i="1"/>
</calcChain>
</file>

<file path=xl/sharedStrings.xml><?xml version="1.0" encoding="utf-8"?>
<sst xmlns="http://schemas.openxmlformats.org/spreadsheetml/2006/main" count="425" uniqueCount="182">
  <si>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</si>
  <si>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</si>
  <si>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</si>
  <si>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</si>
  <si>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</si>
  <si>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</si>
  <si>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</si>
  <si>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</si>
  <si>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</si>
  <si>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</si>
  <si>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</si>
  <si>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</si>
  <si>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</si>
  <si>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</si>
  <si>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</si>
  <si>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</si>
  <si>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</si>
  <si>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</si>
  <si>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</si>
  <si>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</si>
  <si>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</si>
  <si>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</si>
  <si>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</si>
  <si>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</si>
  <si>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</si>
  <si>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</si>
  <si>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</si>
  <si>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</si>
  <si>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</si>
  <si>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</si>
  <si>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</si>
  <si>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</si>
  <si>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</si>
  <si>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</si>
  <si>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</si>
  <si>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</si>
  <si>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</si>
  <si>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</si>
  <si>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</si>
  <si>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</si>
  <si>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</si>
  <si>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</si>
  <si>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</si>
  <si>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</si>
  <si>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</si>
  <si>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</si>
  <si>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</si>
  <si>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</si>
  <si>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</si>
  <si>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</si>
  <si>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</si>
  <si>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</si>
  <si>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</si>
  <si>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</si>
  <si>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</si>
  <si>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</si>
  <si>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</si>
  <si>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</si>
  <si>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</si>
  <si>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</si>
  <si>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</si>
  <si>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</si>
  <si>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</si>
  <si>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</si>
  <si>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</si>
  <si>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</si>
  <si>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</si>
  <si>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</si>
  <si>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</si>
  <si>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</si>
  <si>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</si>
  <si>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</si>
  <si>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</si>
  <si>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</si>
  <si>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</si>
  <si>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</si>
  <si>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</si>
  <si>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</si>
  <si>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</si>
  <si>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</si>
  <si>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</si>
  <si>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</si>
  <si>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</si>
  <si>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</si>
  <si>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</si>
  <si>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</si>
  <si>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</si>
  <si>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</si>
  <si>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</si>
  <si>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</si>
  <si>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</si>
  <si>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</si>
  <si>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</si>
  <si>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</si>
  <si>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</si>
  <si>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</si>
  <si>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</si>
  <si>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</si>
  <si>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</si>
  <si>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</si>
  <si>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</si>
  <si>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</si>
  <si>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</si>
  <si>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</si>
  <si>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</si>
  <si>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</si>
  <si>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</si>
  <si>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</si>
  <si>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</si>
  <si>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</si>
  <si>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CG00073</t>
  </si>
  <si>
    <t>P. XNK - Mỹ Đoàn (các lô) 0913288269</t>
  </si>
  <si>
    <t>0500414591</t>
  </si>
  <si>
    <t>Mỹ Đoàn, Hà Nội</t>
  </si>
  <si>
    <t>Cont</t>
  </si>
  <si>
    <t>LH</t>
  </si>
  <si>
    <t>MSDU2693218</t>
  </si>
  <si>
    <t>TP.BG.DKG</t>
  </si>
  <si>
    <t>DKG&lt;-&gt;TP. Bắc Giang</t>
  </si>
  <si>
    <t>15C-13036</t>
  </si>
  <si>
    <t/>
  </si>
  <si>
    <t xml:space="preserve">07x20' </t>
  </si>
  <si>
    <t>RLL</t>
  </si>
  <si>
    <t>Mỹ Đoàn</t>
  </si>
  <si>
    <t xml:space="preserve">TDG xe </t>
  </si>
  <si>
    <t>MSMU3238200</t>
  </si>
  <si>
    <t>TTI.HN.DKG</t>
  </si>
  <si>
    <t>DKG&lt;-&gt;Thường Tín, Hà Nội</t>
  </si>
  <si>
    <t>15C-13969</t>
  </si>
  <si>
    <t>CG00438</t>
  </si>
  <si>
    <t>Hinh (HHND) 0912334107</t>
  </si>
  <si>
    <t>Hải Hậu, Nam Định</t>
  </si>
  <si>
    <t>HS</t>
  </si>
  <si>
    <t>HH.ND.DKG</t>
  </si>
  <si>
    <t>DKG&lt;-&gt;Hải Hậu, Nam Định</t>
  </si>
  <si>
    <t>15C-03426</t>
  </si>
  <si>
    <t>HS05</t>
  </si>
  <si>
    <t>Chính</t>
  </si>
  <si>
    <t>Gỗ lim tròn (Phú Lân)</t>
  </si>
  <si>
    <t>CGN</t>
  </si>
  <si>
    <t>15C-03470</t>
  </si>
  <si>
    <t>CG00449</t>
  </si>
  <si>
    <t>Chú Vy (HHND) 0912466962</t>
  </si>
  <si>
    <t>ghép</t>
  </si>
  <si>
    <t>CG00049</t>
  </si>
  <si>
    <t>Toàn (MDHP) 0986024089</t>
  </si>
  <si>
    <t>Mỹ Đoàn, Hải Phòng</t>
  </si>
  <si>
    <t>DP.HN.DKG</t>
  </si>
  <si>
    <t>DKG&lt;-&gt;Đan Phượng, Hà Nội</t>
  </si>
  <si>
    <t>15C-10812</t>
  </si>
  <si>
    <t>CGL</t>
  </si>
  <si>
    <t>CG00040</t>
  </si>
  <si>
    <t>Công ty TNHH Gỗ Đại Xuân (PLHNA) 0979668924</t>
  </si>
  <si>
    <t>0700772763</t>
  </si>
  <si>
    <t>Thôn Đỗ Nội, xã Tiên Hải, thành phố Phủ Lý, tỉnh Hà Nam</t>
  </si>
  <si>
    <t>BX.VP.DKG</t>
  </si>
  <si>
    <t>DKG&lt;-&gt;Bình Xuyên, Vĩnh Phúc</t>
  </si>
  <si>
    <t>15C-12832</t>
  </si>
  <si>
    <t>Gỗ Gõ MKB tròn (Đại Xuân)</t>
  </si>
  <si>
    <t>CG00044</t>
  </si>
  <si>
    <t>Công ty TNHH Thương mại và Sản xuất Trí Dũng (QOHN) 0905557788</t>
  </si>
  <si>
    <t>0101453895</t>
  </si>
  <si>
    <t>Thôn Ngọc Phúc, xã Ngọc Liệp, huyện Quốc Oai, thành phố Hà Nội</t>
  </si>
  <si>
    <t>HS.HA</t>
  </si>
  <si>
    <t>DKG&lt;-&gt;Bãi Namtraco</t>
  </si>
  <si>
    <t>15C-15237</t>
  </si>
  <si>
    <t>HS03</t>
  </si>
  <si>
    <t>Gỗ xẻ (Trí Dũng)</t>
  </si>
  <si>
    <t>15C-13616</t>
  </si>
  <si>
    <t>CG00024</t>
  </si>
  <si>
    <t>Công ty TNHH XNK và Thương mại Phúc Tâm (HDHN) 0913074797</t>
  </si>
  <si>
    <t>0106860679</t>
  </si>
  <si>
    <t xml:space="preserve">Thôn An Hạ, Xã An Thượng, Huyện Hoài Đức, Hà Nội </t>
  </si>
  <si>
    <t>CT</t>
  </si>
  <si>
    <t>CHP.HS</t>
  </si>
  <si>
    <t>DKG&lt;-&gt;Chuyển tải CHP-HS</t>
  </si>
  <si>
    <t>15C-13368</t>
  </si>
  <si>
    <t>RunFu8</t>
  </si>
  <si>
    <t>Phúc Tâm</t>
  </si>
  <si>
    <t>15C-25418</t>
  </si>
  <si>
    <t>15C-13958</t>
  </si>
  <si>
    <t>15C-01889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</si>
</sst>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2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2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3" fontId="11" fillId="0" borderId="13" xfId="0" applyNumberFormat="1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7" xfId="2" xr:uid="{549BB69F-C291-4761-AAEC-3504185D1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C08145C-5A57-4F4D-A1AE-993A7C92CC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96BF131-9013-46E0-93B2-616D56B3F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31EB66E-DC3A-4361-9142-8054AEE3ED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6A5F846-5857-45CC-B9A8-04634FB561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8FF5B2B-603B-46C9-8C13-1E4E6839E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0.07.24..xlsm" TargetMode="External"/><Relationship Id="rId1" Type="http://schemas.openxmlformats.org/officeDocument/2006/relationships/externalLinkPath" Target="/Dropbox/1.%20Tien_duong_tu_13.08.2021/KH10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09.07.24..xlsm" TargetMode="External"/><Relationship Id="rId1" Type="http://schemas.openxmlformats.org/officeDocument/2006/relationships/externalLinkPath" Target="/Dropbox/1.%20Tien_duong_tu_13.08.2021/KH09.07.24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D977-244C-4251-98BE-39ECD3967403}">
  <sheetPr codeName="Sheet16">
    <tabColor rgb="FF00B0F0"/>
  </sheetPr>
  <dimension ref="A1:BZ31"/>
  <sheetViews>
    <sheetView tabSelected="1" workbookViewId="0">
      <pane ySplit="8" topLeftCell="A9" activePane="bottomLeft" state="frozen"/>
      <selection activeCell="C14" sqref="C14"/>
      <selection pane="bottomLeft" activeCell="F11" sqref="F11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45483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SUBTOTAL(9,U11:U111053)</f>
        <v>140</v>
      </c>
      <c r="V9" s="86">
        <f>SUBTOTAL(9,V11:V111053)</f>
        <v>460.40528235294124</v>
      </c>
      <c r="W9" s="85"/>
      <c r="X9" s="87">
        <f>SUBTOTAL(9,X11:X111053)</f>
        <v>90067744.117647052</v>
      </c>
      <c r="Y9" s="82"/>
      <c r="Z9" s="82"/>
      <c r="AA9" s="82"/>
      <c r="AB9" s="85">
        <f>SUBTOTAL(9,AB11:AB111053)</f>
        <v>14150000</v>
      </c>
      <c r="AC9" s="88"/>
      <c r="AD9" s="75"/>
      <c r="AE9" s="75"/>
      <c r="AF9" s="75"/>
      <c r="AG9" s="82"/>
      <c r="AH9" s="82"/>
      <c r="AI9" s="86">
        <f>SUBTOTAL(9,AI11:AI111044)</f>
        <v>460.40528235294124</v>
      </c>
      <c r="AJ9" s="85"/>
      <c r="AK9" s="85">
        <f>SUBTOTAL(9,AK11:AK111044)</f>
        <v>90067744.117647052</v>
      </c>
      <c r="AL9" s="85"/>
      <c r="AM9" s="85">
        <f>SUBTOTAL(9,AM11:AM111053)</f>
        <v>14150000</v>
      </c>
      <c r="AN9" s="85">
        <f>SUBTOTAL(9,AN11:AN111053)</f>
        <v>13750000</v>
      </c>
      <c r="AO9" s="85">
        <f>SUBTOTAL(9,AO11:AO111053)</f>
        <v>400000</v>
      </c>
      <c r="AP9" s="82"/>
      <c r="AQ9" s="86">
        <f>SUBTOTAL(9,AQ11:AQ111044)</f>
        <v>437.48501823529409</v>
      </c>
      <c r="AR9" s="86"/>
      <c r="AS9" s="85"/>
      <c r="AT9" s="85">
        <f>SUBTOTAL(9,AT11:AT111044)</f>
        <v>56760052.75</v>
      </c>
      <c r="AU9" s="85">
        <f>SUBTOTAL(9,AU11:AU111044)</f>
        <v>33307691.367647059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45483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 t="s">
        <v>115</v>
      </c>
      <c r="J11" s="97" t="s">
        <v>116</v>
      </c>
      <c r="K11" s="101" t="s">
        <v>117</v>
      </c>
      <c r="L11" s="102" t="s">
        <v>118</v>
      </c>
      <c r="M11" s="103" t="str">
        <f t="shared" ref="M11:M31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Cậu Mợ</v>
      </c>
      <c r="N11" s="104" t="s">
        <v>119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Nguyễn Ngọc Anh</v>
      </c>
      <c r="P11" s="103" t="str">
        <f t="shared" ref="P11:P31" si="1">RIGHT(H11,2)</f>
        <v>nt</v>
      </c>
      <c r="Q11" s="106" t="str">
        <f t="shared" ref="Q11:Q31" si="2">IF(P11="TC",189,P11)</f>
        <v>nt</v>
      </c>
      <c r="R11" s="103">
        <v>0</v>
      </c>
      <c r="S11" s="103" t="s">
        <v>120</v>
      </c>
      <c r="T11" s="107" t="s">
        <v>121</v>
      </c>
      <c r="U11" s="108"/>
      <c r="V11" s="109">
        <v>1</v>
      </c>
      <c r="W11" s="110">
        <v>5800000</v>
      </c>
      <c r="X11" s="111">
        <f t="shared" ref="X11:X31" si="3">V11*W11</f>
        <v>5800000</v>
      </c>
      <c r="Y11" s="106" t="s">
        <v>122</v>
      </c>
      <c r="Z11" s="106" t="str">
        <f t="shared" ref="Z11:Z31" si="4">IF(Y11="RLL","OK/NO",0)</f>
        <v>OK/NO</v>
      </c>
      <c r="AA11" s="106" t="str">
        <f>LEFT(L11,3)</f>
        <v>DKG</v>
      </c>
      <c r="AB11" s="112">
        <v>1250000</v>
      </c>
      <c r="AC11" s="105" t="s">
        <v>123</v>
      </c>
      <c r="AD11" s="113">
        <f t="shared" ref="AD11:AD31" si="5">A11</f>
        <v>1</v>
      </c>
      <c r="AE11" s="113" t="str">
        <f t="shared" ref="AE11:AE31" si="6">H11</f>
        <v>Cont</v>
      </c>
      <c r="AF11" s="114" t="str">
        <f t="shared" ref="AF11:AF31" si="7">L11</f>
        <v>DKG&lt;-&gt;TP. Bắc Giang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CX006</v>
      </c>
      <c r="AH11" s="106" t="str">
        <f t="shared" ref="AH11:AH31" si="8">N11</f>
        <v>15C-13036</v>
      </c>
      <c r="AI11" s="109">
        <f t="shared" ref="AI11:AK26" si="9">V11</f>
        <v>1</v>
      </c>
      <c r="AJ11" s="112">
        <f t="shared" si="9"/>
        <v>5800000</v>
      </c>
      <c r="AK11" s="112">
        <f t="shared" si="9"/>
        <v>5800000</v>
      </c>
      <c r="AL11" s="106" t="str">
        <f t="shared" ref="AL11:AM26" si="10">AA11</f>
        <v>DKG</v>
      </c>
      <c r="AM11" s="112">
        <f t="shared" si="10"/>
        <v>1250000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1250000</v>
      </c>
      <c r="AO11" s="112">
        <f t="shared" ref="AO11:AO31" si="11">AM11-AN11</f>
        <v>0</v>
      </c>
      <c r="AP11" s="105"/>
      <c r="AQ11" s="109">
        <f t="shared" ref="AQ11:AQ31" si="12">IF(V11&lt;=1,V11,AI11*95%)</f>
        <v>1</v>
      </c>
      <c r="AR11" s="109"/>
      <c r="AS11" s="112">
        <v>5350000</v>
      </c>
      <c r="AT11" s="112">
        <f>AQ11*AS11</f>
        <v>5350000</v>
      </c>
      <c r="AU11" s="112">
        <f t="shared" ref="AU11:AU31" si="13">AK11-AT11</f>
        <v>450000</v>
      </c>
      <c r="AV11" s="105" t="str">
        <f t="shared" ref="AV11:AV31" si="14">AC11</f>
        <v>Mỹ Đoàn</v>
      </c>
      <c r="AW11" s="115">
        <f t="shared" ref="AW11:AW31" si="15">IF(AI11-AQ11=0,AQ11,IF(AI11-AQ11&gt;0,AI11-AQ11))</f>
        <v>1</v>
      </c>
      <c r="AX11" s="115"/>
      <c r="AY11" s="116">
        <f t="shared" ref="AY11:AY31" si="16">(AK11-AT11)/AW11</f>
        <v>450000</v>
      </c>
      <c r="AZ11" s="116">
        <f t="shared" ref="AZ11:AZ31" si="17">AW11*AY11</f>
        <v>450000</v>
      </c>
      <c r="BA11" s="116">
        <f t="shared" ref="BA11:BA31" si="18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51224</v>
      </c>
      <c r="BC11" s="117">
        <f t="shared" ref="BC11:BC31" si="19">IF(AA11="DKG",511301,IF(AA11="THG",511302,0))</f>
        <v>511301</v>
      </c>
      <c r="BD11" s="117">
        <f t="shared" ref="BD11:BD31" si="20">IF(AA11="DKG",5123,IF(AA11="THG",522,0))</f>
        <v>5123</v>
      </c>
      <c r="BE11" s="117">
        <f t="shared" ref="BE11:BE31" si="21">IF(AP11="Phú","NV018",IF(AP11="Giang","NV006",IF(AP11="Quang","NV024",IF(AP11="Kỳ","NV222",0))))</f>
        <v>0</v>
      </c>
      <c r="BF11" s="117">
        <f t="shared" ref="BF11:BF31" si="22">IF(AG11="CX001",0,331)</f>
        <v>331</v>
      </c>
      <c r="BG11" s="117">
        <f t="shared" ref="BG11:BG31" si="23">IF(AG11="CX001",15401,IF(OR(AG11="CX055",AG11="CX039",AG11="CX040",AG11="CX002",AG11="CX003",AG11="CX004",AG11="CX005",AG11="CX006",AG11="CX056",AG11="CX057"),331,0))</f>
        <v>331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0</v>
      </c>
      <c r="BI11" s="73" t="s">
        <v>124</v>
      </c>
      <c r="BJ11" s="73" t="str">
        <f t="shared" ref="BJ11:BJ31" si="24">CONCATENATE(BI11,N11)</f>
        <v>TDG xe 15C-13036</v>
      </c>
      <c r="BK11" s="118" t="str">
        <f t="shared" ref="BK11:BK22" si="25">IF(AA11="THG","T",IF(AA11="DKG","G",0))</f>
        <v>G</v>
      </c>
      <c r="BL11" s="74" t="str">
        <f ca="1">IF(Y11="CGN",TODAY(),"")</f>
        <v/>
      </c>
      <c r="BM11" s="8" t="str">
        <f t="shared" ref="BM11" si="26">+C11</f>
        <v>CG00073</v>
      </c>
      <c r="BN11" s="8" t="str">
        <f>I11</f>
        <v>LH</v>
      </c>
      <c r="BO11" s="8" t="str">
        <f t="shared" ref="BO11:BP11" si="27">+C11</f>
        <v>CG00073</v>
      </c>
      <c r="BP11" s="8" t="str">
        <f t="shared" si="27"/>
        <v>P. XNK - Mỹ Đoàn (các lô) 0913288269</v>
      </c>
      <c r="BQ11" s="8" t="str">
        <f t="shared" ref="BQ11" si="28">+L11</f>
        <v>DKG&lt;-&gt;TP. Bắc Giang</v>
      </c>
      <c r="BS11" s="116">
        <f t="shared" ref="BS11" si="29">+W11</f>
        <v>5800000</v>
      </c>
      <c r="BT11" s="119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5300000</v>
      </c>
      <c r="BU11" s="119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4950000</v>
      </c>
      <c r="BV11" s="8">
        <f>IF(BS11-BT11=500000,BU11+400000,IF(BT11=BS11,BU11,"saiiiiiiiiiiiiiiiii"))</f>
        <v>5350000</v>
      </c>
      <c r="BX11" s="120">
        <f>VLOOKUP(BQ11,[2]gia3!$D$7:$W$256,19,0)</f>
        <v>0</v>
      </c>
      <c r="BY11" s="95">
        <f t="shared" ref="BY11:BY22" si="30">IF(BN11="","",IF(BN11="LH",BX11+300000,BX11))</f>
        <v>300000</v>
      </c>
      <c r="BZ11" s="96">
        <f>+BY11-AS11</f>
        <v>-5050000</v>
      </c>
    </row>
    <row r="12" spans="1:78" s="8" customFormat="1" ht="20.100000000000001" customHeight="1" x14ac:dyDescent="0.3">
      <c r="A12" s="97">
        <f>MAX($A$11:A11)+1</f>
        <v>2</v>
      </c>
      <c r="B12" s="98">
        <v>45483</v>
      </c>
      <c r="C12" s="97" t="s">
        <v>110</v>
      </c>
      <c r="D12" s="99" t="s">
        <v>111</v>
      </c>
      <c r="E12" s="100" t="s">
        <v>112</v>
      </c>
      <c r="F12" s="99" t="s">
        <v>113</v>
      </c>
      <c r="G12" s="99"/>
      <c r="H12" s="97" t="s">
        <v>114</v>
      </c>
      <c r="I12" s="97" t="s">
        <v>115</v>
      </c>
      <c r="J12" s="97" t="s">
        <v>125</v>
      </c>
      <c r="K12" s="101" t="s">
        <v>126</v>
      </c>
      <c r="L12" s="102" t="s">
        <v>127</v>
      </c>
      <c r="M12" s="103" t="str">
        <f t="shared" si="0"/>
        <v>Hoàng Sơn</v>
      </c>
      <c r="N12" s="104" t="s">
        <v>128</v>
      </c>
      <c r="O12" s="105" t="str">
        <f t="shared" ref="O12:O31" si="31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Lê Anh Tân</v>
      </c>
      <c r="P12" s="103" t="str">
        <f t="shared" si="1"/>
        <v>nt</v>
      </c>
      <c r="Q12" s="106" t="str">
        <f t="shared" si="2"/>
        <v>nt</v>
      </c>
      <c r="R12" s="103">
        <v>0</v>
      </c>
      <c r="S12" s="103" t="s">
        <v>120</v>
      </c>
      <c r="T12" s="107" t="s">
        <v>121</v>
      </c>
      <c r="U12" s="108"/>
      <c r="V12" s="109">
        <v>1</v>
      </c>
      <c r="W12" s="110">
        <v>5900000</v>
      </c>
      <c r="X12" s="111">
        <f t="shared" si="3"/>
        <v>5900000</v>
      </c>
      <c r="Y12" s="106" t="s">
        <v>122</v>
      </c>
      <c r="Z12" s="106" t="str">
        <f t="shared" si="4"/>
        <v>OK/NO</v>
      </c>
      <c r="AA12" s="106" t="str">
        <f t="shared" ref="AA12:AA31" si="32">LEFT(L12,3)</f>
        <v>DKG</v>
      </c>
      <c r="AB12" s="112">
        <v>1200000</v>
      </c>
      <c r="AC12" s="105" t="s">
        <v>123</v>
      </c>
      <c r="AD12" s="113">
        <f t="shared" si="5"/>
        <v>2</v>
      </c>
      <c r="AE12" s="113" t="str">
        <f t="shared" si="6"/>
        <v>Cont</v>
      </c>
      <c r="AF12" s="114" t="str">
        <f t="shared" si="7"/>
        <v>DKG&lt;-&gt;Thường Tín, Hà Nội</v>
      </c>
      <c r="AG12" s="106" t="str">
        <f t="shared" ref="AG12:AG31" si="33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106" t="str">
        <f t="shared" si="8"/>
        <v>15C-13969</v>
      </c>
      <c r="AI12" s="109">
        <f t="shared" si="9"/>
        <v>1</v>
      </c>
      <c r="AJ12" s="112">
        <f t="shared" si="9"/>
        <v>5900000</v>
      </c>
      <c r="AK12" s="112">
        <f t="shared" si="9"/>
        <v>5900000</v>
      </c>
      <c r="AL12" s="106" t="str">
        <f t="shared" si="10"/>
        <v>DKG</v>
      </c>
      <c r="AM12" s="112">
        <f t="shared" si="10"/>
        <v>1200000</v>
      </c>
      <c r="AN12" s="112">
        <f t="shared" ref="AN12:AN31" si="34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1200000</v>
      </c>
      <c r="AO12" s="112">
        <f t="shared" si="11"/>
        <v>0</v>
      </c>
      <c r="AP12" s="105"/>
      <c r="AQ12" s="109">
        <f t="shared" si="12"/>
        <v>1</v>
      </c>
      <c r="AR12" s="109"/>
      <c r="AS12" s="112">
        <v>5100000</v>
      </c>
      <c r="AT12" s="112">
        <f>AQ12*AS12</f>
        <v>5100000</v>
      </c>
      <c r="AU12" s="112">
        <f t="shared" si="13"/>
        <v>800000</v>
      </c>
      <c r="AV12" s="105" t="str">
        <f t="shared" si="14"/>
        <v>Mỹ Đoàn</v>
      </c>
      <c r="AW12" s="115">
        <f t="shared" si="15"/>
        <v>1</v>
      </c>
      <c r="AX12" s="115"/>
      <c r="AY12" s="116">
        <f t="shared" si="16"/>
        <v>800000</v>
      </c>
      <c r="AZ12" s="116">
        <f t="shared" si="17"/>
        <v>800000</v>
      </c>
      <c r="BA12" s="116">
        <f t="shared" si="18"/>
        <v>0</v>
      </c>
      <c r="BB12" s="117">
        <f t="shared" ref="BB12:BB31" si="35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512138</v>
      </c>
      <c r="BC12" s="117">
        <f t="shared" si="19"/>
        <v>511301</v>
      </c>
      <c r="BD12" s="117">
        <f t="shared" si="20"/>
        <v>5123</v>
      </c>
      <c r="BE12" s="117">
        <f t="shared" si="21"/>
        <v>0</v>
      </c>
      <c r="BF12" s="117">
        <f t="shared" si="22"/>
        <v>0</v>
      </c>
      <c r="BG12" s="117">
        <f t="shared" si="23"/>
        <v>15401</v>
      </c>
      <c r="BH12" s="118">
        <f t="shared" ref="BH12:BH31" si="36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6121138</v>
      </c>
      <c r="BI12" s="73" t="s">
        <v>124</v>
      </c>
      <c r="BJ12" s="73" t="str">
        <f t="shared" si="24"/>
        <v>TDG xe 15C-13969</v>
      </c>
      <c r="BK12" s="118" t="str">
        <f t="shared" si="25"/>
        <v>G</v>
      </c>
      <c r="BL12" s="74" t="str">
        <f t="shared" ref="BL12:BL22" ca="1" si="37">IF(Y12="CGN",TODAY(),"")</f>
        <v/>
      </c>
      <c r="BM12" s="8" t="str">
        <f>+C12</f>
        <v>CG00073</v>
      </c>
      <c r="BN12" s="8" t="str">
        <f t="shared" ref="BN12:BN22" si="38">I12</f>
        <v>LH</v>
      </c>
      <c r="BO12" s="8" t="str">
        <f>+C12</f>
        <v>CG00073</v>
      </c>
      <c r="BP12" s="8" t="str">
        <f>+D12</f>
        <v>P. XNK - Mỹ Đoàn (các lô) 0913288269</v>
      </c>
      <c r="BQ12" s="8" t="str">
        <f>+L12</f>
        <v>DKG&lt;-&gt;Thường Tín, Hà Nội</v>
      </c>
      <c r="BS12" s="116">
        <f>+W12</f>
        <v>5900000</v>
      </c>
      <c r="BT12" s="119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5400000</v>
      </c>
      <c r="BU12" s="119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4700000</v>
      </c>
      <c r="BV12" s="8">
        <f>IF(BS12-BT12=500000,BU12+400000,IF(BT12=BS12,BU12,"saiiiiiiiiiiiiiiiii"))</f>
        <v>5100000</v>
      </c>
      <c r="BW12" s="8" t="str">
        <f>I12</f>
        <v>LH</v>
      </c>
      <c r="BX12" s="120">
        <f>VLOOKUP(BQ12,[2]gia3!$D$7:$W$256,19,0)</f>
        <v>4600000</v>
      </c>
      <c r="BY12" s="95">
        <f t="shared" si="30"/>
        <v>4900000</v>
      </c>
      <c r="BZ12" s="96">
        <f>+BY12-AS12</f>
        <v>-200000</v>
      </c>
    </row>
    <row r="13" spans="1:78" s="8" customFormat="1" ht="20.100000000000001" customHeight="1" x14ac:dyDescent="0.3">
      <c r="A13" s="97">
        <f>MAX($A$11:A12)+1</f>
        <v>3</v>
      </c>
      <c r="B13" s="98">
        <v>45483</v>
      </c>
      <c r="C13" s="97" t="s">
        <v>129</v>
      </c>
      <c r="D13" s="99" t="s">
        <v>130</v>
      </c>
      <c r="E13" s="100" t="s">
        <v>120</v>
      </c>
      <c r="F13" s="99" t="s">
        <v>131</v>
      </c>
      <c r="G13" s="99"/>
      <c r="H13" s="97" t="s">
        <v>132</v>
      </c>
      <c r="I13" s="97" t="s">
        <v>120</v>
      </c>
      <c r="J13" s="97"/>
      <c r="K13" s="101" t="s">
        <v>133</v>
      </c>
      <c r="L13" s="102" t="s">
        <v>134</v>
      </c>
      <c r="M13" s="103" t="str">
        <f t="shared" si="0"/>
        <v>Hoàng Sơn</v>
      </c>
      <c r="N13" s="104" t="s">
        <v>135</v>
      </c>
      <c r="O13" s="105" t="str">
        <f t="shared" si="31"/>
        <v>Phạm Hoàng Quyết</v>
      </c>
      <c r="P13" s="103" t="str">
        <f t="shared" si="1"/>
        <v>HS</v>
      </c>
      <c r="Q13" s="106" t="str">
        <f t="shared" si="2"/>
        <v>HS</v>
      </c>
      <c r="R13" s="103" t="s">
        <v>136</v>
      </c>
      <c r="S13" s="103" t="s">
        <v>137</v>
      </c>
      <c r="T13" s="107" t="s">
        <v>138</v>
      </c>
      <c r="U13" s="108">
        <v>7</v>
      </c>
      <c r="V13" s="109">
        <v>24.902000000000001</v>
      </c>
      <c r="W13" s="110">
        <v>450000</v>
      </c>
      <c r="X13" s="111">
        <f t="shared" si="3"/>
        <v>11205900</v>
      </c>
      <c r="Y13" s="106" t="s">
        <v>139</v>
      </c>
      <c r="Z13" s="106">
        <f t="shared" si="4"/>
        <v>0</v>
      </c>
      <c r="AA13" s="106" t="str">
        <f t="shared" si="32"/>
        <v>DKG</v>
      </c>
      <c r="AB13" s="112">
        <v>2650000</v>
      </c>
      <c r="AC13" s="105" t="s">
        <v>120</v>
      </c>
      <c r="AD13" s="113">
        <f t="shared" si="5"/>
        <v>3</v>
      </c>
      <c r="AE13" s="113" t="str">
        <f t="shared" si="6"/>
        <v>HS</v>
      </c>
      <c r="AF13" s="114" t="str">
        <f t="shared" si="7"/>
        <v>DKG&lt;-&gt;Hải Hậu, Nam Định</v>
      </c>
      <c r="AG13" s="106" t="str">
        <f t="shared" si="33"/>
        <v>CX003</v>
      </c>
      <c r="AH13" s="106" t="str">
        <f t="shared" si="8"/>
        <v>15C-03426</v>
      </c>
      <c r="AI13" s="109">
        <f t="shared" si="9"/>
        <v>24.902000000000001</v>
      </c>
      <c r="AJ13" s="112">
        <f t="shared" si="9"/>
        <v>450000</v>
      </c>
      <c r="AK13" s="112">
        <f t="shared" si="9"/>
        <v>11205900</v>
      </c>
      <c r="AL13" s="106" t="str">
        <f t="shared" si="10"/>
        <v>DKG</v>
      </c>
      <c r="AM13" s="112">
        <f t="shared" si="10"/>
        <v>2650000</v>
      </c>
      <c r="AN13" s="112">
        <f t="shared" si="34"/>
        <v>2550000</v>
      </c>
      <c r="AO13" s="112">
        <f t="shared" si="11"/>
        <v>100000</v>
      </c>
      <c r="AP13" s="105"/>
      <c r="AQ13" s="109">
        <f t="shared" si="12"/>
        <v>23.6569</v>
      </c>
      <c r="AR13" s="109"/>
      <c r="AS13" s="112">
        <f t="shared" ref="AS13:AS31" si="39">IF(AND(AA13="DKG",H13="Cont",K13="VD.HN.DKG"),4000000/AQ13,IF(AND(AA13="DKG",A13&gt;=1,K13="CLH.HS"),700000,IF(AND(AA13="DKG",A13&gt;=1,K13="CDV.HS"),550000,IF(AND(AA13="DKG",A13&gt;=1,K13="HS.HA"),800000/AQ13,IF(AND(AA13="DKG",A13&gt;=1,K13="CHP.HS"),500000/AQ13,IF(AND(AA13="DKG",A13&gt;=1,K13="KH.DKG"),X13-1000000,IF(AA13="DKG",AJ13-65000,IF(AA13="THG",AJ13,0))))))))</f>
        <v>385000</v>
      </c>
      <c r="AT13" s="112">
        <f t="shared" ref="AT13:AT31" si="40">AQ13*AS13</f>
        <v>9107906.5</v>
      </c>
      <c r="AU13" s="112">
        <f t="shared" si="13"/>
        <v>2097993.5</v>
      </c>
      <c r="AV13" s="105" t="str">
        <f t="shared" si="14"/>
        <v/>
      </c>
      <c r="AW13" s="115">
        <f t="shared" si="15"/>
        <v>1.2451000000000008</v>
      </c>
      <c r="AX13" s="115"/>
      <c r="AY13" s="116">
        <f t="shared" si="16"/>
        <v>1684999.9999999991</v>
      </c>
      <c r="AZ13" s="116">
        <f t="shared" si="17"/>
        <v>2097993.5</v>
      </c>
      <c r="BA13" s="116">
        <f t="shared" si="18"/>
        <v>0</v>
      </c>
      <c r="BB13" s="117">
        <f t="shared" si="35"/>
        <v>51225</v>
      </c>
      <c r="BC13" s="117">
        <f t="shared" si="19"/>
        <v>511301</v>
      </c>
      <c r="BD13" s="117">
        <f t="shared" si="20"/>
        <v>5123</v>
      </c>
      <c r="BE13" s="117">
        <f t="shared" si="21"/>
        <v>0</v>
      </c>
      <c r="BF13" s="117">
        <f t="shared" si="22"/>
        <v>331</v>
      </c>
      <c r="BG13" s="117">
        <f t="shared" si="23"/>
        <v>331</v>
      </c>
      <c r="BH13" s="118">
        <f t="shared" si="36"/>
        <v>0</v>
      </c>
      <c r="BI13" s="73" t="s">
        <v>124</v>
      </c>
      <c r="BJ13" s="73" t="str">
        <f t="shared" si="24"/>
        <v>TDG xe 15C-03426</v>
      </c>
      <c r="BK13" s="118" t="str">
        <f t="shared" si="25"/>
        <v>G</v>
      </c>
      <c r="BL13" s="74">
        <f t="shared" ca="1" si="37"/>
        <v>45484</v>
      </c>
      <c r="BM13" s="8" t="str">
        <f t="shared" ref="BM13:BM22" si="41">+C13</f>
        <v>CG00438</v>
      </c>
      <c r="BN13" s="8" t="str">
        <f t="shared" si="38"/>
        <v/>
      </c>
      <c r="BO13" s="8" t="str">
        <f t="shared" ref="BO13:BP22" si="42">+C13</f>
        <v>CG00438</v>
      </c>
      <c r="BP13" s="8" t="str">
        <f t="shared" si="42"/>
        <v>Hinh (HHND) 0912334107</v>
      </c>
      <c r="BQ13" s="8" t="str">
        <f t="shared" ref="BQ13:BQ22" si="43">+L13</f>
        <v>DKG&lt;-&gt;Hải Hậu, Nam Định</v>
      </c>
      <c r="BS13" s="116">
        <f t="shared" ref="BS13:BS22" si="44">+W13</f>
        <v>450000</v>
      </c>
      <c r="BT13" s="119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119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8" t="str">
        <f t="shared" ref="BV13:BV22" si="45">IF(BS13-BT13=500000,BU13+400000,IF(BT13=BS13,BU13,"saiiiiiiiiiiiiiiiii"))</f>
        <v>saiiiiiiiiiiiiiiiii</v>
      </c>
      <c r="BX13" s="120">
        <f>VLOOKUP(BQ13,[2]gia3!$D$7:$W$256,19,0)</f>
        <v>4600000</v>
      </c>
      <c r="BY13" s="95" t="str">
        <f t="shared" si="30"/>
        <v/>
      </c>
      <c r="BZ13" s="96" t="e">
        <f t="shared" ref="BZ13:BZ22" si="46">+BY13-AS13</f>
        <v>#VALUE!</v>
      </c>
    </row>
    <row r="14" spans="1:78" s="8" customFormat="1" ht="20.100000000000001" customHeight="1" x14ac:dyDescent="0.3">
      <c r="A14" s="97">
        <f>MAX($A$11:A13)+1</f>
        <v>4</v>
      </c>
      <c r="B14" s="98">
        <v>45483</v>
      </c>
      <c r="C14" s="97" t="s">
        <v>129</v>
      </c>
      <c r="D14" s="99" t="s">
        <v>130</v>
      </c>
      <c r="E14" s="100" t="s">
        <v>120</v>
      </c>
      <c r="F14" s="99" t="s">
        <v>131</v>
      </c>
      <c r="G14" s="99"/>
      <c r="H14" s="97" t="s">
        <v>132</v>
      </c>
      <c r="I14" s="97" t="s">
        <v>120</v>
      </c>
      <c r="J14" s="97"/>
      <c r="K14" s="101" t="s">
        <v>133</v>
      </c>
      <c r="L14" s="102" t="s">
        <v>134</v>
      </c>
      <c r="M14" s="103" t="str">
        <f t="shared" si="0"/>
        <v>Hoàng Sơn</v>
      </c>
      <c r="N14" s="104" t="s">
        <v>140</v>
      </c>
      <c r="O14" s="105" t="str">
        <f t="shared" si="31"/>
        <v>Ngô Quang Hưng</v>
      </c>
      <c r="P14" s="103" t="str">
        <f t="shared" si="1"/>
        <v>HS</v>
      </c>
      <c r="Q14" s="106" t="str">
        <f t="shared" si="2"/>
        <v>HS</v>
      </c>
      <c r="R14" s="103" t="s">
        <v>136</v>
      </c>
      <c r="S14" s="103" t="s">
        <v>137</v>
      </c>
      <c r="T14" s="107" t="s">
        <v>138</v>
      </c>
      <c r="U14" s="108">
        <v>3</v>
      </c>
      <c r="V14" s="109">
        <v>16.138000000000002</v>
      </c>
      <c r="W14" s="110">
        <v>450000</v>
      </c>
      <c r="X14" s="111">
        <f t="shared" si="3"/>
        <v>7262100.0000000009</v>
      </c>
      <c r="Y14" s="106" t="s">
        <v>139</v>
      </c>
      <c r="Z14" s="106">
        <f t="shared" si="4"/>
        <v>0</v>
      </c>
      <c r="AA14" s="106" t="str">
        <f t="shared" si="32"/>
        <v>DKG</v>
      </c>
      <c r="AB14" s="112">
        <v>2850000</v>
      </c>
      <c r="AC14" s="105" t="s">
        <v>120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DKG&lt;-&gt;Hải Hậu, Nam Định</v>
      </c>
      <c r="AG14" s="106" t="str">
        <f t="shared" si="33"/>
        <v>CX002</v>
      </c>
      <c r="AH14" s="106" t="str">
        <f t="shared" si="8"/>
        <v>15C-03470</v>
      </c>
      <c r="AI14" s="109">
        <f t="shared" si="9"/>
        <v>16.138000000000002</v>
      </c>
      <c r="AJ14" s="112">
        <f t="shared" si="9"/>
        <v>450000</v>
      </c>
      <c r="AK14" s="112">
        <f t="shared" si="9"/>
        <v>7262100.0000000009</v>
      </c>
      <c r="AL14" s="106" t="str">
        <f t="shared" si="10"/>
        <v>DKG</v>
      </c>
      <c r="AM14" s="112">
        <f t="shared" si="10"/>
        <v>2850000</v>
      </c>
      <c r="AN14" s="112">
        <f t="shared" si="34"/>
        <v>2750000</v>
      </c>
      <c r="AO14" s="112">
        <f t="shared" si="11"/>
        <v>100000</v>
      </c>
      <c r="AP14" s="105"/>
      <c r="AQ14" s="109">
        <f t="shared" si="12"/>
        <v>15.331100000000001</v>
      </c>
      <c r="AR14" s="109"/>
      <c r="AS14" s="112">
        <f t="shared" si="39"/>
        <v>385000</v>
      </c>
      <c r="AT14" s="112">
        <f t="shared" si="40"/>
        <v>5902473.5</v>
      </c>
      <c r="AU14" s="112">
        <f t="shared" si="13"/>
        <v>1359626.5000000009</v>
      </c>
      <c r="AV14" s="105" t="str">
        <f t="shared" si="14"/>
        <v/>
      </c>
      <c r="AW14" s="115">
        <f t="shared" si="15"/>
        <v>0.80690000000000062</v>
      </c>
      <c r="AX14" s="115"/>
      <c r="AY14" s="116">
        <f t="shared" si="16"/>
        <v>1684999.9999999998</v>
      </c>
      <c r="AZ14" s="116">
        <f t="shared" si="17"/>
        <v>1359626.5000000009</v>
      </c>
      <c r="BA14" s="116">
        <f t="shared" si="18"/>
        <v>0</v>
      </c>
      <c r="BB14" s="117">
        <f t="shared" si="35"/>
        <v>512212</v>
      </c>
      <c r="BC14" s="117">
        <f t="shared" si="19"/>
        <v>511301</v>
      </c>
      <c r="BD14" s="117">
        <f t="shared" si="20"/>
        <v>5123</v>
      </c>
      <c r="BE14" s="117">
        <f t="shared" si="21"/>
        <v>0</v>
      </c>
      <c r="BF14" s="117">
        <f t="shared" si="22"/>
        <v>331</v>
      </c>
      <c r="BG14" s="117">
        <f t="shared" si="23"/>
        <v>331</v>
      </c>
      <c r="BH14" s="118">
        <f t="shared" si="36"/>
        <v>0</v>
      </c>
      <c r="BI14" s="73" t="s">
        <v>124</v>
      </c>
      <c r="BJ14" s="73" t="str">
        <f t="shared" si="24"/>
        <v>TDG xe 15C-03470</v>
      </c>
      <c r="BK14" s="118" t="str">
        <f t="shared" si="25"/>
        <v>G</v>
      </c>
      <c r="BL14" s="74">
        <f t="shared" ca="1" si="37"/>
        <v>45484</v>
      </c>
      <c r="BM14" s="8" t="str">
        <f t="shared" si="41"/>
        <v>CG00438</v>
      </c>
      <c r="BN14" s="8" t="str">
        <f t="shared" si="38"/>
        <v/>
      </c>
      <c r="BO14" s="8" t="str">
        <f t="shared" si="42"/>
        <v>CG00438</v>
      </c>
      <c r="BP14" s="8" t="str">
        <f t="shared" si="42"/>
        <v>Hinh (HHND) 0912334107</v>
      </c>
      <c r="BQ14" s="8" t="str">
        <f t="shared" si="43"/>
        <v>DKG&lt;-&gt;Hải Hậu, Nam Định</v>
      </c>
      <c r="BS14" s="116">
        <f t="shared" si="44"/>
        <v>450000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45"/>
        <v>saiiiiiiiiiiiiiiiii</v>
      </c>
      <c r="BX14" s="120">
        <f>VLOOKUP(BQ14,[2]gia3!$D$7:$W$256,19,0)</f>
        <v>4600000</v>
      </c>
      <c r="BY14" s="95" t="str">
        <f t="shared" si="30"/>
        <v/>
      </c>
      <c r="BZ14" s="96" t="e">
        <f t="shared" si="46"/>
        <v>#VALUE!</v>
      </c>
    </row>
    <row r="15" spans="1:78" s="8" customFormat="1" ht="20.100000000000001" customHeight="1" x14ac:dyDescent="0.3">
      <c r="A15" s="97"/>
      <c r="B15" s="98">
        <v>45483</v>
      </c>
      <c r="C15" s="97" t="s">
        <v>141</v>
      </c>
      <c r="D15" s="99" t="s">
        <v>142</v>
      </c>
      <c r="E15" s="100" t="e">
        <v>#N/A</v>
      </c>
      <c r="F15" s="99" t="s">
        <v>131</v>
      </c>
      <c r="G15" s="99"/>
      <c r="H15" s="97" t="s">
        <v>132</v>
      </c>
      <c r="I15" s="97" t="s">
        <v>120</v>
      </c>
      <c r="J15" s="97"/>
      <c r="K15" s="101" t="s">
        <v>133</v>
      </c>
      <c r="L15" s="102" t="s">
        <v>134</v>
      </c>
      <c r="M15" s="103" t="str">
        <f t="shared" si="0"/>
        <v>Hoàng Sơn</v>
      </c>
      <c r="N15" s="104" t="s">
        <v>140</v>
      </c>
      <c r="O15" s="105" t="str">
        <f t="shared" si="31"/>
        <v>Ngô Quang Hưng</v>
      </c>
      <c r="P15" s="103" t="str">
        <f t="shared" si="1"/>
        <v>HS</v>
      </c>
      <c r="Q15" s="106" t="str">
        <f t="shared" si="2"/>
        <v>HS</v>
      </c>
      <c r="R15" s="103" t="s">
        <v>136</v>
      </c>
      <c r="S15" s="103" t="s">
        <v>137</v>
      </c>
      <c r="T15" s="107" t="s">
        <v>138</v>
      </c>
      <c r="U15" s="108">
        <v>1</v>
      </c>
      <c r="V15" s="109">
        <v>8.9019999999999992</v>
      </c>
      <c r="W15" s="110">
        <v>450000</v>
      </c>
      <c r="X15" s="111">
        <f t="shared" si="3"/>
        <v>4005899.9999999995</v>
      </c>
      <c r="Y15" s="106" t="s">
        <v>139</v>
      </c>
      <c r="Z15" s="106">
        <f t="shared" si="4"/>
        <v>0</v>
      </c>
      <c r="AA15" s="106" t="str">
        <f t="shared" si="32"/>
        <v>DKG</v>
      </c>
      <c r="AB15" s="112">
        <v>0</v>
      </c>
      <c r="AC15" s="121" t="s">
        <v>143</v>
      </c>
      <c r="AD15" s="113">
        <f t="shared" si="5"/>
        <v>0</v>
      </c>
      <c r="AE15" s="113" t="str">
        <f t="shared" si="6"/>
        <v>HS</v>
      </c>
      <c r="AF15" s="114" t="str">
        <f t="shared" si="7"/>
        <v>DKG&lt;-&gt;Hải Hậu, Nam Định</v>
      </c>
      <c r="AG15" s="106" t="str">
        <f t="shared" si="33"/>
        <v>CX002</v>
      </c>
      <c r="AH15" s="106" t="str">
        <f t="shared" si="8"/>
        <v>15C-03470</v>
      </c>
      <c r="AI15" s="109">
        <f t="shared" si="9"/>
        <v>8.9019999999999992</v>
      </c>
      <c r="AJ15" s="112">
        <f t="shared" si="9"/>
        <v>450000</v>
      </c>
      <c r="AK15" s="112">
        <f t="shared" si="9"/>
        <v>4005899.9999999995</v>
      </c>
      <c r="AL15" s="106" t="str">
        <f t="shared" si="10"/>
        <v>DKG</v>
      </c>
      <c r="AM15" s="112">
        <f t="shared" si="10"/>
        <v>0</v>
      </c>
      <c r="AN15" s="112">
        <f t="shared" si="34"/>
        <v>0</v>
      </c>
      <c r="AO15" s="112">
        <f t="shared" si="11"/>
        <v>0</v>
      </c>
      <c r="AP15" s="105"/>
      <c r="AQ15" s="109">
        <f t="shared" si="12"/>
        <v>8.4568999999999992</v>
      </c>
      <c r="AR15" s="109"/>
      <c r="AS15" s="112">
        <f t="shared" si="39"/>
        <v>385000</v>
      </c>
      <c r="AT15" s="112">
        <f t="shared" si="40"/>
        <v>3255906.4999999995</v>
      </c>
      <c r="AU15" s="112">
        <f t="shared" si="13"/>
        <v>749993.5</v>
      </c>
      <c r="AV15" s="105" t="str">
        <f t="shared" si="14"/>
        <v>ghép</v>
      </c>
      <c r="AW15" s="115">
        <f t="shared" si="15"/>
        <v>0.44510000000000005</v>
      </c>
      <c r="AX15" s="115"/>
      <c r="AY15" s="116">
        <f t="shared" si="16"/>
        <v>1684999.9999999998</v>
      </c>
      <c r="AZ15" s="116">
        <f t="shared" si="17"/>
        <v>749993.5</v>
      </c>
      <c r="BA15" s="116">
        <f t="shared" si="18"/>
        <v>0</v>
      </c>
      <c r="BB15" s="117">
        <f t="shared" si="35"/>
        <v>512212</v>
      </c>
      <c r="BC15" s="117">
        <f t="shared" si="19"/>
        <v>511301</v>
      </c>
      <c r="BD15" s="117">
        <f t="shared" si="20"/>
        <v>5123</v>
      </c>
      <c r="BE15" s="117">
        <f t="shared" si="21"/>
        <v>0</v>
      </c>
      <c r="BF15" s="117">
        <f t="shared" si="22"/>
        <v>331</v>
      </c>
      <c r="BG15" s="117">
        <f t="shared" si="23"/>
        <v>331</v>
      </c>
      <c r="BH15" s="118">
        <f t="shared" si="36"/>
        <v>0</v>
      </c>
      <c r="BI15" s="73" t="s">
        <v>124</v>
      </c>
      <c r="BJ15" s="73" t="str">
        <f t="shared" si="24"/>
        <v>TDG xe 15C-03470</v>
      </c>
      <c r="BK15" s="118" t="str">
        <f t="shared" si="25"/>
        <v>G</v>
      </c>
      <c r="BL15" s="74">
        <f t="shared" ca="1" si="37"/>
        <v>45484</v>
      </c>
      <c r="BM15" s="8" t="str">
        <f t="shared" si="41"/>
        <v>CG00449</v>
      </c>
      <c r="BN15" s="8" t="str">
        <f t="shared" si="38"/>
        <v/>
      </c>
      <c r="BO15" s="8" t="str">
        <f t="shared" si="42"/>
        <v>CG00449</v>
      </c>
      <c r="BP15" s="8" t="str">
        <f t="shared" si="42"/>
        <v>Chú Vy (HHND) 0912466962</v>
      </c>
      <c r="BQ15" s="8" t="str">
        <f t="shared" si="43"/>
        <v>DKG&lt;-&gt;Hải Hậu, Nam Định</v>
      </c>
      <c r="BS15" s="116">
        <f t="shared" si="44"/>
        <v>450000</v>
      </c>
      <c r="BT15" s="119" t="b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0</v>
      </c>
      <c r="BU15" s="119" t="b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0</v>
      </c>
      <c r="BV15" s="8" t="str">
        <f t="shared" si="45"/>
        <v>saiiiiiiiiiiiiiiiii</v>
      </c>
      <c r="BX15" s="120">
        <f>VLOOKUP(BQ15,[2]gia3!$D$7:$W$256,19,0)</f>
        <v>4600000</v>
      </c>
      <c r="BY15" s="95" t="str">
        <f t="shared" si="30"/>
        <v/>
      </c>
      <c r="BZ15" s="96" t="e">
        <f t="shared" si="46"/>
        <v>#VALUE!</v>
      </c>
    </row>
    <row r="16" spans="1:78" s="8" customFormat="1" ht="20.100000000000001" customHeight="1" x14ac:dyDescent="0.3">
      <c r="A16" s="97">
        <f>MAX($A$11:A15)+1</f>
        <v>5</v>
      </c>
      <c r="B16" s="98">
        <v>45483</v>
      </c>
      <c r="C16" s="97" t="s">
        <v>144</v>
      </c>
      <c r="D16" s="99" t="s">
        <v>145</v>
      </c>
      <c r="E16" s="100" t="s">
        <v>120</v>
      </c>
      <c r="F16" s="99" t="s">
        <v>146</v>
      </c>
      <c r="G16" s="99"/>
      <c r="H16" s="97" t="s">
        <v>132</v>
      </c>
      <c r="I16" s="97" t="s">
        <v>120</v>
      </c>
      <c r="J16" s="97"/>
      <c r="K16" s="101" t="s">
        <v>147</v>
      </c>
      <c r="L16" s="102" t="s">
        <v>148</v>
      </c>
      <c r="M16" s="103" t="str">
        <f t="shared" si="0"/>
        <v>Hoàng Sơn</v>
      </c>
      <c r="N16" s="104" t="s">
        <v>149</v>
      </c>
      <c r="O16" s="105" t="str">
        <f t="shared" si="31"/>
        <v>Lại Văn Ngân</v>
      </c>
      <c r="P16" s="103" t="str">
        <f t="shared" si="1"/>
        <v>HS</v>
      </c>
      <c r="Q16" s="106" t="str">
        <f t="shared" si="2"/>
        <v>HS</v>
      </c>
      <c r="R16" s="103" t="s">
        <v>136</v>
      </c>
      <c r="S16" s="103" t="s">
        <v>137</v>
      </c>
      <c r="T16" s="107" t="s">
        <v>138</v>
      </c>
      <c r="U16" s="108">
        <v>3</v>
      </c>
      <c r="V16" s="109">
        <v>25.370999999999999</v>
      </c>
      <c r="W16" s="110">
        <v>450000</v>
      </c>
      <c r="X16" s="111">
        <f t="shared" si="3"/>
        <v>11416950</v>
      </c>
      <c r="Y16" s="106" t="s">
        <v>150</v>
      </c>
      <c r="Z16" s="106">
        <f t="shared" si="4"/>
        <v>0</v>
      </c>
      <c r="AA16" s="106" t="str">
        <f t="shared" si="32"/>
        <v>DKG</v>
      </c>
      <c r="AB16" s="112">
        <v>2200000</v>
      </c>
      <c r="AC16" s="105" t="s">
        <v>120</v>
      </c>
      <c r="AD16" s="113">
        <f t="shared" si="5"/>
        <v>5</v>
      </c>
      <c r="AE16" s="113" t="str">
        <f t="shared" si="6"/>
        <v>HS</v>
      </c>
      <c r="AF16" s="114" t="str">
        <f t="shared" si="7"/>
        <v>DKG&lt;-&gt;Đan Phượng, Hà Nội</v>
      </c>
      <c r="AG16" s="106" t="str">
        <f t="shared" si="33"/>
        <v>CX001</v>
      </c>
      <c r="AH16" s="106" t="str">
        <f t="shared" si="8"/>
        <v>15C-10812</v>
      </c>
      <c r="AI16" s="109">
        <f t="shared" si="9"/>
        <v>25.370999999999999</v>
      </c>
      <c r="AJ16" s="112">
        <f t="shared" si="9"/>
        <v>450000</v>
      </c>
      <c r="AK16" s="112">
        <f t="shared" si="9"/>
        <v>11416950</v>
      </c>
      <c r="AL16" s="106" t="str">
        <f t="shared" si="10"/>
        <v>DKG</v>
      </c>
      <c r="AM16" s="112">
        <f t="shared" si="10"/>
        <v>2200000</v>
      </c>
      <c r="AN16" s="112">
        <f t="shared" si="34"/>
        <v>2100000</v>
      </c>
      <c r="AO16" s="112">
        <f t="shared" si="11"/>
        <v>100000</v>
      </c>
      <c r="AP16" s="105"/>
      <c r="AQ16" s="109">
        <f t="shared" si="12"/>
        <v>24.102449999999997</v>
      </c>
      <c r="AR16" s="109"/>
      <c r="AS16" s="112">
        <f t="shared" si="39"/>
        <v>385000</v>
      </c>
      <c r="AT16" s="112">
        <f t="shared" si="40"/>
        <v>9279443.2499999981</v>
      </c>
      <c r="AU16" s="112">
        <f t="shared" si="13"/>
        <v>2137506.7500000019</v>
      </c>
      <c r="AV16" s="105" t="str">
        <f t="shared" si="14"/>
        <v/>
      </c>
      <c r="AW16" s="115">
        <f t="shared" si="15"/>
        <v>1.2685500000000012</v>
      </c>
      <c r="AX16" s="115"/>
      <c r="AY16" s="116">
        <f t="shared" si="16"/>
        <v>1685000</v>
      </c>
      <c r="AZ16" s="116">
        <f t="shared" si="17"/>
        <v>2137506.7500000019</v>
      </c>
      <c r="BA16" s="116">
        <f t="shared" si="18"/>
        <v>0</v>
      </c>
      <c r="BB16" s="117">
        <f t="shared" si="35"/>
        <v>512110</v>
      </c>
      <c r="BC16" s="117">
        <f t="shared" si="19"/>
        <v>511301</v>
      </c>
      <c r="BD16" s="117">
        <f t="shared" si="20"/>
        <v>5123</v>
      </c>
      <c r="BE16" s="117">
        <f t="shared" si="21"/>
        <v>0</v>
      </c>
      <c r="BF16" s="117">
        <f t="shared" si="22"/>
        <v>0</v>
      </c>
      <c r="BG16" s="117">
        <f t="shared" si="23"/>
        <v>15401</v>
      </c>
      <c r="BH16" s="118">
        <f t="shared" si="36"/>
        <v>6121110</v>
      </c>
      <c r="BI16" s="73" t="s">
        <v>124</v>
      </c>
      <c r="BJ16" s="73" t="str">
        <f t="shared" si="24"/>
        <v>TDG xe 15C-10812</v>
      </c>
      <c r="BK16" s="118" t="str">
        <f t="shared" si="25"/>
        <v>G</v>
      </c>
      <c r="BL16" s="74" t="str">
        <f t="shared" ca="1" si="37"/>
        <v/>
      </c>
      <c r="BM16" s="8" t="str">
        <f t="shared" si="41"/>
        <v>CG00049</v>
      </c>
      <c r="BN16" s="8" t="str">
        <f t="shared" si="38"/>
        <v/>
      </c>
      <c r="BO16" s="8" t="str">
        <f t="shared" si="42"/>
        <v>CG00049</v>
      </c>
      <c r="BP16" s="8" t="str">
        <f t="shared" si="42"/>
        <v>Toàn (MDHP) 0986024089</v>
      </c>
      <c r="BQ16" s="8" t="str">
        <f t="shared" si="43"/>
        <v>DKG&lt;-&gt;Đan Phượng, Hà Nội</v>
      </c>
      <c r="BS16" s="116">
        <f t="shared" si="44"/>
        <v>450000</v>
      </c>
      <c r="BT16" s="119" t="b">
        <f>IF(OR(BM16="CG00047",BM16="Dong Duong",BM16="CG00073",BM16="CG00078",BM16="CG00045"),VLOOKUP(BQ16,[1]gia3!$D$7:$T$206,4,0),IF(OR(BM16="CG00088",BM16="CG00044",),VLOOKUP(BQ16,[1]gia3!$D$7:$T$206,6,0),IF(BM16="Đinh Gia",VLOOKUP(BQ16,[1]gia3!$D$7:$T$206,8,0),IF(OR(BM16="Greeensky",BM16="CG..."),VLOOKUP(BQ16,[1]gia3!$D$7:$T$206,10,0),IF(OR(BM16="Đại Huu",BM16="Vietj Mỹ"),VLOOKUP(BQ16,[1]gia3!$D$7:$T$206,14,0) )))))</f>
        <v>0</v>
      </c>
      <c r="BU16" s="119" t="b">
        <f>IF(OR(BM16="CG00047",BM16="Dong Duong",BM16="CG00073",BM16="CG00078",BM16="CG00045"),VLOOKUP(BQ16,[1]gia3!$D$7:$T$206,5,0),IF(OR(BM16="CG00088",BM16="CG00044",),VLOOKUP(BQ16,[1]gia3!$D$7:$T$206,7,0),IF(BM16="Đinh Gia",VLOOKUP(BQ16,[1]gia3!$D$7:$T$206,9,0),IF(OR(BM16="Greeensky",BM16="CG..."),VLOOKUP(BQ16,[1]gia3!$D$7:$T$206,11,0),IF(OR(BM16="Đại Huu",BM16="Vietj Mỹ"),VLOOKUP(BQ16,[1]gia3!$D$7:$T$206,15,0) )))))</f>
        <v>0</v>
      </c>
      <c r="BV16" s="8" t="str">
        <f t="shared" si="45"/>
        <v>saiiiiiiiiiiiiiiiii</v>
      </c>
      <c r="BX16" s="120">
        <f>VLOOKUP(BQ16,[2]gia3!$D$7:$W$256,19,0)</f>
        <v>4700000</v>
      </c>
      <c r="BY16" s="95" t="str">
        <f t="shared" si="30"/>
        <v/>
      </c>
      <c r="BZ16" s="96" t="e">
        <f t="shared" si="46"/>
        <v>#VALUE!</v>
      </c>
    </row>
    <row r="17" spans="1:78" s="8" customFormat="1" ht="20.100000000000001" customHeight="1" x14ac:dyDescent="0.3">
      <c r="A17" s="97">
        <f>MAX($A$11:A16)+1</f>
        <v>6</v>
      </c>
      <c r="B17" s="98">
        <v>45483</v>
      </c>
      <c r="C17" s="97" t="s">
        <v>151</v>
      </c>
      <c r="D17" s="99" t="s">
        <v>152</v>
      </c>
      <c r="E17" s="100" t="s">
        <v>153</v>
      </c>
      <c r="F17" s="99" t="s">
        <v>154</v>
      </c>
      <c r="G17" s="99"/>
      <c r="H17" s="97" t="s">
        <v>132</v>
      </c>
      <c r="I17" s="97" t="s">
        <v>120</v>
      </c>
      <c r="J17" s="97"/>
      <c r="K17" s="101" t="s">
        <v>155</v>
      </c>
      <c r="L17" s="102" t="s">
        <v>156</v>
      </c>
      <c r="M17" s="103" t="str">
        <f t="shared" si="0"/>
        <v>Hoàng Sơn</v>
      </c>
      <c r="N17" s="104" t="s">
        <v>157</v>
      </c>
      <c r="O17" s="105" t="str">
        <f t="shared" si="31"/>
        <v>Trần Văn Hiển</v>
      </c>
      <c r="P17" s="103" t="str">
        <f t="shared" si="1"/>
        <v>HS</v>
      </c>
      <c r="Q17" s="106" t="str">
        <f t="shared" si="2"/>
        <v>HS</v>
      </c>
      <c r="R17" s="103" t="s">
        <v>136</v>
      </c>
      <c r="S17" s="103" t="s">
        <v>137</v>
      </c>
      <c r="T17" s="107" t="s">
        <v>158</v>
      </c>
      <c r="U17" s="108">
        <v>4</v>
      </c>
      <c r="V17" s="109">
        <v>26.795999999999999</v>
      </c>
      <c r="W17" s="110">
        <v>480000</v>
      </c>
      <c r="X17" s="111">
        <f t="shared" si="3"/>
        <v>12862080</v>
      </c>
      <c r="Y17" s="106" t="s">
        <v>150</v>
      </c>
      <c r="Z17" s="106">
        <f t="shared" si="4"/>
        <v>0</v>
      </c>
      <c r="AA17" s="106" t="str">
        <f t="shared" si="32"/>
        <v>DKG</v>
      </c>
      <c r="AB17" s="112">
        <v>2600000</v>
      </c>
      <c r="AC17" s="105" t="s">
        <v>120</v>
      </c>
      <c r="AD17" s="113">
        <f t="shared" si="5"/>
        <v>6</v>
      </c>
      <c r="AE17" s="113" t="str">
        <f t="shared" si="6"/>
        <v>HS</v>
      </c>
      <c r="AF17" s="114" t="str">
        <f t="shared" si="7"/>
        <v>DKG&lt;-&gt;Bình Xuyên, Vĩnh Phúc</v>
      </c>
      <c r="AG17" s="106" t="str">
        <f t="shared" si="33"/>
        <v>CX001</v>
      </c>
      <c r="AH17" s="106" t="str">
        <f t="shared" si="8"/>
        <v>15C-12832</v>
      </c>
      <c r="AI17" s="109">
        <f t="shared" si="9"/>
        <v>26.795999999999999</v>
      </c>
      <c r="AJ17" s="112">
        <f t="shared" si="9"/>
        <v>480000</v>
      </c>
      <c r="AK17" s="112">
        <f t="shared" si="9"/>
        <v>12862080</v>
      </c>
      <c r="AL17" s="106" t="str">
        <f t="shared" si="10"/>
        <v>DKG</v>
      </c>
      <c r="AM17" s="112">
        <f t="shared" si="10"/>
        <v>2600000</v>
      </c>
      <c r="AN17" s="112">
        <f t="shared" si="34"/>
        <v>2500000</v>
      </c>
      <c r="AO17" s="112">
        <f t="shared" si="11"/>
        <v>100000</v>
      </c>
      <c r="AP17" s="105"/>
      <c r="AQ17" s="109">
        <f t="shared" si="12"/>
        <v>25.456199999999999</v>
      </c>
      <c r="AR17" s="109"/>
      <c r="AS17" s="112">
        <f t="shared" si="39"/>
        <v>415000</v>
      </c>
      <c r="AT17" s="112">
        <f t="shared" si="40"/>
        <v>10564323</v>
      </c>
      <c r="AU17" s="112">
        <f t="shared" si="13"/>
        <v>2297757</v>
      </c>
      <c r="AV17" s="105" t="str">
        <f t="shared" si="14"/>
        <v/>
      </c>
      <c r="AW17" s="115">
        <f t="shared" si="15"/>
        <v>1.3398000000000003</v>
      </c>
      <c r="AX17" s="115"/>
      <c r="AY17" s="116">
        <f t="shared" si="16"/>
        <v>1714999.9999999995</v>
      </c>
      <c r="AZ17" s="116">
        <f t="shared" si="17"/>
        <v>2297757</v>
      </c>
      <c r="BA17" s="116">
        <f t="shared" si="18"/>
        <v>0</v>
      </c>
      <c r="BB17" s="117">
        <f t="shared" si="35"/>
        <v>512114</v>
      </c>
      <c r="BC17" s="117">
        <f t="shared" si="19"/>
        <v>511301</v>
      </c>
      <c r="BD17" s="117">
        <f t="shared" si="20"/>
        <v>5123</v>
      </c>
      <c r="BE17" s="117">
        <f t="shared" si="21"/>
        <v>0</v>
      </c>
      <c r="BF17" s="117">
        <f t="shared" si="22"/>
        <v>0</v>
      </c>
      <c r="BG17" s="117">
        <f t="shared" si="23"/>
        <v>15401</v>
      </c>
      <c r="BH17" s="118">
        <f t="shared" si="36"/>
        <v>6121114</v>
      </c>
      <c r="BI17" s="73" t="s">
        <v>124</v>
      </c>
      <c r="BJ17" s="73" t="str">
        <f t="shared" si="24"/>
        <v>TDG xe 15C-12832</v>
      </c>
      <c r="BK17" s="118" t="str">
        <f t="shared" si="25"/>
        <v>G</v>
      </c>
      <c r="BL17" s="74" t="str">
        <f t="shared" ca="1" si="37"/>
        <v/>
      </c>
      <c r="BM17" s="8" t="str">
        <f t="shared" si="41"/>
        <v>CG00040</v>
      </c>
      <c r="BN17" s="8" t="str">
        <f t="shared" si="38"/>
        <v/>
      </c>
      <c r="BO17" s="8" t="str">
        <f t="shared" si="42"/>
        <v>CG00040</v>
      </c>
      <c r="BP17" s="8" t="str">
        <f t="shared" si="42"/>
        <v>Công ty TNHH Gỗ Đại Xuân (PLHNA) 0979668924</v>
      </c>
      <c r="BQ17" s="8" t="str">
        <f t="shared" si="43"/>
        <v>DKG&lt;-&gt;Bình Xuyên, Vĩnh Phúc</v>
      </c>
      <c r="BS17" s="116">
        <f t="shared" si="44"/>
        <v>480000</v>
      </c>
      <c r="BT17" s="119" t="b">
        <f>IF(OR(BM17="CG00047",BM17="Dong Duong",BM17="CG00073",BM17="CG00078",BM17="CG00045"),VLOOKUP(BQ17,[1]gia3!$D$7:$T$206,4,0),IF(OR(BM17="CG00088",BM17="CG00044",),VLOOKUP(BQ17,[1]gia3!$D$7:$T$206,6,0),IF(BM17="Đinh Gia",VLOOKUP(BQ17,[1]gia3!$D$7:$T$206,8,0),IF(OR(BM17="Greeensky",BM17="CG..."),VLOOKUP(BQ17,[1]gia3!$D$7:$T$206,10,0),IF(OR(BM17="Đại Huu",BM17="Vietj Mỹ"),VLOOKUP(BQ17,[1]gia3!$D$7:$T$206,14,0) )))))</f>
        <v>0</v>
      </c>
      <c r="BU17" s="119" t="b">
        <f>IF(OR(BM17="CG00047",BM17="Dong Duong",BM17="CG00073",BM17="CG00078",BM17="CG00045"),VLOOKUP(BQ17,[1]gia3!$D$7:$T$206,5,0),IF(OR(BM17="CG00088",BM17="CG00044",),VLOOKUP(BQ17,[1]gia3!$D$7:$T$206,7,0),IF(BM17="Đinh Gia",VLOOKUP(BQ17,[1]gia3!$D$7:$T$206,9,0),IF(OR(BM17="Greeensky",BM17="CG..."),VLOOKUP(BQ17,[1]gia3!$D$7:$T$206,11,0),IF(OR(BM17="Đại Huu",BM17="Vietj Mỹ"),VLOOKUP(BQ17,[1]gia3!$D$7:$T$206,15,0) )))))</f>
        <v>0</v>
      </c>
      <c r="BV17" s="8" t="str">
        <f t="shared" si="45"/>
        <v>saiiiiiiiiiiiiiiiii</v>
      </c>
      <c r="BX17" s="120" t="e">
        <f>VLOOKUP(BQ17,[2]gia3!$D$7:$W$256,19,0)</f>
        <v>#N/A</v>
      </c>
      <c r="BY17" s="95" t="str">
        <f t="shared" si="30"/>
        <v/>
      </c>
      <c r="BZ17" s="96" t="e">
        <f t="shared" si="46"/>
        <v>#VALUE!</v>
      </c>
    </row>
    <row r="18" spans="1:78" s="8" customFormat="1" ht="20.100000000000001" customHeight="1" x14ac:dyDescent="0.3">
      <c r="A18" s="97">
        <f>MAX($A$11:A17)+1</f>
        <v>7</v>
      </c>
      <c r="B18" s="98">
        <v>45483</v>
      </c>
      <c r="C18" s="97" t="s">
        <v>159</v>
      </c>
      <c r="D18" s="99" t="s">
        <v>160</v>
      </c>
      <c r="E18" s="100" t="s">
        <v>161</v>
      </c>
      <c r="F18" s="99" t="s">
        <v>162</v>
      </c>
      <c r="G18" s="99"/>
      <c r="H18" s="97" t="s">
        <v>132</v>
      </c>
      <c r="I18" s="97" t="s">
        <v>120</v>
      </c>
      <c r="J18" s="97"/>
      <c r="K18" s="101" t="s">
        <v>163</v>
      </c>
      <c r="L18" s="102" t="s">
        <v>164</v>
      </c>
      <c r="M18" s="103" t="str">
        <f t="shared" si="0"/>
        <v>Hoàng Sơn</v>
      </c>
      <c r="N18" s="104" t="s">
        <v>165</v>
      </c>
      <c r="O18" s="105" t="str">
        <f t="shared" si="31"/>
        <v>Lưu Xuân Thành</v>
      </c>
      <c r="P18" s="103" t="str">
        <f t="shared" si="1"/>
        <v>HS</v>
      </c>
      <c r="Q18" s="106" t="str">
        <f t="shared" si="2"/>
        <v>HS</v>
      </c>
      <c r="R18" s="103" t="s">
        <v>166</v>
      </c>
      <c r="S18" s="103" t="s">
        <v>137</v>
      </c>
      <c r="T18" s="107" t="s">
        <v>167</v>
      </c>
      <c r="U18" s="108">
        <v>15</v>
      </c>
      <c r="V18" s="109">
        <v>23</v>
      </c>
      <c r="W18" s="110">
        <v>200000</v>
      </c>
      <c r="X18" s="111">
        <f t="shared" si="3"/>
        <v>4600000</v>
      </c>
      <c r="Y18" s="106" t="s">
        <v>122</v>
      </c>
      <c r="Z18" s="106" t="str">
        <f t="shared" si="4"/>
        <v>OK/NO</v>
      </c>
      <c r="AA18" s="106" t="str">
        <f t="shared" si="32"/>
        <v>DKG</v>
      </c>
      <c r="AB18" s="112">
        <v>100000</v>
      </c>
      <c r="AC18" s="105" t="s">
        <v>120</v>
      </c>
      <c r="AD18" s="113">
        <f t="shared" si="5"/>
        <v>7</v>
      </c>
      <c r="AE18" s="113" t="str">
        <f t="shared" si="6"/>
        <v>HS</v>
      </c>
      <c r="AF18" s="114" t="str">
        <f t="shared" si="7"/>
        <v>DKG&lt;-&gt;Bãi Namtraco</v>
      </c>
      <c r="AG18" s="106" t="str">
        <f t="shared" si="33"/>
        <v>CX001</v>
      </c>
      <c r="AH18" s="106" t="str">
        <f t="shared" si="8"/>
        <v>15C-15237</v>
      </c>
      <c r="AI18" s="109">
        <f t="shared" si="9"/>
        <v>23</v>
      </c>
      <c r="AJ18" s="112">
        <f t="shared" si="9"/>
        <v>200000</v>
      </c>
      <c r="AK18" s="112">
        <f t="shared" si="9"/>
        <v>4600000</v>
      </c>
      <c r="AL18" s="106" t="str">
        <f t="shared" si="10"/>
        <v>DKG</v>
      </c>
      <c r="AM18" s="112">
        <f t="shared" si="10"/>
        <v>100000</v>
      </c>
      <c r="AN18" s="112">
        <f t="shared" si="34"/>
        <v>100000</v>
      </c>
      <c r="AO18" s="112">
        <f t="shared" si="11"/>
        <v>0</v>
      </c>
      <c r="AP18" s="105"/>
      <c r="AQ18" s="109">
        <f t="shared" si="12"/>
        <v>21.849999999999998</v>
      </c>
      <c r="AR18" s="109"/>
      <c r="AS18" s="112">
        <f t="shared" si="39"/>
        <v>36613.272311212815</v>
      </c>
      <c r="AT18" s="112">
        <f t="shared" si="40"/>
        <v>799999.99999999988</v>
      </c>
      <c r="AU18" s="112">
        <f t="shared" si="13"/>
        <v>3800000</v>
      </c>
      <c r="AV18" s="105" t="str">
        <f t="shared" si="14"/>
        <v/>
      </c>
      <c r="AW18" s="115">
        <f t="shared" si="15"/>
        <v>1.1500000000000021</v>
      </c>
      <c r="AX18" s="115"/>
      <c r="AY18" s="116">
        <f t="shared" si="16"/>
        <v>3304347.8260869505</v>
      </c>
      <c r="AZ18" s="116">
        <f t="shared" si="17"/>
        <v>3800000</v>
      </c>
      <c r="BA18" s="116">
        <f t="shared" si="18"/>
        <v>0</v>
      </c>
      <c r="BB18" s="117">
        <f t="shared" si="35"/>
        <v>512119</v>
      </c>
      <c r="BC18" s="117">
        <f t="shared" si="19"/>
        <v>511301</v>
      </c>
      <c r="BD18" s="117">
        <f t="shared" si="20"/>
        <v>5123</v>
      </c>
      <c r="BE18" s="117">
        <f t="shared" si="21"/>
        <v>0</v>
      </c>
      <c r="BF18" s="117">
        <f t="shared" si="22"/>
        <v>0</v>
      </c>
      <c r="BG18" s="117">
        <f t="shared" si="23"/>
        <v>15401</v>
      </c>
      <c r="BH18" s="118">
        <f t="shared" si="36"/>
        <v>6121119</v>
      </c>
      <c r="BI18" s="73" t="s">
        <v>124</v>
      </c>
      <c r="BJ18" s="73" t="str">
        <f t="shared" si="24"/>
        <v>TDG xe 15C-15237</v>
      </c>
      <c r="BK18" s="118" t="str">
        <f t="shared" si="25"/>
        <v>G</v>
      </c>
      <c r="BL18" s="74" t="str">
        <f t="shared" ca="1" si="37"/>
        <v/>
      </c>
      <c r="BM18" s="8" t="str">
        <f t="shared" si="41"/>
        <v>CG00044</v>
      </c>
      <c r="BN18" s="8" t="str">
        <f t="shared" si="38"/>
        <v/>
      </c>
      <c r="BO18" s="8" t="str">
        <f t="shared" si="42"/>
        <v>CG00044</v>
      </c>
      <c r="BP18" s="8" t="str">
        <f t="shared" si="42"/>
        <v>Công ty TNHH Thương mại và Sản xuất Trí Dũng (QOHN) 0905557788</v>
      </c>
      <c r="BQ18" s="8" t="str">
        <f t="shared" si="43"/>
        <v>DKG&lt;-&gt;Bãi Namtraco</v>
      </c>
      <c r="BS18" s="116">
        <f t="shared" si="44"/>
        <v>200000</v>
      </c>
      <c r="BT18" s="119" t="e">
        <f>IF(OR(BM18="CG00047",BM18="Dong Duong",BM18="CG00073",BM18="CG00078",BM18="CG00045"),VLOOKUP(BQ18,[1]gia3!$D$7:$T$206,4,0),IF(OR(BM18="CG00088",BM18="CG00044",),VLOOKUP(BQ18,[1]gia3!$D$7:$T$206,6,0),IF(BM18="Đinh Gia",VLOOKUP(BQ18,[1]gia3!$D$7:$T$206,8,0),IF(OR(BM18="Greeensky",BM18="CG..."),VLOOKUP(BQ18,[1]gia3!$D$7:$T$206,10,0),IF(OR(BM18="Đại Huu",BM18="Vietj Mỹ"),VLOOKUP(BQ18,[1]gia3!$D$7:$T$206,14,0) )))))</f>
        <v>#N/A</v>
      </c>
      <c r="BU18" s="119" t="e">
        <f>IF(OR(BM18="CG00047",BM18="Dong Duong",BM18="CG00073",BM18="CG00078",BM18="CG00045"),VLOOKUP(BQ18,[1]gia3!$D$7:$T$206,5,0),IF(OR(BM18="CG00088",BM18="CG00044",),VLOOKUP(BQ18,[1]gia3!$D$7:$T$206,7,0),IF(BM18="Đinh Gia",VLOOKUP(BQ18,[1]gia3!$D$7:$T$206,9,0),IF(OR(BM18="Greeensky",BM18="CG..."),VLOOKUP(BQ18,[1]gia3!$D$7:$T$206,11,0),IF(OR(BM18="Đại Huu",BM18="Vietj Mỹ"),VLOOKUP(BQ18,[1]gia3!$D$7:$T$206,15,0) )))))</f>
        <v>#N/A</v>
      </c>
      <c r="BV18" s="8" t="e">
        <f t="shared" si="45"/>
        <v>#N/A</v>
      </c>
      <c r="BX18" s="120" t="e">
        <f>VLOOKUP(BQ18,[2]gia3!$D$7:$W$256,19,0)</f>
        <v>#N/A</v>
      </c>
      <c r="BY18" s="95" t="str">
        <f t="shared" si="30"/>
        <v/>
      </c>
      <c r="BZ18" s="96" t="e">
        <f t="shared" si="46"/>
        <v>#VALUE!</v>
      </c>
    </row>
    <row r="19" spans="1:78" s="8" customFormat="1" ht="20.100000000000001" customHeight="1" x14ac:dyDescent="0.3">
      <c r="A19" s="97">
        <f>MAX($A$11:A18)+1</f>
        <v>8</v>
      </c>
      <c r="B19" s="98">
        <v>45483</v>
      </c>
      <c r="C19" s="97" t="s">
        <v>159</v>
      </c>
      <c r="D19" s="99" t="s">
        <v>160</v>
      </c>
      <c r="E19" s="100" t="s">
        <v>161</v>
      </c>
      <c r="F19" s="99" t="s">
        <v>162</v>
      </c>
      <c r="G19" s="99"/>
      <c r="H19" s="97" t="s">
        <v>132</v>
      </c>
      <c r="I19" s="97" t="s">
        <v>120</v>
      </c>
      <c r="J19" s="97"/>
      <c r="K19" s="101" t="s">
        <v>163</v>
      </c>
      <c r="L19" s="102" t="s">
        <v>164</v>
      </c>
      <c r="M19" s="103" t="str">
        <f t="shared" si="0"/>
        <v>Hoàng Sơn</v>
      </c>
      <c r="N19" s="104" t="s">
        <v>165</v>
      </c>
      <c r="O19" s="105" t="str">
        <f t="shared" si="31"/>
        <v>Lưu Xuân Thành</v>
      </c>
      <c r="P19" s="103" t="str">
        <f t="shared" si="1"/>
        <v>HS</v>
      </c>
      <c r="Q19" s="106" t="str">
        <f t="shared" si="2"/>
        <v>HS</v>
      </c>
      <c r="R19" s="103" t="s">
        <v>166</v>
      </c>
      <c r="S19" s="103" t="s">
        <v>137</v>
      </c>
      <c r="T19" s="107" t="s">
        <v>167</v>
      </c>
      <c r="U19" s="108">
        <v>23</v>
      </c>
      <c r="V19" s="109">
        <v>23</v>
      </c>
      <c r="W19" s="110">
        <v>200000</v>
      </c>
      <c r="X19" s="111">
        <f t="shared" si="3"/>
        <v>4600000</v>
      </c>
      <c r="Y19" s="106" t="s">
        <v>122</v>
      </c>
      <c r="Z19" s="106" t="str">
        <f t="shared" si="4"/>
        <v>OK/NO</v>
      </c>
      <c r="AA19" s="106" t="str">
        <f t="shared" si="32"/>
        <v>DKG</v>
      </c>
      <c r="AB19" s="112">
        <v>100000</v>
      </c>
      <c r="AC19" s="105" t="s">
        <v>120</v>
      </c>
      <c r="AD19" s="113">
        <f t="shared" si="5"/>
        <v>8</v>
      </c>
      <c r="AE19" s="113" t="str">
        <f t="shared" si="6"/>
        <v>HS</v>
      </c>
      <c r="AF19" s="114" t="str">
        <f t="shared" si="7"/>
        <v>DKG&lt;-&gt;Bãi Namtraco</v>
      </c>
      <c r="AG19" s="106" t="str">
        <f t="shared" si="33"/>
        <v>CX001</v>
      </c>
      <c r="AH19" s="106" t="str">
        <f t="shared" si="8"/>
        <v>15C-15237</v>
      </c>
      <c r="AI19" s="109">
        <f t="shared" si="9"/>
        <v>23</v>
      </c>
      <c r="AJ19" s="112">
        <f t="shared" si="9"/>
        <v>200000</v>
      </c>
      <c r="AK19" s="112">
        <f t="shared" si="9"/>
        <v>4600000</v>
      </c>
      <c r="AL19" s="106" t="str">
        <f t="shared" si="10"/>
        <v>DKG</v>
      </c>
      <c r="AM19" s="112">
        <f t="shared" si="10"/>
        <v>100000</v>
      </c>
      <c r="AN19" s="112">
        <f t="shared" si="34"/>
        <v>100000</v>
      </c>
      <c r="AO19" s="112">
        <f t="shared" si="11"/>
        <v>0</v>
      </c>
      <c r="AP19" s="105"/>
      <c r="AQ19" s="109">
        <f t="shared" si="12"/>
        <v>21.849999999999998</v>
      </c>
      <c r="AR19" s="109"/>
      <c r="AS19" s="112">
        <f t="shared" si="39"/>
        <v>36613.272311212815</v>
      </c>
      <c r="AT19" s="112">
        <f t="shared" si="40"/>
        <v>799999.99999999988</v>
      </c>
      <c r="AU19" s="112">
        <f t="shared" si="13"/>
        <v>3800000</v>
      </c>
      <c r="AV19" s="105" t="str">
        <f t="shared" si="14"/>
        <v/>
      </c>
      <c r="AW19" s="115">
        <f t="shared" si="15"/>
        <v>1.1500000000000021</v>
      </c>
      <c r="AX19" s="115"/>
      <c r="AY19" s="116">
        <f t="shared" si="16"/>
        <v>3304347.8260869505</v>
      </c>
      <c r="AZ19" s="116">
        <f t="shared" si="17"/>
        <v>3800000</v>
      </c>
      <c r="BA19" s="116">
        <f t="shared" si="18"/>
        <v>0</v>
      </c>
      <c r="BB19" s="117">
        <f t="shared" si="35"/>
        <v>512119</v>
      </c>
      <c r="BC19" s="117">
        <f t="shared" si="19"/>
        <v>511301</v>
      </c>
      <c r="BD19" s="117">
        <f t="shared" si="20"/>
        <v>5123</v>
      </c>
      <c r="BE19" s="117">
        <f t="shared" si="21"/>
        <v>0</v>
      </c>
      <c r="BF19" s="117">
        <f t="shared" si="22"/>
        <v>0</v>
      </c>
      <c r="BG19" s="117">
        <f t="shared" si="23"/>
        <v>15401</v>
      </c>
      <c r="BH19" s="118">
        <f t="shared" si="36"/>
        <v>6121119</v>
      </c>
      <c r="BI19" s="73" t="s">
        <v>124</v>
      </c>
      <c r="BJ19" s="73" t="str">
        <f t="shared" si="24"/>
        <v>TDG xe 15C-15237</v>
      </c>
      <c r="BK19" s="118" t="str">
        <f t="shared" si="25"/>
        <v>G</v>
      </c>
      <c r="BL19" s="74" t="str">
        <f t="shared" ca="1" si="37"/>
        <v/>
      </c>
      <c r="BM19" s="8" t="str">
        <f t="shared" si="41"/>
        <v>CG00044</v>
      </c>
      <c r="BN19" s="8" t="str">
        <f t="shared" si="38"/>
        <v/>
      </c>
      <c r="BO19" s="8" t="str">
        <f t="shared" si="42"/>
        <v>CG00044</v>
      </c>
      <c r="BP19" s="8" t="str">
        <f t="shared" si="42"/>
        <v>Công ty TNHH Thương mại và Sản xuất Trí Dũng (QOHN) 0905557788</v>
      </c>
      <c r="BQ19" s="8" t="str">
        <f t="shared" si="43"/>
        <v>DKG&lt;-&gt;Bãi Namtraco</v>
      </c>
      <c r="BS19" s="116">
        <f t="shared" si="44"/>
        <v>200000</v>
      </c>
      <c r="BT19" s="119" t="e">
        <f>IF(OR(BM19="CG00047",BM19="Dong Duong",BM19="CG00073",BM19="CG00078",BM19="CG00045"),VLOOKUP(BQ19,[1]gia3!$D$7:$T$206,4,0),IF(OR(BM19="CG00088",BM19="CG00044",),VLOOKUP(BQ19,[1]gia3!$D$7:$T$206,6,0),IF(BM19="Đinh Gia",VLOOKUP(BQ19,[1]gia3!$D$7:$T$206,8,0),IF(OR(BM19="Greeensky",BM19="CG..."),VLOOKUP(BQ19,[1]gia3!$D$7:$T$206,10,0),IF(OR(BM19="Đại Huu",BM19="Vietj Mỹ"),VLOOKUP(BQ19,[1]gia3!$D$7:$T$206,14,0) )))))</f>
        <v>#N/A</v>
      </c>
      <c r="BU19" s="119" t="e">
        <f>IF(OR(BM19="CG00047",BM19="Dong Duong",BM19="CG00073",BM19="CG00078",BM19="CG00045"),VLOOKUP(BQ19,[1]gia3!$D$7:$T$206,5,0),IF(OR(BM19="CG00088",BM19="CG00044",),VLOOKUP(BQ19,[1]gia3!$D$7:$T$206,7,0),IF(BM19="Đinh Gia",VLOOKUP(BQ19,[1]gia3!$D$7:$T$206,9,0),IF(OR(BM19="Greeensky",BM19="CG..."),VLOOKUP(BQ19,[1]gia3!$D$7:$T$206,11,0),IF(OR(BM19="Đại Huu",BM19="Vietj Mỹ"),VLOOKUP(BQ19,[1]gia3!$D$7:$T$206,15,0) )))))</f>
        <v>#N/A</v>
      </c>
      <c r="BV19" s="8" t="e">
        <f t="shared" si="45"/>
        <v>#N/A</v>
      </c>
      <c r="BX19" s="120" t="e">
        <f>VLOOKUP(BQ19,[2]gia3!$D$7:$W$256,19,0)</f>
        <v>#N/A</v>
      </c>
      <c r="BY19" s="95" t="str">
        <f t="shared" si="30"/>
        <v/>
      </c>
      <c r="BZ19" s="96" t="e">
        <f t="shared" si="46"/>
        <v>#VALUE!</v>
      </c>
    </row>
    <row r="20" spans="1:78" s="8" customFormat="1" ht="20.100000000000001" customHeight="1" x14ac:dyDescent="0.3">
      <c r="A20" s="97">
        <f>MAX($A$11:A19)+1</f>
        <v>9</v>
      </c>
      <c r="B20" s="98">
        <v>45483</v>
      </c>
      <c r="C20" s="97" t="s">
        <v>159</v>
      </c>
      <c r="D20" s="99" t="s">
        <v>160</v>
      </c>
      <c r="E20" s="100" t="s">
        <v>161</v>
      </c>
      <c r="F20" s="99" t="s">
        <v>162</v>
      </c>
      <c r="G20" s="99"/>
      <c r="H20" s="97" t="s">
        <v>132</v>
      </c>
      <c r="I20" s="97" t="s">
        <v>120</v>
      </c>
      <c r="J20" s="97"/>
      <c r="K20" s="101" t="s">
        <v>163</v>
      </c>
      <c r="L20" s="102" t="s">
        <v>164</v>
      </c>
      <c r="M20" s="103" t="str">
        <f t="shared" si="0"/>
        <v>Hoàng Sơn</v>
      </c>
      <c r="N20" s="104" t="s">
        <v>168</v>
      </c>
      <c r="O20" s="105" t="str">
        <f t="shared" si="31"/>
        <v>Đặng Thanh Sơn</v>
      </c>
      <c r="P20" s="103" t="str">
        <f t="shared" si="1"/>
        <v>HS</v>
      </c>
      <c r="Q20" s="106" t="str">
        <f t="shared" si="2"/>
        <v>HS</v>
      </c>
      <c r="R20" s="103" t="s">
        <v>166</v>
      </c>
      <c r="S20" s="103" t="s">
        <v>137</v>
      </c>
      <c r="T20" s="107" t="s">
        <v>167</v>
      </c>
      <c r="U20" s="108">
        <v>19</v>
      </c>
      <c r="V20" s="109">
        <v>23</v>
      </c>
      <c r="W20" s="110">
        <v>200000</v>
      </c>
      <c r="X20" s="111">
        <f t="shared" si="3"/>
        <v>4600000</v>
      </c>
      <c r="Y20" s="106" t="s">
        <v>122</v>
      </c>
      <c r="Z20" s="106" t="str">
        <f t="shared" si="4"/>
        <v>OK/NO</v>
      </c>
      <c r="AA20" s="106" t="str">
        <f t="shared" si="32"/>
        <v>DKG</v>
      </c>
      <c r="AB20" s="112">
        <v>100000</v>
      </c>
      <c r="AC20" s="105" t="s">
        <v>120</v>
      </c>
      <c r="AD20" s="113">
        <f t="shared" si="5"/>
        <v>9</v>
      </c>
      <c r="AE20" s="113" t="str">
        <f t="shared" si="6"/>
        <v>HS</v>
      </c>
      <c r="AF20" s="114" t="str">
        <f t="shared" si="7"/>
        <v>DKG&lt;-&gt;Bãi Namtraco</v>
      </c>
      <c r="AG20" s="106" t="str">
        <f t="shared" si="33"/>
        <v>CX001</v>
      </c>
      <c r="AH20" s="106" t="str">
        <f t="shared" si="8"/>
        <v>15C-13616</v>
      </c>
      <c r="AI20" s="109">
        <f t="shared" si="9"/>
        <v>23</v>
      </c>
      <c r="AJ20" s="112">
        <f t="shared" si="9"/>
        <v>200000</v>
      </c>
      <c r="AK20" s="112">
        <f t="shared" si="9"/>
        <v>4600000</v>
      </c>
      <c r="AL20" s="106" t="str">
        <f t="shared" si="10"/>
        <v>DKG</v>
      </c>
      <c r="AM20" s="112">
        <f t="shared" si="10"/>
        <v>100000</v>
      </c>
      <c r="AN20" s="112">
        <f t="shared" si="34"/>
        <v>100000</v>
      </c>
      <c r="AO20" s="112">
        <f t="shared" si="11"/>
        <v>0</v>
      </c>
      <c r="AP20" s="105"/>
      <c r="AQ20" s="109">
        <f t="shared" si="12"/>
        <v>21.849999999999998</v>
      </c>
      <c r="AR20" s="109"/>
      <c r="AS20" s="112">
        <f t="shared" si="39"/>
        <v>36613.272311212815</v>
      </c>
      <c r="AT20" s="112">
        <f t="shared" si="40"/>
        <v>799999.99999999988</v>
      </c>
      <c r="AU20" s="112">
        <f t="shared" si="13"/>
        <v>3800000</v>
      </c>
      <c r="AV20" s="105" t="str">
        <f t="shared" si="14"/>
        <v/>
      </c>
      <c r="AW20" s="115">
        <f t="shared" si="15"/>
        <v>1.1500000000000021</v>
      </c>
      <c r="AX20" s="115"/>
      <c r="AY20" s="116">
        <f t="shared" si="16"/>
        <v>3304347.8260869505</v>
      </c>
      <c r="AZ20" s="116">
        <f t="shared" si="17"/>
        <v>3800000</v>
      </c>
      <c r="BA20" s="116">
        <f t="shared" si="18"/>
        <v>0</v>
      </c>
      <c r="BB20" s="117">
        <f t="shared" si="35"/>
        <v>512117</v>
      </c>
      <c r="BC20" s="117">
        <f t="shared" si="19"/>
        <v>511301</v>
      </c>
      <c r="BD20" s="117">
        <f t="shared" si="20"/>
        <v>5123</v>
      </c>
      <c r="BE20" s="117">
        <f t="shared" si="21"/>
        <v>0</v>
      </c>
      <c r="BF20" s="117">
        <f t="shared" si="22"/>
        <v>0</v>
      </c>
      <c r="BG20" s="117">
        <f t="shared" si="23"/>
        <v>15401</v>
      </c>
      <c r="BH20" s="118">
        <f t="shared" si="36"/>
        <v>6121117</v>
      </c>
      <c r="BI20" s="73" t="s">
        <v>124</v>
      </c>
      <c r="BJ20" s="73" t="str">
        <f t="shared" si="24"/>
        <v>TDG xe 15C-13616</v>
      </c>
      <c r="BK20" s="118" t="str">
        <f t="shared" si="25"/>
        <v>G</v>
      </c>
      <c r="BL20" s="74" t="str">
        <f t="shared" ca="1" si="37"/>
        <v/>
      </c>
      <c r="BM20" s="8" t="str">
        <f t="shared" si="41"/>
        <v>CG00044</v>
      </c>
      <c r="BN20" s="8" t="str">
        <f t="shared" si="38"/>
        <v/>
      </c>
      <c r="BO20" s="8" t="str">
        <f t="shared" si="42"/>
        <v>CG00044</v>
      </c>
      <c r="BP20" s="8" t="str">
        <f t="shared" si="42"/>
        <v>Công ty TNHH Thương mại và Sản xuất Trí Dũng (QOHN) 0905557788</v>
      </c>
      <c r="BQ20" s="8" t="str">
        <f t="shared" si="43"/>
        <v>DKG&lt;-&gt;Bãi Namtraco</v>
      </c>
      <c r="BS20" s="116">
        <f t="shared" si="44"/>
        <v>200000</v>
      </c>
      <c r="BT20" s="119" t="e">
        <f>IF(OR(BM20="CG00047",BM20="Dong Duong",BM20="CG00073",BM20="CG00078",BM20="CG00045"),VLOOKUP(BQ20,[1]gia3!$D$7:$T$206,4,0),IF(OR(BM20="CG00088",BM20="CG00044",),VLOOKUP(BQ20,[1]gia3!$D$7:$T$206,6,0),IF(BM20="Đinh Gia",VLOOKUP(BQ20,[1]gia3!$D$7:$T$206,8,0),IF(OR(BM20="Greeensky",BM20="CG..."),VLOOKUP(BQ20,[1]gia3!$D$7:$T$206,10,0),IF(OR(BM20="Đại Huu",BM20="Vietj Mỹ"),VLOOKUP(BQ20,[1]gia3!$D$7:$T$206,14,0) )))))</f>
        <v>#N/A</v>
      </c>
      <c r="BU20" s="119" t="e">
        <f>IF(OR(BM20="CG00047",BM20="Dong Duong",BM20="CG00073",BM20="CG00078",BM20="CG00045"),VLOOKUP(BQ20,[1]gia3!$D$7:$T$206,5,0),IF(OR(BM20="CG00088",BM20="CG00044",),VLOOKUP(BQ20,[1]gia3!$D$7:$T$206,7,0),IF(BM20="Đinh Gia",VLOOKUP(BQ20,[1]gia3!$D$7:$T$206,9,0),IF(OR(BM20="Greeensky",BM20="CG..."),VLOOKUP(BQ20,[1]gia3!$D$7:$T$206,11,0),IF(OR(BM20="Đại Huu",BM20="Vietj Mỹ"),VLOOKUP(BQ20,[1]gia3!$D$7:$T$206,15,0) )))))</f>
        <v>#N/A</v>
      </c>
      <c r="BV20" s="8" t="e">
        <f t="shared" si="45"/>
        <v>#N/A</v>
      </c>
      <c r="BX20" s="120" t="e">
        <f>VLOOKUP(BQ20,[2]gia3!$D$7:$W$256,19,0)</f>
        <v>#N/A</v>
      </c>
      <c r="BY20" s="95" t="str">
        <f t="shared" si="30"/>
        <v/>
      </c>
      <c r="BZ20" s="96" t="e">
        <f t="shared" si="46"/>
        <v>#VALUE!</v>
      </c>
    </row>
    <row r="21" spans="1:78" s="8" customFormat="1" ht="20.100000000000001" customHeight="1" x14ac:dyDescent="0.3">
      <c r="A21" s="97">
        <f>MAX($A$11:A20)+1</f>
        <v>10</v>
      </c>
      <c r="B21" s="98">
        <v>45483</v>
      </c>
      <c r="C21" s="97" t="s">
        <v>159</v>
      </c>
      <c r="D21" s="99" t="s">
        <v>160</v>
      </c>
      <c r="E21" s="100" t="s">
        <v>161</v>
      </c>
      <c r="F21" s="99" t="s">
        <v>162</v>
      </c>
      <c r="G21" s="99"/>
      <c r="H21" s="97" t="s">
        <v>132</v>
      </c>
      <c r="I21" s="97" t="s">
        <v>120</v>
      </c>
      <c r="J21" s="97"/>
      <c r="K21" s="101" t="s">
        <v>163</v>
      </c>
      <c r="L21" s="102" t="s">
        <v>164</v>
      </c>
      <c r="M21" s="103" t="str">
        <f t="shared" si="0"/>
        <v>Hoàng Sơn</v>
      </c>
      <c r="N21" s="104" t="s">
        <v>168</v>
      </c>
      <c r="O21" s="105" t="str">
        <f t="shared" si="31"/>
        <v>Đặng Thanh Sơn</v>
      </c>
      <c r="P21" s="103" t="str">
        <f t="shared" si="1"/>
        <v>HS</v>
      </c>
      <c r="Q21" s="106" t="str">
        <f t="shared" si="2"/>
        <v>HS</v>
      </c>
      <c r="R21" s="103" t="s">
        <v>166</v>
      </c>
      <c r="S21" s="103" t="s">
        <v>137</v>
      </c>
      <c r="T21" s="107" t="s">
        <v>167</v>
      </c>
      <c r="U21" s="108">
        <v>23</v>
      </c>
      <c r="V21" s="109">
        <v>23</v>
      </c>
      <c r="W21" s="110">
        <v>200000</v>
      </c>
      <c r="X21" s="111">
        <f t="shared" si="3"/>
        <v>4600000</v>
      </c>
      <c r="Y21" s="106" t="s">
        <v>122</v>
      </c>
      <c r="Z21" s="106" t="str">
        <f t="shared" si="4"/>
        <v>OK/NO</v>
      </c>
      <c r="AA21" s="106" t="str">
        <f t="shared" si="32"/>
        <v>DKG</v>
      </c>
      <c r="AB21" s="112">
        <v>100000</v>
      </c>
      <c r="AC21" s="105" t="s">
        <v>120</v>
      </c>
      <c r="AD21" s="113">
        <f t="shared" si="5"/>
        <v>10</v>
      </c>
      <c r="AE21" s="113" t="str">
        <f t="shared" si="6"/>
        <v>HS</v>
      </c>
      <c r="AF21" s="114" t="str">
        <f t="shared" si="7"/>
        <v>DKG&lt;-&gt;Bãi Namtraco</v>
      </c>
      <c r="AG21" s="106" t="str">
        <f t="shared" si="33"/>
        <v>CX001</v>
      </c>
      <c r="AH21" s="106" t="str">
        <f t="shared" si="8"/>
        <v>15C-13616</v>
      </c>
      <c r="AI21" s="109">
        <f t="shared" si="9"/>
        <v>23</v>
      </c>
      <c r="AJ21" s="112">
        <f t="shared" si="9"/>
        <v>200000</v>
      </c>
      <c r="AK21" s="112">
        <f t="shared" si="9"/>
        <v>4600000</v>
      </c>
      <c r="AL21" s="106" t="str">
        <f t="shared" si="10"/>
        <v>DKG</v>
      </c>
      <c r="AM21" s="112">
        <f t="shared" si="10"/>
        <v>100000</v>
      </c>
      <c r="AN21" s="112">
        <f t="shared" si="34"/>
        <v>100000</v>
      </c>
      <c r="AO21" s="112">
        <f t="shared" si="11"/>
        <v>0</v>
      </c>
      <c r="AP21" s="105"/>
      <c r="AQ21" s="109">
        <f t="shared" si="12"/>
        <v>21.849999999999998</v>
      </c>
      <c r="AR21" s="109"/>
      <c r="AS21" s="112">
        <f t="shared" si="39"/>
        <v>36613.272311212815</v>
      </c>
      <c r="AT21" s="112">
        <f t="shared" si="40"/>
        <v>799999.99999999988</v>
      </c>
      <c r="AU21" s="112">
        <f t="shared" si="13"/>
        <v>3800000</v>
      </c>
      <c r="AV21" s="105" t="str">
        <f t="shared" si="14"/>
        <v/>
      </c>
      <c r="AW21" s="115">
        <f t="shared" si="15"/>
        <v>1.1500000000000021</v>
      </c>
      <c r="AX21" s="115"/>
      <c r="AY21" s="116">
        <f t="shared" si="16"/>
        <v>3304347.8260869505</v>
      </c>
      <c r="AZ21" s="116">
        <f t="shared" si="17"/>
        <v>3800000</v>
      </c>
      <c r="BA21" s="116">
        <f t="shared" si="18"/>
        <v>0</v>
      </c>
      <c r="BB21" s="117">
        <f t="shared" si="35"/>
        <v>512117</v>
      </c>
      <c r="BC21" s="117">
        <f t="shared" si="19"/>
        <v>511301</v>
      </c>
      <c r="BD21" s="117">
        <f t="shared" si="20"/>
        <v>5123</v>
      </c>
      <c r="BE21" s="117">
        <f t="shared" si="21"/>
        <v>0</v>
      </c>
      <c r="BF21" s="117">
        <f t="shared" si="22"/>
        <v>0</v>
      </c>
      <c r="BG21" s="117">
        <f t="shared" si="23"/>
        <v>15401</v>
      </c>
      <c r="BH21" s="118">
        <f t="shared" si="36"/>
        <v>6121117</v>
      </c>
      <c r="BI21" s="73" t="s">
        <v>124</v>
      </c>
      <c r="BJ21" s="73" t="str">
        <f t="shared" si="24"/>
        <v>TDG xe 15C-13616</v>
      </c>
      <c r="BK21" s="118" t="str">
        <f t="shared" si="25"/>
        <v>G</v>
      </c>
      <c r="BL21" s="74" t="str">
        <f t="shared" ca="1" si="37"/>
        <v/>
      </c>
      <c r="BM21" s="8" t="str">
        <f t="shared" si="41"/>
        <v>CG00044</v>
      </c>
      <c r="BN21" s="8" t="str">
        <f t="shared" si="38"/>
        <v/>
      </c>
      <c r="BO21" s="8" t="str">
        <f t="shared" si="42"/>
        <v>CG00044</v>
      </c>
      <c r="BP21" s="8" t="str">
        <f t="shared" si="42"/>
        <v>Công ty TNHH Thương mại và Sản xuất Trí Dũng (QOHN) 0905557788</v>
      </c>
      <c r="BQ21" s="8" t="str">
        <f t="shared" si="43"/>
        <v>DKG&lt;-&gt;Bãi Namtraco</v>
      </c>
      <c r="BS21" s="116">
        <f t="shared" si="44"/>
        <v>200000</v>
      </c>
      <c r="BT21" s="119" t="e">
        <f>IF(OR(BM21="CG00047",BM21="Dong Duong",BM21="CG00073",BM21="CG00078",BM21="CG00045"),VLOOKUP(BQ21,[1]gia3!$D$7:$T$206,4,0),IF(OR(BM21="CG00088",BM21="CG00044",),VLOOKUP(BQ21,[1]gia3!$D$7:$T$206,6,0),IF(BM21="Đinh Gia",VLOOKUP(BQ21,[1]gia3!$D$7:$T$206,8,0),IF(OR(BM21="Greeensky",BM21="CG..."),VLOOKUP(BQ21,[1]gia3!$D$7:$T$206,10,0),IF(OR(BM21="Đại Huu",BM21="Vietj Mỹ"),VLOOKUP(BQ21,[1]gia3!$D$7:$T$206,14,0) )))))</f>
        <v>#N/A</v>
      </c>
      <c r="BU21" s="119" t="e">
        <f>IF(OR(BM21="CG00047",BM21="Dong Duong",BM21="CG00073",BM21="CG00078",BM21="CG00045"),VLOOKUP(BQ21,[1]gia3!$D$7:$T$206,5,0),IF(OR(BM21="CG00088",BM21="CG00044",),VLOOKUP(BQ21,[1]gia3!$D$7:$T$206,7,0),IF(BM21="Đinh Gia",VLOOKUP(BQ21,[1]gia3!$D$7:$T$206,9,0),IF(OR(BM21="Greeensky",BM21="CG..."),VLOOKUP(BQ21,[1]gia3!$D$7:$T$206,11,0),IF(OR(BM21="Đại Huu",BM21="Vietj Mỹ"),VLOOKUP(BQ21,[1]gia3!$D$7:$T$206,15,0) )))))</f>
        <v>#N/A</v>
      </c>
      <c r="BV21" s="8" t="e">
        <f t="shared" si="45"/>
        <v>#N/A</v>
      </c>
      <c r="BX21" s="120" t="e">
        <f>VLOOKUP(BQ21,[2]gia3!$D$7:$W$256,19,0)</f>
        <v>#N/A</v>
      </c>
      <c r="BY21" s="95" t="str">
        <f t="shared" si="30"/>
        <v/>
      </c>
      <c r="BZ21" s="96" t="e">
        <f t="shared" si="46"/>
        <v>#VALUE!</v>
      </c>
    </row>
    <row r="22" spans="1:78" s="8" customFormat="1" ht="20.100000000000001" customHeight="1" x14ac:dyDescent="0.3">
      <c r="A22" s="97">
        <f>MAX($A$11:A21)+1</f>
        <v>11</v>
      </c>
      <c r="B22" s="98">
        <v>45483</v>
      </c>
      <c r="C22" s="97" t="s">
        <v>169</v>
      </c>
      <c r="D22" s="99" t="s">
        <v>170</v>
      </c>
      <c r="E22" s="100" t="s">
        <v>171</v>
      </c>
      <c r="F22" s="99" t="s">
        <v>172</v>
      </c>
      <c r="G22" s="99"/>
      <c r="H22" s="97" t="s">
        <v>173</v>
      </c>
      <c r="I22" s="97"/>
      <c r="J22" s="97"/>
      <c r="K22" s="101" t="s">
        <v>174</v>
      </c>
      <c r="L22" s="102" t="s">
        <v>175</v>
      </c>
      <c r="M22" s="103" t="str">
        <f t="shared" si="0"/>
        <v>Hoàng Sơn</v>
      </c>
      <c r="N22" s="104" t="s">
        <v>176</v>
      </c>
      <c r="O22" s="105" t="str">
        <f t="shared" si="31"/>
        <v>Vũ Đức Chiến</v>
      </c>
      <c r="P22" s="103" t="str">
        <f t="shared" si="1"/>
        <v>CT</v>
      </c>
      <c r="Q22" s="106" t="str">
        <f t="shared" si="2"/>
        <v>CT</v>
      </c>
      <c r="R22" s="103">
        <v>0</v>
      </c>
      <c r="S22" s="103" t="s">
        <v>120</v>
      </c>
      <c r="T22" s="107" t="s">
        <v>177</v>
      </c>
      <c r="U22" s="108">
        <v>3</v>
      </c>
      <c r="V22" s="109">
        <f t="shared" ref="V22:V23" si="47">(1556.713+56.738-8.795)/255*U22</f>
        <v>18.87830588235294</v>
      </c>
      <c r="W22" s="110">
        <v>50000</v>
      </c>
      <c r="X22" s="111">
        <f t="shared" si="3"/>
        <v>943915.29411764699</v>
      </c>
      <c r="Y22" s="106" t="s">
        <v>122</v>
      </c>
      <c r="Z22" s="106" t="str">
        <f t="shared" si="4"/>
        <v>OK/NO</v>
      </c>
      <c r="AA22" s="106" t="str">
        <f t="shared" si="32"/>
        <v>DKG</v>
      </c>
      <c r="AB22" s="112">
        <v>100000</v>
      </c>
      <c r="AC22" s="105" t="s">
        <v>178</v>
      </c>
      <c r="AD22" s="113">
        <f t="shared" si="5"/>
        <v>11</v>
      </c>
      <c r="AE22" s="113" t="str">
        <f t="shared" si="6"/>
        <v>CT</v>
      </c>
      <c r="AF22" s="114" t="str">
        <f t="shared" si="7"/>
        <v>DKG&lt;-&gt;Chuyển tải CHP-HS</v>
      </c>
      <c r="AG22" s="106" t="str">
        <f t="shared" si="33"/>
        <v>CX001</v>
      </c>
      <c r="AH22" s="106" t="str">
        <f t="shared" si="8"/>
        <v>15C-13368</v>
      </c>
      <c r="AI22" s="109">
        <f t="shared" si="9"/>
        <v>18.87830588235294</v>
      </c>
      <c r="AJ22" s="112">
        <f t="shared" si="9"/>
        <v>50000</v>
      </c>
      <c r="AK22" s="112">
        <f t="shared" si="9"/>
        <v>943915.29411764699</v>
      </c>
      <c r="AL22" s="106" t="str">
        <f t="shared" si="10"/>
        <v>DKG</v>
      </c>
      <c r="AM22" s="112">
        <f t="shared" si="10"/>
        <v>100000</v>
      </c>
      <c r="AN22" s="112">
        <f t="shared" si="34"/>
        <v>100000</v>
      </c>
      <c r="AO22" s="112">
        <f t="shared" si="11"/>
        <v>0</v>
      </c>
      <c r="AP22" s="105"/>
      <c r="AQ22" s="109">
        <f t="shared" si="12"/>
        <v>17.934390588235292</v>
      </c>
      <c r="AR22" s="109"/>
      <c r="AS22" s="112">
        <f t="shared" si="39"/>
        <v>27879.397269734549</v>
      </c>
      <c r="AT22" s="112">
        <f t="shared" si="40"/>
        <v>500000</v>
      </c>
      <c r="AU22" s="112">
        <f t="shared" si="13"/>
        <v>443915.29411764699</v>
      </c>
      <c r="AV22" s="105" t="str">
        <f t="shared" si="14"/>
        <v>Phúc Tâm</v>
      </c>
      <c r="AW22" s="115">
        <f t="shared" si="15"/>
        <v>0.94391529411764807</v>
      </c>
      <c r="AX22" s="115"/>
      <c r="AY22" s="116">
        <f t="shared" si="16"/>
        <v>470291.45187504304</v>
      </c>
      <c r="AZ22" s="116">
        <f t="shared" si="17"/>
        <v>443915.29411764699</v>
      </c>
      <c r="BA22" s="116">
        <f t="shared" si="18"/>
        <v>0</v>
      </c>
      <c r="BB22" s="117">
        <f t="shared" si="35"/>
        <v>512135</v>
      </c>
      <c r="BC22" s="117">
        <f t="shared" si="19"/>
        <v>511301</v>
      </c>
      <c r="BD22" s="117">
        <f t="shared" si="20"/>
        <v>5123</v>
      </c>
      <c r="BE22" s="117">
        <f t="shared" si="21"/>
        <v>0</v>
      </c>
      <c r="BF22" s="117">
        <f t="shared" si="22"/>
        <v>0</v>
      </c>
      <c r="BG22" s="117">
        <f t="shared" si="23"/>
        <v>15401</v>
      </c>
      <c r="BH22" s="118">
        <f t="shared" si="36"/>
        <v>6121135</v>
      </c>
      <c r="BI22" s="73" t="s">
        <v>124</v>
      </c>
      <c r="BJ22" s="73" t="str">
        <f t="shared" si="24"/>
        <v>TDG xe 15C-13368</v>
      </c>
      <c r="BK22" s="118" t="str">
        <f t="shared" si="25"/>
        <v>G</v>
      </c>
      <c r="BL22" s="74" t="str">
        <f t="shared" ca="1" si="37"/>
        <v/>
      </c>
      <c r="BM22" s="8" t="str">
        <f t="shared" si="41"/>
        <v>CG00024</v>
      </c>
      <c r="BN22" s="8">
        <f t="shared" si="38"/>
        <v>0</v>
      </c>
      <c r="BO22" s="8" t="str">
        <f t="shared" si="42"/>
        <v>CG00024</v>
      </c>
      <c r="BP22" s="8" t="str">
        <f t="shared" si="42"/>
        <v>Công ty TNHH XNK và Thương mại Phúc Tâm (HDHN) 0913074797</v>
      </c>
      <c r="BQ22" s="8" t="str">
        <f t="shared" si="43"/>
        <v>DKG&lt;-&gt;Chuyển tải CHP-HS</v>
      </c>
      <c r="BS22" s="116">
        <f t="shared" si="44"/>
        <v>50000</v>
      </c>
      <c r="BT22" s="119" t="b">
        <f>IF(OR(BM22="CG00047",BM22="Dong Duong",BM22="CG00073",BM22="CG00078",BM22="CG00045"),VLOOKUP(BQ22,[3]gia3!$D$7:$T$206,4,0),IF(OR(BM22="CG00088",BM22="CG00044",),VLOOKUP(BQ22,[3]gia3!$D$7:$T$206,6,0),IF(BM22="Đinh Gia",VLOOKUP(BQ22,[3]gia3!$D$7:$T$206,8,0),IF(OR(BM22="Greeensky",BM22="CG..."),VLOOKUP(BQ22,[3]gia3!$D$7:$T$206,10,0),IF(OR(BM22="Đại Huu",BM22="Vietj Mỹ"),VLOOKUP(BQ22,[3]gia3!$D$7:$T$206,14,0) )))))</f>
        <v>0</v>
      </c>
      <c r="BU22" s="119" t="b">
        <f>IF(OR(BM22="CG00047",BM22="Dong Duong",BM22="CG00073",BM22="CG00078",BM22="CG00045"),VLOOKUP(BQ22,[3]gia3!$D$7:$T$206,5,0),IF(OR(BM22="CG00088",BM22="CG00044",),VLOOKUP(BQ22,[3]gia3!$D$7:$T$206,7,0),IF(BM22="Đinh Gia",VLOOKUP(BQ22,[3]gia3!$D$7:$T$206,9,0),IF(OR(BM22="Greeensky",BM22="CG..."),VLOOKUP(BQ22,[3]gia3!$D$7:$T$206,11,0),IF(OR(BM22="Đại Huu",BM22="Vietj Mỹ"),VLOOKUP(BQ22,[3]gia3!$D$7:$T$206,15,0) )))))</f>
        <v>0</v>
      </c>
      <c r="BV22" s="8" t="str">
        <f t="shared" si="45"/>
        <v>saiiiiiiiiiiiiiiiii</v>
      </c>
      <c r="BX22" s="120" t="e">
        <f>VLOOKUP(BQ22,[2]gia3!$D$7:$W$256,19,0)</f>
        <v>#N/A</v>
      </c>
      <c r="BY22" s="95" t="e">
        <f t="shared" si="30"/>
        <v>#N/A</v>
      </c>
      <c r="BZ22" s="96" t="e">
        <f t="shared" si="46"/>
        <v>#N/A</v>
      </c>
    </row>
    <row r="23" spans="1:78" ht="21.9" customHeight="1" x14ac:dyDescent="0.3">
      <c r="A23" s="97">
        <f>MAX($A$11:A22)+1</f>
        <v>12</v>
      </c>
      <c r="B23" s="98">
        <v>45483</v>
      </c>
      <c r="C23" s="97" t="s">
        <v>169</v>
      </c>
      <c r="D23" s="99" t="s">
        <v>170</v>
      </c>
      <c r="E23" s="100" t="s">
        <v>171</v>
      </c>
      <c r="F23" s="99" t="s">
        <v>172</v>
      </c>
      <c r="G23" s="99"/>
      <c r="H23" s="97" t="s">
        <v>173</v>
      </c>
      <c r="I23" s="97"/>
      <c r="J23" s="97"/>
      <c r="K23" s="101" t="s">
        <v>174</v>
      </c>
      <c r="L23" s="102" t="s">
        <v>175</v>
      </c>
      <c r="M23" s="103" t="str">
        <f t="shared" si="0"/>
        <v>Hoàng Sơn</v>
      </c>
      <c r="N23" s="104" t="s">
        <v>165</v>
      </c>
      <c r="O23" s="105" t="str">
        <f t="shared" si="31"/>
        <v>Lưu Xuân Thành</v>
      </c>
      <c r="P23" s="103" t="str">
        <f t="shared" si="1"/>
        <v>CT</v>
      </c>
      <c r="Q23" s="106" t="str">
        <f t="shared" si="2"/>
        <v>CT</v>
      </c>
      <c r="R23" s="103">
        <v>0</v>
      </c>
      <c r="S23" s="103" t="s">
        <v>120</v>
      </c>
      <c r="T23" s="107" t="s">
        <v>177</v>
      </c>
      <c r="U23" s="108">
        <v>3</v>
      </c>
      <c r="V23" s="109">
        <f t="shared" si="47"/>
        <v>18.87830588235294</v>
      </c>
      <c r="W23" s="110">
        <v>50000</v>
      </c>
      <c r="X23" s="111">
        <f t="shared" si="3"/>
        <v>943915.29411764699</v>
      </c>
      <c r="Y23" s="106" t="s">
        <v>122</v>
      </c>
      <c r="Z23" s="106" t="str">
        <f t="shared" si="4"/>
        <v>OK/NO</v>
      </c>
      <c r="AA23" s="106" t="str">
        <f t="shared" si="32"/>
        <v>DKG</v>
      </c>
      <c r="AB23" s="112">
        <v>100000</v>
      </c>
      <c r="AC23" s="105" t="s">
        <v>178</v>
      </c>
      <c r="AD23" s="113">
        <f t="shared" si="5"/>
        <v>12</v>
      </c>
      <c r="AE23" s="113" t="str">
        <f t="shared" si="6"/>
        <v>CT</v>
      </c>
      <c r="AF23" s="114" t="str">
        <f t="shared" si="7"/>
        <v>DKG&lt;-&gt;Chuyển tải CHP-HS</v>
      </c>
      <c r="AG23" s="106" t="str">
        <f t="shared" si="33"/>
        <v>CX001</v>
      </c>
      <c r="AH23" s="106" t="str">
        <f t="shared" si="8"/>
        <v>15C-15237</v>
      </c>
      <c r="AI23" s="109">
        <f t="shared" si="9"/>
        <v>18.87830588235294</v>
      </c>
      <c r="AJ23" s="112">
        <f t="shared" si="9"/>
        <v>50000</v>
      </c>
      <c r="AK23" s="112">
        <f t="shared" si="9"/>
        <v>943915.29411764699</v>
      </c>
      <c r="AL23" s="106" t="str">
        <f t="shared" si="10"/>
        <v>DKG</v>
      </c>
      <c r="AM23" s="112">
        <f t="shared" si="10"/>
        <v>100000</v>
      </c>
      <c r="AN23" s="112">
        <f t="shared" si="34"/>
        <v>100000</v>
      </c>
      <c r="AO23" s="112">
        <f t="shared" si="11"/>
        <v>0</v>
      </c>
      <c r="AP23" s="105"/>
      <c r="AQ23" s="109">
        <f t="shared" si="12"/>
        <v>17.934390588235292</v>
      </c>
      <c r="AR23" s="109"/>
      <c r="AS23" s="112">
        <f t="shared" si="39"/>
        <v>27879.397269734549</v>
      </c>
      <c r="AT23" s="112">
        <f t="shared" si="40"/>
        <v>500000</v>
      </c>
      <c r="AU23" s="112">
        <f t="shared" si="13"/>
        <v>443915.29411764699</v>
      </c>
      <c r="AV23" s="105" t="str">
        <f t="shared" si="14"/>
        <v>Phúc Tâm</v>
      </c>
      <c r="AW23" s="115">
        <f t="shared" si="15"/>
        <v>0.94391529411764807</v>
      </c>
      <c r="AX23" s="115"/>
      <c r="AY23" s="116">
        <f t="shared" si="16"/>
        <v>470291.45187504304</v>
      </c>
      <c r="AZ23" s="116">
        <f t="shared" si="17"/>
        <v>443915.29411764699</v>
      </c>
      <c r="BA23" s="116">
        <f t="shared" si="18"/>
        <v>0</v>
      </c>
      <c r="BB23" s="117">
        <f t="shared" si="35"/>
        <v>512119</v>
      </c>
      <c r="BC23" s="117">
        <f t="shared" si="19"/>
        <v>511301</v>
      </c>
      <c r="BD23" s="117">
        <f t="shared" si="20"/>
        <v>5123</v>
      </c>
      <c r="BE23" s="117">
        <f t="shared" si="21"/>
        <v>0</v>
      </c>
      <c r="BF23" s="117">
        <f t="shared" si="22"/>
        <v>0</v>
      </c>
      <c r="BG23" s="117">
        <f t="shared" si="23"/>
        <v>15401</v>
      </c>
      <c r="BH23" s="118">
        <f t="shared" si="36"/>
        <v>6121119</v>
      </c>
      <c r="BI23" s="73" t="s">
        <v>124</v>
      </c>
      <c r="BJ23" s="73" t="str">
        <f t="shared" si="24"/>
        <v>TDG xe 15C-15237</v>
      </c>
    </row>
    <row r="24" spans="1:78" ht="21.9" customHeight="1" x14ac:dyDescent="0.3">
      <c r="A24" s="97">
        <f>MAX($A$11:A23)+1</f>
        <v>13</v>
      </c>
      <c r="B24" s="98">
        <v>45483</v>
      </c>
      <c r="C24" s="97" t="s">
        <v>169</v>
      </c>
      <c r="D24" s="99" t="s">
        <v>170</v>
      </c>
      <c r="E24" s="100" t="s">
        <v>171</v>
      </c>
      <c r="F24" s="99" t="s">
        <v>172</v>
      </c>
      <c r="G24" s="99"/>
      <c r="H24" s="97" t="s">
        <v>173</v>
      </c>
      <c r="I24" s="97"/>
      <c r="J24" s="97"/>
      <c r="K24" s="101" t="s">
        <v>174</v>
      </c>
      <c r="L24" s="102" t="s">
        <v>175</v>
      </c>
      <c r="M24" s="103" t="str">
        <f t="shared" si="0"/>
        <v>Hoàng Sơn</v>
      </c>
      <c r="N24" s="104" t="s">
        <v>176</v>
      </c>
      <c r="O24" s="105" t="str">
        <f t="shared" si="31"/>
        <v>Vũ Đức Chiến</v>
      </c>
      <c r="P24" s="103" t="str">
        <f t="shared" si="1"/>
        <v>CT</v>
      </c>
      <c r="Q24" s="106" t="str">
        <f t="shared" si="2"/>
        <v>CT</v>
      </c>
      <c r="R24" s="103">
        <v>0</v>
      </c>
      <c r="S24" s="103" t="s">
        <v>120</v>
      </c>
      <c r="T24" s="107" t="s">
        <v>177</v>
      </c>
      <c r="U24" s="108">
        <v>5</v>
      </c>
      <c r="V24" s="109">
        <f>(1556.713+56.738-8.795)/255*U24</f>
        <v>31.463843137254898</v>
      </c>
      <c r="W24" s="110">
        <v>50000</v>
      </c>
      <c r="X24" s="111">
        <f t="shared" si="3"/>
        <v>1573192.1568627448</v>
      </c>
      <c r="Y24" s="106" t="s">
        <v>122</v>
      </c>
      <c r="Z24" s="106" t="str">
        <f t="shared" si="4"/>
        <v>OK/NO</v>
      </c>
      <c r="AA24" s="106" t="str">
        <f t="shared" si="32"/>
        <v>DKG</v>
      </c>
      <c r="AB24" s="112">
        <v>100000</v>
      </c>
      <c r="AC24" s="105" t="s">
        <v>178</v>
      </c>
      <c r="AD24" s="113">
        <f t="shared" si="5"/>
        <v>13</v>
      </c>
      <c r="AE24" s="113" t="str">
        <f t="shared" si="6"/>
        <v>CT</v>
      </c>
      <c r="AF24" s="114" t="str">
        <f t="shared" si="7"/>
        <v>DKG&lt;-&gt;Chuyển tải CHP-HS</v>
      </c>
      <c r="AG24" s="106" t="str">
        <f t="shared" si="33"/>
        <v>CX001</v>
      </c>
      <c r="AH24" s="106" t="str">
        <f t="shared" si="8"/>
        <v>15C-13368</v>
      </c>
      <c r="AI24" s="109">
        <f t="shared" si="9"/>
        <v>31.463843137254898</v>
      </c>
      <c r="AJ24" s="112">
        <f t="shared" si="9"/>
        <v>50000</v>
      </c>
      <c r="AK24" s="112">
        <f t="shared" si="9"/>
        <v>1573192.1568627448</v>
      </c>
      <c r="AL24" s="106" t="str">
        <f t="shared" si="10"/>
        <v>DKG</v>
      </c>
      <c r="AM24" s="112">
        <f t="shared" si="10"/>
        <v>100000</v>
      </c>
      <c r="AN24" s="112">
        <f t="shared" si="34"/>
        <v>100000</v>
      </c>
      <c r="AO24" s="112">
        <f t="shared" si="11"/>
        <v>0</v>
      </c>
      <c r="AP24" s="105"/>
      <c r="AQ24" s="109">
        <f t="shared" si="12"/>
        <v>29.890650980392152</v>
      </c>
      <c r="AR24" s="109"/>
      <c r="AS24" s="112">
        <f t="shared" si="39"/>
        <v>16727.638361840731</v>
      </c>
      <c r="AT24" s="112">
        <f t="shared" si="40"/>
        <v>500000</v>
      </c>
      <c r="AU24" s="112">
        <f t="shared" si="13"/>
        <v>1073192.1568627448</v>
      </c>
      <c r="AV24" s="105" t="str">
        <f t="shared" si="14"/>
        <v>Phúc Tâm</v>
      </c>
      <c r="AW24" s="115">
        <f t="shared" si="15"/>
        <v>1.5731921568627456</v>
      </c>
      <c r="AX24" s="115"/>
      <c r="AY24" s="116">
        <f t="shared" si="16"/>
        <v>682174.87112502579</v>
      </c>
      <c r="AZ24" s="116">
        <f t="shared" si="17"/>
        <v>1073192.1568627448</v>
      </c>
      <c r="BA24" s="116">
        <f t="shared" si="18"/>
        <v>0</v>
      </c>
      <c r="BB24" s="117">
        <f t="shared" si="35"/>
        <v>512135</v>
      </c>
      <c r="BC24" s="117">
        <f t="shared" si="19"/>
        <v>511301</v>
      </c>
      <c r="BD24" s="117">
        <f t="shared" si="20"/>
        <v>5123</v>
      </c>
      <c r="BE24" s="117">
        <f t="shared" si="21"/>
        <v>0</v>
      </c>
      <c r="BF24" s="117">
        <f t="shared" si="22"/>
        <v>0</v>
      </c>
      <c r="BG24" s="117">
        <f t="shared" si="23"/>
        <v>15401</v>
      </c>
      <c r="BH24" s="118">
        <f t="shared" si="36"/>
        <v>6121135</v>
      </c>
      <c r="BI24" s="73" t="s">
        <v>124</v>
      </c>
      <c r="BJ24" s="73" t="str">
        <f t="shared" si="24"/>
        <v>TDG xe 15C-13368</v>
      </c>
    </row>
    <row r="25" spans="1:78" ht="21.9" customHeight="1" x14ac:dyDescent="0.3">
      <c r="A25" s="97">
        <f>MAX($A$11:A24)+1</f>
        <v>14</v>
      </c>
      <c r="B25" s="98">
        <v>45483</v>
      </c>
      <c r="C25" s="97" t="s">
        <v>169</v>
      </c>
      <c r="D25" s="99" t="s">
        <v>170</v>
      </c>
      <c r="E25" s="100" t="s">
        <v>171</v>
      </c>
      <c r="F25" s="99" t="s">
        <v>172</v>
      </c>
      <c r="G25" s="99"/>
      <c r="H25" s="97" t="s">
        <v>173</v>
      </c>
      <c r="I25" s="97"/>
      <c r="J25" s="97"/>
      <c r="K25" s="101" t="s">
        <v>174</v>
      </c>
      <c r="L25" s="102" t="s">
        <v>175</v>
      </c>
      <c r="M25" s="103" t="str">
        <f t="shared" si="0"/>
        <v>Hoàng Sơn</v>
      </c>
      <c r="N25" s="104" t="s">
        <v>128</v>
      </c>
      <c r="O25" s="105" t="str">
        <f t="shared" si="31"/>
        <v>Lê Anh Tân</v>
      </c>
      <c r="P25" s="103" t="str">
        <f t="shared" si="1"/>
        <v>CT</v>
      </c>
      <c r="Q25" s="106" t="str">
        <f t="shared" si="2"/>
        <v>CT</v>
      </c>
      <c r="R25" s="103">
        <v>0</v>
      </c>
      <c r="S25" s="103" t="s">
        <v>120</v>
      </c>
      <c r="T25" s="107" t="s">
        <v>177</v>
      </c>
      <c r="U25" s="108">
        <v>5</v>
      </c>
      <c r="V25" s="109">
        <f t="shared" ref="V25:V31" si="48">(1556.713+56.738-8.795)/255*U25</f>
        <v>31.463843137254898</v>
      </c>
      <c r="W25" s="110">
        <v>50000</v>
      </c>
      <c r="X25" s="111">
        <f t="shared" si="3"/>
        <v>1573192.1568627448</v>
      </c>
      <c r="Y25" s="106" t="s">
        <v>122</v>
      </c>
      <c r="Z25" s="106" t="str">
        <f t="shared" si="4"/>
        <v>OK/NO</v>
      </c>
      <c r="AA25" s="106" t="str">
        <f t="shared" si="32"/>
        <v>DKG</v>
      </c>
      <c r="AB25" s="112">
        <v>100000</v>
      </c>
      <c r="AC25" s="105" t="s">
        <v>178</v>
      </c>
      <c r="AD25" s="113">
        <f t="shared" si="5"/>
        <v>14</v>
      </c>
      <c r="AE25" s="113" t="str">
        <f t="shared" si="6"/>
        <v>CT</v>
      </c>
      <c r="AF25" s="114" t="str">
        <f t="shared" si="7"/>
        <v>DKG&lt;-&gt;Chuyển tải CHP-HS</v>
      </c>
      <c r="AG25" s="106" t="str">
        <f t="shared" si="33"/>
        <v>CX001</v>
      </c>
      <c r="AH25" s="106" t="str">
        <f t="shared" si="8"/>
        <v>15C-13969</v>
      </c>
      <c r="AI25" s="109">
        <f t="shared" si="9"/>
        <v>31.463843137254898</v>
      </c>
      <c r="AJ25" s="112">
        <f t="shared" si="9"/>
        <v>50000</v>
      </c>
      <c r="AK25" s="112">
        <f t="shared" si="9"/>
        <v>1573192.1568627448</v>
      </c>
      <c r="AL25" s="106" t="str">
        <f t="shared" si="10"/>
        <v>DKG</v>
      </c>
      <c r="AM25" s="112">
        <f t="shared" si="10"/>
        <v>100000</v>
      </c>
      <c r="AN25" s="112">
        <f t="shared" si="34"/>
        <v>100000</v>
      </c>
      <c r="AO25" s="112">
        <f t="shared" si="11"/>
        <v>0</v>
      </c>
      <c r="AP25" s="105"/>
      <c r="AQ25" s="109">
        <f t="shared" si="12"/>
        <v>29.890650980392152</v>
      </c>
      <c r="AR25" s="109"/>
      <c r="AS25" s="112">
        <f t="shared" si="39"/>
        <v>16727.638361840731</v>
      </c>
      <c r="AT25" s="112">
        <f t="shared" si="40"/>
        <v>500000</v>
      </c>
      <c r="AU25" s="112">
        <f t="shared" si="13"/>
        <v>1073192.1568627448</v>
      </c>
      <c r="AV25" s="105" t="str">
        <f t="shared" si="14"/>
        <v>Phúc Tâm</v>
      </c>
      <c r="AW25" s="115">
        <f t="shared" si="15"/>
        <v>1.5731921568627456</v>
      </c>
      <c r="AX25" s="115"/>
      <c r="AY25" s="116">
        <f t="shared" si="16"/>
        <v>682174.87112502579</v>
      </c>
      <c r="AZ25" s="116">
        <f t="shared" si="17"/>
        <v>1073192.1568627448</v>
      </c>
      <c r="BA25" s="116">
        <f t="shared" si="18"/>
        <v>0</v>
      </c>
      <c r="BB25" s="117">
        <f t="shared" si="35"/>
        <v>512138</v>
      </c>
      <c r="BC25" s="117">
        <f t="shared" si="19"/>
        <v>511301</v>
      </c>
      <c r="BD25" s="117">
        <f t="shared" si="20"/>
        <v>5123</v>
      </c>
      <c r="BE25" s="117">
        <f t="shared" si="21"/>
        <v>0</v>
      </c>
      <c r="BF25" s="117">
        <f t="shared" si="22"/>
        <v>0</v>
      </c>
      <c r="BG25" s="117">
        <f t="shared" si="23"/>
        <v>15401</v>
      </c>
      <c r="BH25" s="118">
        <f t="shared" si="36"/>
        <v>6121138</v>
      </c>
      <c r="BI25" s="73" t="s">
        <v>124</v>
      </c>
      <c r="BJ25" s="73" t="str">
        <f t="shared" si="24"/>
        <v>TDG xe 15C-13969</v>
      </c>
    </row>
    <row r="26" spans="1:78" ht="21.9" customHeight="1" x14ac:dyDescent="0.3">
      <c r="A26" s="97">
        <f>MAX($A$11:A25)+1</f>
        <v>15</v>
      </c>
      <c r="B26" s="98">
        <v>45483</v>
      </c>
      <c r="C26" s="97" t="s">
        <v>169</v>
      </c>
      <c r="D26" s="99" t="s">
        <v>170</v>
      </c>
      <c r="E26" s="100" t="s">
        <v>171</v>
      </c>
      <c r="F26" s="99" t="s">
        <v>172</v>
      </c>
      <c r="G26" s="99"/>
      <c r="H26" s="97" t="s">
        <v>173</v>
      </c>
      <c r="I26" s="97"/>
      <c r="J26" s="97"/>
      <c r="K26" s="101" t="s">
        <v>174</v>
      </c>
      <c r="L26" s="102" t="s">
        <v>175</v>
      </c>
      <c r="M26" s="103" t="str">
        <f t="shared" si="0"/>
        <v>Yến Tuân</v>
      </c>
      <c r="N26" s="104" t="s">
        <v>179</v>
      </c>
      <c r="O26" s="105" t="str">
        <f t="shared" si="31"/>
        <v>Ngụy Văn Toàn</v>
      </c>
      <c r="P26" s="103" t="str">
        <f t="shared" si="1"/>
        <v>CT</v>
      </c>
      <c r="Q26" s="106" t="str">
        <f t="shared" si="2"/>
        <v>CT</v>
      </c>
      <c r="R26" s="103">
        <v>0</v>
      </c>
      <c r="S26" s="103" t="s">
        <v>120</v>
      </c>
      <c r="T26" s="107" t="s">
        <v>177</v>
      </c>
      <c r="U26" s="108">
        <v>6</v>
      </c>
      <c r="V26" s="109">
        <f t="shared" si="48"/>
        <v>37.75661176470588</v>
      </c>
      <c r="W26" s="110">
        <v>50000</v>
      </c>
      <c r="X26" s="111">
        <f t="shared" si="3"/>
        <v>1887830.588235294</v>
      </c>
      <c r="Y26" s="106" t="s">
        <v>122</v>
      </c>
      <c r="Z26" s="106" t="str">
        <f t="shared" si="4"/>
        <v>OK/NO</v>
      </c>
      <c r="AA26" s="106" t="str">
        <f t="shared" si="32"/>
        <v>DKG</v>
      </c>
      <c r="AB26" s="112">
        <v>100000</v>
      </c>
      <c r="AC26" s="105" t="s">
        <v>178</v>
      </c>
      <c r="AD26" s="113">
        <f t="shared" si="5"/>
        <v>15</v>
      </c>
      <c r="AE26" s="113" t="str">
        <f t="shared" si="6"/>
        <v>CT</v>
      </c>
      <c r="AF26" s="114" t="str">
        <f t="shared" si="7"/>
        <v>DKG&lt;-&gt;Chuyển tải CHP-HS</v>
      </c>
      <c r="AG26" s="106" t="str">
        <f t="shared" si="33"/>
        <v>CX008</v>
      </c>
      <c r="AH26" s="106" t="str">
        <f t="shared" si="8"/>
        <v>15C-25418</v>
      </c>
      <c r="AI26" s="109">
        <f t="shared" si="9"/>
        <v>37.75661176470588</v>
      </c>
      <c r="AJ26" s="112">
        <f t="shared" si="9"/>
        <v>50000</v>
      </c>
      <c r="AK26" s="112">
        <f t="shared" si="9"/>
        <v>1887830.588235294</v>
      </c>
      <c r="AL26" s="106" t="str">
        <f t="shared" si="10"/>
        <v>DKG</v>
      </c>
      <c r="AM26" s="112">
        <f t="shared" si="10"/>
        <v>100000</v>
      </c>
      <c r="AN26" s="112">
        <f t="shared" si="34"/>
        <v>100000</v>
      </c>
      <c r="AO26" s="112">
        <f t="shared" si="11"/>
        <v>0</v>
      </c>
      <c r="AP26" s="105"/>
      <c r="AQ26" s="109">
        <f t="shared" si="12"/>
        <v>35.868781176470584</v>
      </c>
      <c r="AR26" s="109"/>
      <c r="AS26" s="112">
        <f t="shared" si="39"/>
        <v>13939.698634867274</v>
      </c>
      <c r="AT26" s="112">
        <f t="shared" si="40"/>
        <v>500000</v>
      </c>
      <c r="AU26" s="112">
        <f t="shared" si="13"/>
        <v>1387830.588235294</v>
      </c>
      <c r="AV26" s="105" t="str">
        <f t="shared" si="14"/>
        <v>Phúc Tâm</v>
      </c>
      <c r="AW26" s="115">
        <f t="shared" si="15"/>
        <v>1.8878305882352961</v>
      </c>
      <c r="AX26" s="115"/>
      <c r="AY26" s="116">
        <f t="shared" si="16"/>
        <v>735145.72593752097</v>
      </c>
      <c r="AZ26" s="116">
        <f t="shared" si="17"/>
        <v>1387830.588235294</v>
      </c>
      <c r="BA26" s="116">
        <f t="shared" si="18"/>
        <v>0</v>
      </c>
      <c r="BB26" s="117">
        <f t="shared" si="35"/>
        <v>51225</v>
      </c>
      <c r="BC26" s="117">
        <f t="shared" si="19"/>
        <v>511301</v>
      </c>
      <c r="BD26" s="117">
        <f t="shared" si="20"/>
        <v>5123</v>
      </c>
      <c r="BE26" s="117">
        <f t="shared" si="21"/>
        <v>0</v>
      </c>
      <c r="BF26" s="117">
        <f t="shared" si="22"/>
        <v>331</v>
      </c>
      <c r="BG26" s="117">
        <f t="shared" si="23"/>
        <v>0</v>
      </c>
      <c r="BH26" s="118">
        <f t="shared" si="36"/>
        <v>0</v>
      </c>
      <c r="BI26" s="73" t="s">
        <v>124</v>
      </c>
      <c r="BJ26" s="73" t="str">
        <f t="shared" si="24"/>
        <v>TDG xe 15C-25418</v>
      </c>
    </row>
    <row r="27" spans="1:78" ht="21.9" customHeight="1" x14ac:dyDescent="0.3">
      <c r="A27" s="97">
        <f>MAX($A$11:A26)+1</f>
        <v>16</v>
      </c>
      <c r="B27" s="98">
        <v>45483</v>
      </c>
      <c r="C27" s="97" t="s">
        <v>169</v>
      </c>
      <c r="D27" s="99" t="s">
        <v>170</v>
      </c>
      <c r="E27" s="100" t="s">
        <v>171</v>
      </c>
      <c r="F27" s="99" t="s">
        <v>172</v>
      </c>
      <c r="G27" s="99"/>
      <c r="H27" s="97" t="s">
        <v>173</v>
      </c>
      <c r="I27" s="97"/>
      <c r="J27" s="97"/>
      <c r="K27" s="101" t="s">
        <v>174</v>
      </c>
      <c r="L27" s="102" t="s">
        <v>175</v>
      </c>
      <c r="M27" s="103" t="str">
        <f t="shared" si="0"/>
        <v>Hoàng Sơn</v>
      </c>
      <c r="N27" s="104" t="s">
        <v>157</v>
      </c>
      <c r="O27" s="105" t="str">
        <f t="shared" si="31"/>
        <v>Trần Văn Hiển</v>
      </c>
      <c r="P27" s="103" t="str">
        <f t="shared" si="1"/>
        <v>CT</v>
      </c>
      <c r="Q27" s="106" t="str">
        <f t="shared" si="2"/>
        <v>CT</v>
      </c>
      <c r="R27" s="103">
        <v>0</v>
      </c>
      <c r="S27" s="103" t="s">
        <v>120</v>
      </c>
      <c r="T27" s="107" t="s">
        <v>177</v>
      </c>
      <c r="U27" s="108">
        <v>6</v>
      </c>
      <c r="V27" s="109">
        <f t="shared" si="48"/>
        <v>37.75661176470588</v>
      </c>
      <c r="W27" s="110">
        <v>50000</v>
      </c>
      <c r="X27" s="111">
        <f t="shared" si="3"/>
        <v>1887830.588235294</v>
      </c>
      <c r="Y27" s="106" t="s">
        <v>122</v>
      </c>
      <c r="Z27" s="106" t="str">
        <f t="shared" si="4"/>
        <v>OK/NO</v>
      </c>
      <c r="AA27" s="106" t="str">
        <f t="shared" si="32"/>
        <v>DKG</v>
      </c>
      <c r="AB27" s="112">
        <v>100000</v>
      </c>
      <c r="AC27" s="105" t="s">
        <v>178</v>
      </c>
      <c r="AD27" s="113">
        <f t="shared" si="5"/>
        <v>16</v>
      </c>
      <c r="AE27" s="113" t="str">
        <f t="shared" si="6"/>
        <v>CT</v>
      </c>
      <c r="AF27" s="114" t="str">
        <f t="shared" si="7"/>
        <v>DKG&lt;-&gt;Chuyển tải CHP-HS</v>
      </c>
      <c r="AG27" s="106" t="str">
        <f t="shared" si="33"/>
        <v>CX001</v>
      </c>
      <c r="AH27" s="106" t="str">
        <f t="shared" si="8"/>
        <v>15C-12832</v>
      </c>
      <c r="AI27" s="109">
        <f t="shared" ref="AI27:AK31" si="49">V27</f>
        <v>37.75661176470588</v>
      </c>
      <c r="AJ27" s="112">
        <f t="shared" si="49"/>
        <v>50000</v>
      </c>
      <c r="AK27" s="112">
        <f t="shared" si="49"/>
        <v>1887830.588235294</v>
      </c>
      <c r="AL27" s="106" t="str">
        <f t="shared" ref="AL27:AM31" si="50">AA27</f>
        <v>DKG</v>
      </c>
      <c r="AM27" s="112">
        <f t="shared" si="50"/>
        <v>100000</v>
      </c>
      <c r="AN27" s="112">
        <f t="shared" si="34"/>
        <v>100000</v>
      </c>
      <c r="AO27" s="112">
        <f t="shared" si="11"/>
        <v>0</v>
      </c>
      <c r="AP27" s="105"/>
      <c r="AQ27" s="109">
        <f t="shared" si="12"/>
        <v>35.868781176470584</v>
      </c>
      <c r="AR27" s="109"/>
      <c r="AS27" s="112">
        <f t="shared" si="39"/>
        <v>13939.698634867274</v>
      </c>
      <c r="AT27" s="112">
        <f t="shared" si="40"/>
        <v>500000</v>
      </c>
      <c r="AU27" s="112">
        <f t="shared" si="13"/>
        <v>1387830.588235294</v>
      </c>
      <c r="AV27" s="105" t="str">
        <f t="shared" si="14"/>
        <v>Phúc Tâm</v>
      </c>
      <c r="AW27" s="115">
        <f t="shared" si="15"/>
        <v>1.8878305882352961</v>
      </c>
      <c r="AX27" s="115"/>
      <c r="AY27" s="116">
        <f t="shared" si="16"/>
        <v>735145.72593752097</v>
      </c>
      <c r="AZ27" s="116">
        <f t="shared" si="17"/>
        <v>1387830.588235294</v>
      </c>
      <c r="BA27" s="116">
        <f t="shared" si="18"/>
        <v>0</v>
      </c>
      <c r="BB27" s="117">
        <f t="shared" si="35"/>
        <v>512114</v>
      </c>
      <c r="BC27" s="117">
        <f t="shared" si="19"/>
        <v>511301</v>
      </c>
      <c r="BD27" s="117">
        <f t="shared" si="20"/>
        <v>5123</v>
      </c>
      <c r="BE27" s="117">
        <f t="shared" si="21"/>
        <v>0</v>
      </c>
      <c r="BF27" s="117">
        <f t="shared" si="22"/>
        <v>0</v>
      </c>
      <c r="BG27" s="117">
        <f t="shared" si="23"/>
        <v>15401</v>
      </c>
      <c r="BH27" s="118">
        <f t="shared" si="36"/>
        <v>6121114</v>
      </c>
      <c r="BI27" s="73" t="s">
        <v>124</v>
      </c>
      <c r="BJ27" s="73" t="str">
        <f t="shared" si="24"/>
        <v>TDG xe 15C-12832</v>
      </c>
    </row>
    <row r="28" spans="1:78" ht="21.9" customHeight="1" x14ac:dyDescent="0.3">
      <c r="A28" s="97">
        <f>MAX($A$11:A27)+1</f>
        <v>17</v>
      </c>
      <c r="B28" s="98">
        <v>45483</v>
      </c>
      <c r="C28" s="97" t="s">
        <v>169</v>
      </c>
      <c r="D28" s="99" t="s">
        <v>170</v>
      </c>
      <c r="E28" s="100" t="s">
        <v>171</v>
      </c>
      <c r="F28" s="99" t="s">
        <v>172</v>
      </c>
      <c r="G28" s="99"/>
      <c r="H28" s="97" t="s">
        <v>173</v>
      </c>
      <c r="I28" s="97"/>
      <c r="J28" s="97"/>
      <c r="K28" s="101" t="s">
        <v>174</v>
      </c>
      <c r="L28" s="102" t="s">
        <v>175</v>
      </c>
      <c r="M28" s="103" t="str">
        <f t="shared" si="0"/>
        <v>Yến Tuân</v>
      </c>
      <c r="N28" s="104" t="s">
        <v>179</v>
      </c>
      <c r="O28" s="105" t="str">
        <f t="shared" si="31"/>
        <v>Ngụy Văn Toàn</v>
      </c>
      <c r="P28" s="103" t="str">
        <f t="shared" si="1"/>
        <v>CT</v>
      </c>
      <c r="Q28" s="106" t="str">
        <f t="shared" si="2"/>
        <v>CT</v>
      </c>
      <c r="R28" s="103">
        <v>0</v>
      </c>
      <c r="S28" s="103" t="s">
        <v>120</v>
      </c>
      <c r="T28" s="107" t="s">
        <v>177</v>
      </c>
      <c r="U28" s="108">
        <v>5</v>
      </c>
      <c r="V28" s="109">
        <f t="shared" si="48"/>
        <v>31.463843137254898</v>
      </c>
      <c r="W28" s="110">
        <v>50000</v>
      </c>
      <c r="X28" s="111">
        <f t="shared" si="3"/>
        <v>1573192.1568627448</v>
      </c>
      <c r="Y28" s="106" t="s">
        <v>122</v>
      </c>
      <c r="Z28" s="106" t="str">
        <f t="shared" si="4"/>
        <v>OK/NO</v>
      </c>
      <c r="AA28" s="106" t="str">
        <f t="shared" si="32"/>
        <v>DKG</v>
      </c>
      <c r="AB28" s="112">
        <v>100000</v>
      </c>
      <c r="AC28" s="105" t="s">
        <v>178</v>
      </c>
      <c r="AD28" s="113">
        <f t="shared" si="5"/>
        <v>17</v>
      </c>
      <c r="AE28" s="113" t="str">
        <f t="shared" si="6"/>
        <v>CT</v>
      </c>
      <c r="AF28" s="114" t="str">
        <f t="shared" si="7"/>
        <v>DKG&lt;-&gt;Chuyển tải CHP-HS</v>
      </c>
      <c r="AG28" s="106" t="str">
        <f t="shared" si="33"/>
        <v>CX008</v>
      </c>
      <c r="AH28" s="106" t="str">
        <f t="shared" si="8"/>
        <v>15C-25418</v>
      </c>
      <c r="AI28" s="109">
        <f t="shared" si="49"/>
        <v>31.463843137254898</v>
      </c>
      <c r="AJ28" s="112">
        <f t="shared" si="49"/>
        <v>50000</v>
      </c>
      <c r="AK28" s="112">
        <f t="shared" si="49"/>
        <v>1573192.1568627448</v>
      </c>
      <c r="AL28" s="106" t="str">
        <f t="shared" si="50"/>
        <v>DKG</v>
      </c>
      <c r="AM28" s="112">
        <f t="shared" si="50"/>
        <v>100000</v>
      </c>
      <c r="AN28" s="112">
        <f t="shared" si="34"/>
        <v>100000</v>
      </c>
      <c r="AO28" s="112">
        <f t="shared" si="11"/>
        <v>0</v>
      </c>
      <c r="AP28" s="105"/>
      <c r="AQ28" s="109">
        <f t="shared" si="12"/>
        <v>29.890650980392152</v>
      </c>
      <c r="AR28" s="109"/>
      <c r="AS28" s="112">
        <f t="shared" si="39"/>
        <v>16727.638361840731</v>
      </c>
      <c r="AT28" s="112">
        <f t="shared" si="40"/>
        <v>500000</v>
      </c>
      <c r="AU28" s="112">
        <f t="shared" si="13"/>
        <v>1073192.1568627448</v>
      </c>
      <c r="AV28" s="105" t="str">
        <f t="shared" si="14"/>
        <v>Phúc Tâm</v>
      </c>
      <c r="AW28" s="115">
        <f t="shared" si="15"/>
        <v>1.5731921568627456</v>
      </c>
      <c r="AX28" s="115"/>
      <c r="AY28" s="116">
        <f t="shared" si="16"/>
        <v>682174.87112502579</v>
      </c>
      <c r="AZ28" s="116">
        <f t="shared" si="17"/>
        <v>1073192.1568627448</v>
      </c>
      <c r="BA28" s="116">
        <f t="shared" si="18"/>
        <v>0</v>
      </c>
      <c r="BB28" s="117">
        <f t="shared" si="35"/>
        <v>51225</v>
      </c>
      <c r="BC28" s="117">
        <f t="shared" si="19"/>
        <v>511301</v>
      </c>
      <c r="BD28" s="117">
        <f t="shared" si="20"/>
        <v>5123</v>
      </c>
      <c r="BE28" s="117">
        <f t="shared" si="21"/>
        <v>0</v>
      </c>
      <c r="BF28" s="117">
        <f t="shared" si="22"/>
        <v>331</v>
      </c>
      <c r="BG28" s="117">
        <f t="shared" si="23"/>
        <v>0</v>
      </c>
      <c r="BH28" s="118">
        <f t="shared" si="36"/>
        <v>0</v>
      </c>
      <c r="BI28" s="73" t="s">
        <v>124</v>
      </c>
      <c r="BJ28" s="73" t="str">
        <f t="shared" si="24"/>
        <v>TDG xe 15C-25418</v>
      </c>
    </row>
    <row r="29" spans="1:78" ht="21.9" customHeight="1" x14ac:dyDescent="0.3">
      <c r="A29" s="97">
        <f>MAX($A$11:A28)+1</f>
        <v>18</v>
      </c>
      <c r="B29" s="98">
        <v>45483</v>
      </c>
      <c r="C29" s="97" t="s">
        <v>169</v>
      </c>
      <c r="D29" s="99" t="s">
        <v>170</v>
      </c>
      <c r="E29" s="100" t="s">
        <v>171</v>
      </c>
      <c r="F29" s="99" t="s">
        <v>172</v>
      </c>
      <c r="G29" s="99"/>
      <c r="H29" s="97" t="s">
        <v>173</v>
      </c>
      <c r="I29" s="97"/>
      <c r="J29" s="97"/>
      <c r="K29" s="101" t="s">
        <v>174</v>
      </c>
      <c r="L29" s="102" t="s">
        <v>175</v>
      </c>
      <c r="M29" s="103" t="str">
        <f t="shared" si="0"/>
        <v>Hoàng Sơn</v>
      </c>
      <c r="N29" s="104" t="s">
        <v>180</v>
      </c>
      <c r="O29" s="105" t="str">
        <f t="shared" si="31"/>
        <v>Vũ Đình Hà</v>
      </c>
      <c r="P29" s="103" t="str">
        <f t="shared" si="1"/>
        <v>CT</v>
      </c>
      <c r="Q29" s="106" t="str">
        <f t="shared" si="2"/>
        <v>CT</v>
      </c>
      <c r="R29" s="103">
        <v>0</v>
      </c>
      <c r="S29" s="103" t="s">
        <v>120</v>
      </c>
      <c r="T29" s="107" t="s">
        <v>177</v>
      </c>
      <c r="U29" s="108">
        <v>3</v>
      </c>
      <c r="V29" s="109">
        <f t="shared" si="48"/>
        <v>18.87830588235294</v>
      </c>
      <c r="W29" s="110">
        <v>50000</v>
      </c>
      <c r="X29" s="111">
        <f t="shared" si="3"/>
        <v>943915.29411764699</v>
      </c>
      <c r="Y29" s="106" t="s">
        <v>122</v>
      </c>
      <c r="Z29" s="106" t="str">
        <f t="shared" si="4"/>
        <v>OK/NO</v>
      </c>
      <c r="AA29" s="106" t="str">
        <f t="shared" si="32"/>
        <v>DKG</v>
      </c>
      <c r="AB29" s="112">
        <v>100000</v>
      </c>
      <c r="AC29" s="105" t="s">
        <v>178</v>
      </c>
      <c r="AD29" s="113">
        <f t="shared" si="5"/>
        <v>18</v>
      </c>
      <c r="AE29" s="113" t="str">
        <f t="shared" si="6"/>
        <v>CT</v>
      </c>
      <c r="AF29" s="114" t="str">
        <f t="shared" si="7"/>
        <v>DKG&lt;-&gt;Chuyển tải CHP-HS</v>
      </c>
      <c r="AG29" s="106" t="str">
        <f t="shared" si="33"/>
        <v>CX001</v>
      </c>
      <c r="AH29" s="106" t="str">
        <f t="shared" si="8"/>
        <v>15C-13958</v>
      </c>
      <c r="AI29" s="109">
        <f t="shared" si="49"/>
        <v>18.87830588235294</v>
      </c>
      <c r="AJ29" s="112">
        <f t="shared" si="49"/>
        <v>50000</v>
      </c>
      <c r="AK29" s="112">
        <f t="shared" si="49"/>
        <v>943915.29411764699</v>
      </c>
      <c r="AL29" s="106" t="str">
        <f t="shared" si="50"/>
        <v>DKG</v>
      </c>
      <c r="AM29" s="112">
        <f t="shared" si="50"/>
        <v>100000</v>
      </c>
      <c r="AN29" s="112">
        <f t="shared" si="34"/>
        <v>100000</v>
      </c>
      <c r="AO29" s="112">
        <f t="shared" si="11"/>
        <v>0</v>
      </c>
      <c r="AP29" s="105"/>
      <c r="AQ29" s="109">
        <f t="shared" si="12"/>
        <v>17.934390588235292</v>
      </c>
      <c r="AR29" s="109"/>
      <c r="AS29" s="112">
        <f t="shared" si="39"/>
        <v>27879.397269734549</v>
      </c>
      <c r="AT29" s="112">
        <f t="shared" si="40"/>
        <v>500000</v>
      </c>
      <c r="AU29" s="112">
        <f t="shared" si="13"/>
        <v>443915.29411764699</v>
      </c>
      <c r="AV29" s="105" t="str">
        <f t="shared" si="14"/>
        <v>Phúc Tâm</v>
      </c>
      <c r="AW29" s="115">
        <f t="shared" si="15"/>
        <v>0.94391529411764807</v>
      </c>
      <c r="AX29" s="115"/>
      <c r="AY29" s="116">
        <f t="shared" si="16"/>
        <v>470291.45187504304</v>
      </c>
      <c r="AZ29" s="116">
        <f t="shared" si="17"/>
        <v>443915.29411764699</v>
      </c>
      <c r="BA29" s="116">
        <f t="shared" si="18"/>
        <v>0</v>
      </c>
      <c r="BB29" s="117">
        <f t="shared" si="35"/>
        <v>512139</v>
      </c>
      <c r="BC29" s="117">
        <f t="shared" si="19"/>
        <v>511301</v>
      </c>
      <c r="BD29" s="117">
        <f t="shared" si="20"/>
        <v>5123</v>
      </c>
      <c r="BE29" s="117">
        <f t="shared" si="21"/>
        <v>0</v>
      </c>
      <c r="BF29" s="117">
        <f t="shared" si="22"/>
        <v>0</v>
      </c>
      <c r="BG29" s="117">
        <f t="shared" si="23"/>
        <v>15401</v>
      </c>
      <c r="BH29" s="118">
        <f t="shared" si="36"/>
        <v>6121139</v>
      </c>
      <c r="BI29" s="73" t="s">
        <v>124</v>
      </c>
      <c r="BJ29" s="73" t="str">
        <f t="shared" si="24"/>
        <v>TDG xe 15C-13958</v>
      </c>
    </row>
    <row r="30" spans="1:78" ht="21.9" customHeight="1" x14ac:dyDescent="0.3">
      <c r="A30" s="97">
        <f>MAX($A$11:A29)+1</f>
        <v>19</v>
      </c>
      <c r="B30" s="98">
        <v>45483</v>
      </c>
      <c r="C30" s="97" t="s">
        <v>169</v>
      </c>
      <c r="D30" s="99" t="s">
        <v>170</v>
      </c>
      <c r="E30" s="100" t="s">
        <v>171</v>
      </c>
      <c r="F30" s="99" t="s">
        <v>172</v>
      </c>
      <c r="G30" s="99"/>
      <c r="H30" s="97" t="s">
        <v>173</v>
      </c>
      <c r="I30" s="97"/>
      <c r="J30" s="97"/>
      <c r="K30" s="101" t="s">
        <v>174</v>
      </c>
      <c r="L30" s="102" t="s">
        <v>175</v>
      </c>
      <c r="M30" s="103" t="str">
        <f t="shared" si="0"/>
        <v>Hoàng Sơn</v>
      </c>
      <c r="N30" s="104" t="s">
        <v>168</v>
      </c>
      <c r="O30" s="105" t="str">
        <f t="shared" si="31"/>
        <v>Đặng Thanh Sơn</v>
      </c>
      <c r="P30" s="103" t="str">
        <f t="shared" si="1"/>
        <v>CT</v>
      </c>
      <c r="Q30" s="106" t="str">
        <f t="shared" si="2"/>
        <v>CT</v>
      </c>
      <c r="R30" s="103">
        <v>0</v>
      </c>
      <c r="S30" s="103" t="s">
        <v>120</v>
      </c>
      <c r="T30" s="107" t="s">
        <v>177</v>
      </c>
      <c r="U30" s="108">
        <v>3</v>
      </c>
      <c r="V30" s="109">
        <f t="shared" si="48"/>
        <v>18.87830588235294</v>
      </c>
      <c r="W30" s="110">
        <v>50000</v>
      </c>
      <c r="X30" s="111">
        <f t="shared" si="3"/>
        <v>943915.29411764699</v>
      </c>
      <c r="Y30" s="106" t="s">
        <v>122</v>
      </c>
      <c r="Z30" s="106" t="str">
        <f t="shared" si="4"/>
        <v>OK/NO</v>
      </c>
      <c r="AA30" s="106" t="str">
        <f t="shared" si="32"/>
        <v>DKG</v>
      </c>
      <c r="AB30" s="112">
        <v>100000</v>
      </c>
      <c r="AC30" s="105" t="s">
        <v>178</v>
      </c>
      <c r="AD30" s="113">
        <f t="shared" si="5"/>
        <v>19</v>
      </c>
      <c r="AE30" s="113" t="str">
        <f t="shared" si="6"/>
        <v>CT</v>
      </c>
      <c r="AF30" s="114" t="str">
        <f t="shared" si="7"/>
        <v>DKG&lt;-&gt;Chuyển tải CHP-HS</v>
      </c>
      <c r="AG30" s="106" t="str">
        <f t="shared" si="33"/>
        <v>CX001</v>
      </c>
      <c r="AH30" s="106" t="str">
        <f t="shared" si="8"/>
        <v>15C-13616</v>
      </c>
      <c r="AI30" s="109">
        <f t="shared" si="49"/>
        <v>18.87830588235294</v>
      </c>
      <c r="AJ30" s="112">
        <f t="shared" si="49"/>
        <v>50000</v>
      </c>
      <c r="AK30" s="112">
        <f t="shared" si="49"/>
        <v>943915.29411764699</v>
      </c>
      <c r="AL30" s="106" t="str">
        <f t="shared" si="50"/>
        <v>DKG</v>
      </c>
      <c r="AM30" s="112">
        <f t="shared" si="50"/>
        <v>100000</v>
      </c>
      <c r="AN30" s="112">
        <f t="shared" si="34"/>
        <v>100000</v>
      </c>
      <c r="AO30" s="112">
        <f t="shared" si="11"/>
        <v>0</v>
      </c>
      <c r="AP30" s="105"/>
      <c r="AQ30" s="109">
        <f t="shared" si="12"/>
        <v>17.934390588235292</v>
      </c>
      <c r="AR30" s="109"/>
      <c r="AS30" s="112">
        <f t="shared" si="39"/>
        <v>27879.397269734549</v>
      </c>
      <c r="AT30" s="112">
        <f t="shared" si="40"/>
        <v>500000</v>
      </c>
      <c r="AU30" s="112">
        <f t="shared" si="13"/>
        <v>443915.29411764699</v>
      </c>
      <c r="AV30" s="105" t="str">
        <f t="shared" si="14"/>
        <v>Phúc Tâm</v>
      </c>
      <c r="AW30" s="115">
        <f t="shared" si="15"/>
        <v>0.94391529411764807</v>
      </c>
      <c r="AX30" s="115"/>
      <c r="AY30" s="116">
        <f t="shared" si="16"/>
        <v>470291.45187504304</v>
      </c>
      <c r="AZ30" s="116">
        <f t="shared" si="17"/>
        <v>443915.29411764699</v>
      </c>
      <c r="BA30" s="116">
        <f t="shared" si="18"/>
        <v>0</v>
      </c>
      <c r="BB30" s="117">
        <f t="shared" si="35"/>
        <v>512117</v>
      </c>
      <c r="BC30" s="117">
        <f t="shared" si="19"/>
        <v>511301</v>
      </c>
      <c r="BD30" s="117">
        <f t="shared" si="20"/>
        <v>5123</v>
      </c>
      <c r="BE30" s="117">
        <f t="shared" si="21"/>
        <v>0</v>
      </c>
      <c r="BF30" s="117">
        <f t="shared" si="22"/>
        <v>0</v>
      </c>
      <c r="BG30" s="117">
        <f t="shared" si="23"/>
        <v>15401</v>
      </c>
      <c r="BH30" s="118">
        <f t="shared" si="36"/>
        <v>6121117</v>
      </c>
      <c r="BI30" s="73" t="s">
        <v>124</v>
      </c>
      <c r="BJ30" s="73" t="str">
        <f t="shared" si="24"/>
        <v>TDG xe 15C-13616</v>
      </c>
    </row>
    <row r="31" spans="1:78" ht="21.9" customHeight="1" x14ac:dyDescent="0.3">
      <c r="A31" s="97">
        <f>MAX($A$11:A30)+1</f>
        <v>20</v>
      </c>
      <c r="B31" s="98">
        <v>45483</v>
      </c>
      <c r="C31" s="97" t="s">
        <v>169</v>
      </c>
      <c r="D31" s="99" t="s">
        <v>170</v>
      </c>
      <c r="E31" s="100" t="s">
        <v>171</v>
      </c>
      <c r="F31" s="99" t="s">
        <v>172</v>
      </c>
      <c r="G31" s="99"/>
      <c r="H31" s="97" t="s">
        <v>173</v>
      </c>
      <c r="I31" s="97"/>
      <c r="J31" s="97"/>
      <c r="K31" s="101" t="s">
        <v>174</v>
      </c>
      <c r="L31" s="102" t="s">
        <v>175</v>
      </c>
      <c r="M31" s="103" t="str">
        <f t="shared" si="0"/>
        <v>Yến Tuân</v>
      </c>
      <c r="N31" s="104" t="s">
        <v>181</v>
      </c>
      <c r="O31" s="105" t="str">
        <f t="shared" si="31"/>
        <v>Nguyễn Đắt Đạt</v>
      </c>
      <c r="P31" s="103" t="str">
        <f t="shared" si="1"/>
        <v>CT</v>
      </c>
      <c r="Q31" s="106" t="str">
        <f t="shared" si="2"/>
        <v>CT</v>
      </c>
      <c r="R31" s="103">
        <v>0</v>
      </c>
      <c r="S31" s="103" t="s">
        <v>120</v>
      </c>
      <c r="T31" s="107" t="s">
        <v>177</v>
      </c>
      <c r="U31" s="108">
        <v>3</v>
      </c>
      <c r="V31" s="109">
        <f t="shared" si="48"/>
        <v>18.87830588235294</v>
      </c>
      <c r="W31" s="110">
        <v>50000</v>
      </c>
      <c r="X31" s="111">
        <f t="shared" si="3"/>
        <v>943915.29411764699</v>
      </c>
      <c r="Y31" s="106" t="s">
        <v>122</v>
      </c>
      <c r="Z31" s="106" t="str">
        <f t="shared" si="4"/>
        <v>OK/NO</v>
      </c>
      <c r="AA31" s="106" t="str">
        <f t="shared" si="32"/>
        <v>DKG</v>
      </c>
      <c r="AB31" s="112">
        <v>100000</v>
      </c>
      <c r="AC31" s="105" t="s">
        <v>178</v>
      </c>
      <c r="AD31" s="113">
        <f t="shared" si="5"/>
        <v>20</v>
      </c>
      <c r="AE31" s="113" t="str">
        <f t="shared" si="6"/>
        <v>CT</v>
      </c>
      <c r="AF31" s="114" t="str">
        <f t="shared" si="7"/>
        <v>DKG&lt;-&gt;Chuyển tải CHP-HS</v>
      </c>
      <c r="AG31" s="106" t="str">
        <f t="shared" si="33"/>
        <v>CX004</v>
      </c>
      <c r="AH31" s="106" t="str">
        <f t="shared" si="8"/>
        <v>15C-01889</v>
      </c>
      <c r="AI31" s="109">
        <f t="shared" si="49"/>
        <v>18.87830588235294</v>
      </c>
      <c r="AJ31" s="112">
        <f t="shared" si="49"/>
        <v>50000</v>
      </c>
      <c r="AK31" s="112">
        <f t="shared" si="49"/>
        <v>943915.29411764699</v>
      </c>
      <c r="AL31" s="106" t="str">
        <f t="shared" si="50"/>
        <v>DKG</v>
      </c>
      <c r="AM31" s="112">
        <f t="shared" si="50"/>
        <v>100000</v>
      </c>
      <c r="AN31" s="112">
        <f t="shared" si="34"/>
        <v>100000</v>
      </c>
      <c r="AO31" s="112">
        <f t="shared" si="11"/>
        <v>0</v>
      </c>
      <c r="AP31" s="105"/>
      <c r="AQ31" s="109">
        <f t="shared" si="12"/>
        <v>17.934390588235292</v>
      </c>
      <c r="AR31" s="109"/>
      <c r="AS31" s="112">
        <f t="shared" si="39"/>
        <v>27879.397269734549</v>
      </c>
      <c r="AT31" s="112">
        <f t="shared" si="40"/>
        <v>500000</v>
      </c>
      <c r="AU31" s="112">
        <f t="shared" si="13"/>
        <v>443915.29411764699</v>
      </c>
      <c r="AV31" s="105" t="str">
        <f t="shared" si="14"/>
        <v>Phúc Tâm</v>
      </c>
      <c r="AW31" s="115">
        <f t="shared" si="15"/>
        <v>0.94391529411764807</v>
      </c>
      <c r="AX31" s="115"/>
      <c r="AY31" s="116">
        <f t="shared" si="16"/>
        <v>470291.45187504304</v>
      </c>
      <c r="AZ31" s="116">
        <f t="shared" si="17"/>
        <v>443915.29411764699</v>
      </c>
      <c r="BA31" s="116">
        <f t="shared" si="18"/>
        <v>0</v>
      </c>
      <c r="BB31" s="117">
        <f t="shared" si="35"/>
        <v>512221</v>
      </c>
      <c r="BC31" s="117">
        <f t="shared" si="19"/>
        <v>511301</v>
      </c>
      <c r="BD31" s="117">
        <f t="shared" si="20"/>
        <v>5123</v>
      </c>
      <c r="BE31" s="117">
        <f t="shared" si="21"/>
        <v>0</v>
      </c>
      <c r="BF31" s="117">
        <f t="shared" si="22"/>
        <v>331</v>
      </c>
      <c r="BG31" s="117">
        <f t="shared" si="23"/>
        <v>331</v>
      </c>
      <c r="BH31" s="118">
        <f t="shared" si="36"/>
        <v>0</v>
      </c>
      <c r="BI31" s="73" t="s">
        <v>124</v>
      </c>
      <c r="BJ31" s="73" t="str">
        <f t="shared" si="24"/>
        <v>TDG xe 15C-01889</v>
      </c>
    </row>
  </sheetData>
  <autoFilter ref="A10:BL18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2024-07-11T03:30:21Z</dcterms:created>
  <dcterms:modified xsi:type="dcterms:W3CDTF">2024-07-11T07:12:27Z</dcterms:modified>
</cp:coreProperties>
</file>