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CD723FE2-D8BD-4673-A169-D733ADB0C514}" xr6:coauthVersionLast="47" xr6:coauthVersionMax="47" xr10:uidLastSave="{00000000-0000-0000-0000-000000000000}"/>
  <bookViews>
    <workbookView xWindow="-108" yWindow="-108" windowWidth="23256" windowHeight="12456" xr2:uid="{360D4A4C-21DB-4F84-A4E8-AB8670C943AF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HT!$A$10:$BL$13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3" i="1" l="1"/>
  <c r="BQ13" i="1"/>
  <c r="BX13" i="1" s="1"/>
  <c r="BP13" i="1"/>
  <c r="BO13" i="1"/>
  <c r="BN13" i="1"/>
  <c r="BM13" i="1"/>
  <c r="BU13" i="1" s="1"/>
  <c r="BL13" i="1"/>
  <c r="BJ13" i="1"/>
  <c r="BE13" i="1"/>
  <c r="BB13" i="1"/>
  <c r="AV13" i="1"/>
  <c r="AQ13" i="1"/>
  <c r="AM13" i="1"/>
  <c r="AL13" i="1"/>
  <c r="AJ13" i="1"/>
  <c r="AI13" i="1"/>
  <c r="AW13" i="1" s="1"/>
  <c r="AH13" i="1"/>
  <c r="AG13" i="1"/>
  <c r="BH13" i="1" s="1"/>
  <c r="AF13" i="1"/>
  <c r="AE13" i="1"/>
  <c r="AA13" i="1"/>
  <c r="BK13" i="1" s="1"/>
  <c r="Z13" i="1"/>
  <c r="X13" i="1"/>
  <c r="AK13" i="1" s="1"/>
  <c r="Q13" i="1"/>
  <c r="P13" i="1"/>
  <c r="O13" i="1"/>
  <c r="M13" i="1"/>
  <c r="BW12" i="1"/>
  <c r="BT12" i="1"/>
  <c r="BS12" i="1"/>
  <c r="BV12" i="1" s="1"/>
  <c r="BQ12" i="1"/>
  <c r="BX12" i="1" s="1"/>
  <c r="BY12" i="1" s="1"/>
  <c r="BZ12" i="1" s="1"/>
  <c r="BP12" i="1"/>
  <c r="BO12" i="1"/>
  <c r="BN12" i="1"/>
  <c r="BM12" i="1"/>
  <c r="BU12" i="1" s="1"/>
  <c r="BL12" i="1"/>
  <c r="BJ12" i="1"/>
  <c r="BF12" i="1"/>
  <c r="BE12" i="1"/>
  <c r="AV12" i="1"/>
  <c r="AS12" i="1"/>
  <c r="AQ12" i="1"/>
  <c r="AT12" i="1" s="1"/>
  <c r="AM12" i="1"/>
  <c r="AN12" i="1" s="1"/>
  <c r="AO12" i="1" s="1"/>
  <c r="AK12" i="1"/>
  <c r="AJ12" i="1"/>
  <c r="AI12" i="1"/>
  <c r="AW12" i="1" s="1"/>
  <c r="AH12" i="1"/>
  <c r="AG12" i="1"/>
  <c r="BB12" i="1" s="1"/>
  <c r="AF12" i="1"/>
  <c r="AE12" i="1"/>
  <c r="AD12" i="1"/>
  <c r="AA12" i="1"/>
  <c r="BC12" i="1" s="1"/>
  <c r="Z12" i="1"/>
  <c r="X12" i="1"/>
  <c r="P12" i="1"/>
  <c r="Q12" i="1" s="1"/>
  <c r="O12" i="1"/>
  <c r="M12" i="1"/>
  <c r="A12" i="1"/>
  <c r="A13" i="1" s="1"/>
  <c r="AD13" i="1" s="1"/>
  <c r="BX11" i="1"/>
  <c r="BU11" i="1"/>
  <c r="BS11" i="1"/>
  <c r="BQ11" i="1"/>
  <c r="BP11" i="1"/>
  <c r="BO11" i="1"/>
  <c r="BN11" i="1"/>
  <c r="BY11" i="1" s="1"/>
  <c r="BM11" i="1"/>
  <c r="BT11" i="1" s="1"/>
  <c r="BV11" i="1" s="1"/>
  <c r="BL11" i="1"/>
  <c r="BJ11" i="1"/>
  <c r="BE11" i="1"/>
  <c r="BC11" i="1"/>
  <c r="AV11" i="1"/>
  <c r="AQ11" i="1"/>
  <c r="AM11" i="1"/>
  <c r="AL11" i="1"/>
  <c r="AJ11" i="1"/>
  <c r="AS11" i="1" s="1"/>
  <c r="AT11" i="1" s="1"/>
  <c r="AI11" i="1"/>
  <c r="AW11" i="1" s="1"/>
  <c r="AH11" i="1"/>
  <c r="AG11" i="1"/>
  <c r="BF11" i="1" s="1"/>
  <c r="AF11" i="1"/>
  <c r="AE11" i="1"/>
  <c r="AD11" i="1"/>
  <c r="AA11" i="1"/>
  <c r="BD11" i="1" s="1"/>
  <c r="Z11" i="1"/>
  <c r="X11" i="1"/>
  <c r="Q11" i="1"/>
  <c r="P11" i="1"/>
  <c r="O11" i="1"/>
  <c r="M11" i="1"/>
  <c r="AI9" i="1"/>
  <c r="AB9" i="1"/>
  <c r="V9" i="1"/>
  <c r="U9" i="1"/>
  <c r="AI4" i="1"/>
  <c r="AY12" i="1" l="1"/>
  <c r="AZ12" i="1" s="1"/>
  <c r="BA12" i="1" s="1"/>
  <c r="BZ11" i="1"/>
  <c r="BY13" i="1"/>
  <c r="AT9" i="1"/>
  <c r="AQ9" i="1"/>
  <c r="BG11" i="1"/>
  <c r="BD12" i="1"/>
  <c r="BK11" i="1"/>
  <c r="BG12" i="1"/>
  <c r="AN13" i="1"/>
  <c r="AO13" i="1" s="1"/>
  <c r="BC13" i="1"/>
  <c r="AU12" i="1"/>
  <c r="BH12" i="1"/>
  <c r="BD13" i="1"/>
  <c r="X9" i="1"/>
  <c r="AK11" i="1"/>
  <c r="BK12" i="1"/>
  <c r="AS13" i="1"/>
  <c r="AT13" i="1" s="1"/>
  <c r="AU13" i="1" s="1"/>
  <c r="BF13" i="1"/>
  <c r="BT13" i="1"/>
  <c r="BV13" i="1" s="1"/>
  <c r="BG13" i="1"/>
  <c r="AN11" i="1"/>
  <c r="AN9" i="1" s="1"/>
  <c r="BH11" i="1"/>
  <c r="AM9" i="1"/>
  <c r="AL12" i="1"/>
  <c r="BB11" i="1"/>
  <c r="BZ13" i="1" l="1"/>
  <c r="AO11" i="1"/>
  <c r="AO9" i="1" s="1"/>
  <c r="AK9" i="1"/>
  <c r="AY11" i="1"/>
  <c r="AZ11" i="1" s="1"/>
  <c r="BA11" i="1" s="1"/>
  <c r="AU11" i="1"/>
  <c r="AU9" i="1" s="1"/>
  <c r="AY13" i="1"/>
  <c r="AZ13" i="1" s="1"/>
  <c r="BA13" i="1" s="1"/>
</calcChain>
</file>

<file path=xl/sharedStrings.xml><?xml version="1.0" encoding="utf-8"?>
<sst xmlns="http://schemas.openxmlformats.org/spreadsheetml/2006/main" count="175" uniqueCount="138">
  <si>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</si>
  <si>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</si>
  <si>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</si>
  <si>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</si>
  <si>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</si>
  <si>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</si>
  <si>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</si>
  <si>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</si>
  <si>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</si>
  <si>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</si>
  <si>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</si>
  <si>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</si>
  <si>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</si>
  <si>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</si>
  <si>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</si>
  <si>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</si>
  <si>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</si>
  <si>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</si>
  <si>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</si>
  <si>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</si>
  <si>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</si>
  <si>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</si>
  <si>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</si>
  <si>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</si>
  <si>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</si>
  <si>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</si>
  <si>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</si>
  <si>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</si>
  <si>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</si>
  <si>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</si>
  <si>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</si>
  <si>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</si>
  <si>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</si>
  <si>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</si>
  <si>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</si>
  <si>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</si>
  <si>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</si>
  <si>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</si>
  <si>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</si>
  <si>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</si>
  <si>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</si>
  <si>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</si>
  <si>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</si>
  <si>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</si>
  <si>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</si>
  <si>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</si>
  <si>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</si>
  <si>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</si>
  <si>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</si>
  <si>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</si>
  <si>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</si>
  <si>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</si>
  <si>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</si>
  <si>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</si>
  <si>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</si>
  <si>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</si>
  <si>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</si>
  <si>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</si>
  <si>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</si>
  <si>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</si>
  <si>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</si>
  <si>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</si>
  <si>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</si>
  <si>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</si>
  <si>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</si>
  <si>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</si>
  <si>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</si>
  <si>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</si>
  <si>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</si>
  <si>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</si>
  <si>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</si>
  <si>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</si>
  <si>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</si>
  <si>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</si>
  <si>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</si>
  <si>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</si>
  <si>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</si>
  <si>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</si>
  <si>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</si>
  <si>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</si>
  <si>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</si>
  <si>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</si>
  <si>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</si>
  <si>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</si>
  <si>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</si>
  <si>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</si>
  <si>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</si>
  <si>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</si>
  <si>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</si>
  <si>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</si>
  <si>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</si>
  <si>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</si>
  <si>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</si>
  <si>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</si>
  <si>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</si>
  <si>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</si>
  <si>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</si>
  <si>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</si>
  <si>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</si>
  <si>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</si>
  <si>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</si>
  <si>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</si>
  <si>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</si>
  <si>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</si>
  <si>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</si>
  <si>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</si>
  <si>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</si>
  <si>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</si>
  <si>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</si>
  <si>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</si>
  <si>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CG00236</t>
  </si>
  <si>
    <t>Phạm Thị Trang (KTHP) 031174005141 0904435298</t>
  </si>
  <si>
    <t/>
  </si>
  <si>
    <t>Tú Sơn, Kiến Thụy, Hải Phòng</t>
  </si>
  <si>
    <t>HS</t>
  </si>
  <si>
    <t>KT.HP.DKG</t>
  </si>
  <si>
    <t>DKG&lt;-&gt;Kiến Thụy, Hải Phòng</t>
  </si>
  <si>
    <t>15C-11856</t>
  </si>
  <si>
    <t>HS04</t>
  </si>
  <si>
    <t>Mạnh</t>
  </si>
  <si>
    <t>Gỗ sến tròn (Minh) + Lim tròn (Lesson)</t>
  </si>
  <si>
    <t>CGN</t>
  </si>
  <si>
    <t xml:space="preserve">TDG xe </t>
  </si>
  <si>
    <t>CG00040</t>
  </si>
  <si>
    <t>Công ty TNHH Gỗ Đại Xuân (PLHNA) 0979668924</t>
  </si>
  <si>
    <t>0700772763</t>
  </si>
  <si>
    <t>Thôn Đỗ Nội, xã Tiên Hải, thành phố Phủ Lý, tỉnh Hà Nam</t>
  </si>
  <si>
    <t>CT</t>
  </si>
  <si>
    <t>VIMC</t>
  </si>
  <si>
    <t>GAOU6115081</t>
  </si>
  <si>
    <t>CDV.HS</t>
  </si>
  <si>
    <t>DKG&lt;-&gt;Chuyển tải khu vực CĐV-HS</t>
  </si>
  <si>
    <t>15C-13036</t>
  </si>
  <si>
    <t>01x40'</t>
  </si>
  <si>
    <t>RLL</t>
  </si>
  <si>
    <t>Dai Xuan</t>
  </si>
  <si>
    <t>TGHU6803795</t>
  </si>
  <si>
    <t>15C-15237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</si>
</sst>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594358AC-E80F-431F-90F5-B151DFD6ED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F690454-AFF3-472C-94B7-BAD5EFCA8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CBE3347-EBE3-4E23-B490-1678FF12D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8C55589-AEEB-407E-A1EA-79580BE689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B4F6EE8-FCA7-4932-A955-AD30B2F7C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8205856-244D-44B8-ADFE-4FD1AF7B9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3.07.24..xlsm" TargetMode="External"/><Relationship Id="rId1" Type="http://schemas.openxmlformats.org/officeDocument/2006/relationships/externalLinkPath" Target="/Dropbox/1.%20Tien_duong_tu_13.08.2021/KH13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D9B9-5737-42BA-8711-7BBD8FACDB21}">
  <sheetPr codeName="Sheet16">
    <tabColor rgb="FF00B0F0"/>
  </sheetPr>
  <dimension ref="A1:BZ13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11.296875" style="9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5.3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45486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SUBTOTAL(9,U11:U111214)</f>
        <v>4</v>
      </c>
      <c r="V9" s="86">
        <f>SUBTOTAL(9,V11:V111214)</f>
        <v>33.424999999999997</v>
      </c>
      <c r="W9" s="85"/>
      <c r="X9" s="87">
        <f>SUBTOTAL(9,X11:X111214)</f>
        <v>9942000</v>
      </c>
      <c r="Y9" s="82"/>
      <c r="Z9" s="82"/>
      <c r="AA9" s="82"/>
      <c r="AB9" s="85">
        <f>SUBTOTAL(9,AB11:AB111214)</f>
        <v>800000</v>
      </c>
      <c r="AC9" s="88"/>
      <c r="AD9" s="75"/>
      <c r="AE9" s="75"/>
      <c r="AF9" s="75"/>
      <c r="AG9" s="82"/>
      <c r="AH9" s="82"/>
      <c r="AI9" s="86">
        <f>SUBTOTAL(9,AI11:AI111205)</f>
        <v>33.424999999999997</v>
      </c>
      <c r="AJ9" s="85"/>
      <c r="AK9" s="85">
        <f>SUBTOTAL(9,AK11:AK111205)</f>
        <v>9942000</v>
      </c>
      <c r="AL9" s="85"/>
      <c r="AM9" s="85">
        <f>SUBTOTAL(9,AM11:AM111214)</f>
        <v>800000</v>
      </c>
      <c r="AN9" s="85">
        <f>SUBTOTAL(9,AN11:AN111214)</f>
        <v>700000</v>
      </c>
      <c r="AO9" s="85">
        <f>SUBTOTAL(9,AO11:AO111214)</f>
        <v>100000</v>
      </c>
      <c r="AP9" s="82"/>
      <c r="AQ9" s="86">
        <f>SUBTOTAL(9,AQ11:AQ111205)</f>
        <v>31.853749999999998</v>
      </c>
      <c r="AR9" s="86"/>
      <c r="AS9" s="85"/>
      <c r="AT9" s="85">
        <f>SUBTOTAL(9,AT11:AT111205)</f>
        <v>6324406.25</v>
      </c>
      <c r="AU9" s="85">
        <f>SUBTOTAL(9,AU11:AU111205)</f>
        <v>3617593.75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45486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/>
      <c r="J11" s="97"/>
      <c r="K11" s="101" t="s">
        <v>115</v>
      </c>
      <c r="L11" s="102" t="s">
        <v>116</v>
      </c>
      <c r="M11" s="103" t="str">
        <f t="shared" ref="M11:M13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117</v>
      </c>
      <c r="O11" s="105" t="str">
        <f t="shared" ref="O11:O13" si="1"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Lợi",IF(N11="15C-12876","Phạm Văn Thượng",IF(N11="15C-13616","Đặng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Đinh Minh Dũng</v>
      </c>
      <c r="P11" s="103" t="str">
        <f t="shared" ref="P11:P13" si="2">RIGHT(H11,2)</f>
        <v>HS</v>
      </c>
      <c r="Q11" s="106" t="str">
        <f t="shared" ref="Q11:Q13" si="3">IF(P11="TC",189,P11)</f>
        <v>HS</v>
      </c>
      <c r="R11" s="103" t="s">
        <v>118</v>
      </c>
      <c r="S11" s="103" t="s">
        <v>119</v>
      </c>
      <c r="T11" s="107" t="s">
        <v>120</v>
      </c>
      <c r="U11" s="108">
        <v>4</v>
      </c>
      <c r="V11" s="109">
        <v>31.425000000000001</v>
      </c>
      <c r="W11" s="110">
        <v>240000</v>
      </c>
      <c r="X11" s="111">
        <f t="shared" ref="X11:X13" si="4">V11*W11</f>
        <v>7542000</v>
      </c>
      <c r="Y11" s="106" t="s">
        <v>121</v>
      </c>
      <c r="Z11" s="106">
        <f t="shared" ref="Z11:Z13" si="5">IF(Y11="RLL","OK/NO",0)</f>
        <v>0</v>
      </c>
      <c r="AA11" s="106" t="str">
        <f t="shared" ref="AA11:AA13" si="6">LEFT(L11,3)</f>
        <v>DKG</v>
      </c>
      <c r="AB11" s="112">
        <v>500000</v>
      </c>
      <c r="AC11" s="105" t="s">
        <v>112</v>
      </c>
      <c r="AD11" s="113">
        <f t="shared" ref="AD11:AD13" si="7">A11</f>
        <v>1</v>
      </c>
      <c r="AE11" s="113" t="str">
        <f t="shared" ref="AE11:AE13" si="8">H11</f>
        <v>HS</v>
      </c>
      <c r="AF11" s="114" t="str">
        <f t="shared" ref="AF11:AF13" si="9">L11</f>
        <v>DKG&lt;-&gt;Kiến Thụy, Hải Phòng</v>
      </c>
      <c r="AG11" s="106" t="str">
        <f t="shared" ref="AG11:AG13" si="10"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:AH13" si="11">N11</f>
        <v>15C-11856</v>
      </c>
      <c r="AI11" s="109">
        <f t="shared" ref="AI11:AK13" si="12">V11</f>
        <v>31.425000000000001</v>
      </c>
      <c r="AJ11" s="112">
        <f t="shared" si="12"/>
        <v>240000</v>
      </c>
      <c r="AK11" s="112">
        <f t="shared" si="12"/>
        <v>7542000</v>
      </c>
      <c r="AL11" s="106" t="str">
        <f t="shared" ref="AL11:AM13" si="13">AA11</f>
        <v>DKG</v>
      </c>
      <c r="AM11" s="112">
        <f t="shared" si="13"/>
        <v>500000</v>
      </c>
      <c r="AN11" s="112">
        <f t="shared" ref="AN11:AN13" si="14"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400000</v>
      </c>
      <c r="AO11" s="112">
        <f t="shared" ref="AO11:AO13" si="15">AM11-AN11</f>
        <v>100000</v>
      </c>
      <c r="AP11" s="105"/>
      <c r="AQ11" s="109">
        <f t="shared" ref="AQ11:AQ13" si="16">IF(V11&lt;=1,V11,AI11*95%)</f>
        <v>29.853749999999998</v>
      </c>
      <c r="AR11" s="109"/>
      <c r="AS11" s="112">
        <f t="shared" ref="AS11:AS13" si="17"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175000</v>
      </c>
      <c r="AT11" s="112">
        <f t="shared" ref="AT11:AT13" si="18">AQ11*AS11</f>
        <v>5224406.25</v>
      </c>
      <c r="AU11" s="112">
        <f t="shared" ref="AU11:AU13" si="19">AK11-AT11</f>
        <v>2317593.75</v>
      </c>
      <c r="AV11" s="105" t="str">
        <f t="shared" ref="AV11:AV13" si="20">AC11</f>
        <v/>
      </c>
      <c r="AW11" s="115">
        <f t="shared" ref="AW11:AW13" si="21">IF(AI11-AQ11=0,AQ11,IF(AI11-AQ11&gt;0,AI11-AQ11))</f>
        <v>1.5712500000000027</v>
      </c>
      <c r="AX11" s="115"/>
      <c r="AY11" s="116">
        <f t="shared" ref="AY11:AY13" si="22">(AK11-AT11)/AW11</f>
        <v>1474999.9999999974</v>
      </c>
      <c r="AZ11" s="116">
        <f t="shared" ref="AZ11:AZ13" si="23">AW11*AY11</f>
        <v>2317593.75</v>
      </c>
      <c r="BA11" s="116">
        <f t="shared" ref="BA11:BA13" si="24">X11-AT11-AZ11</f>
        <v>0</v>
      </c>
      <c r="BB11" s="117">
        <f t="shared" ref="BB11:BB13" si="25"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512132</v>
      </c>
      <c r="BC11" s="117">
        <f t="shared" ref="BC11:BC13" si="26">IF(AA11="DKG",511301,IF(AA11="THG",511302,0))</f>
        <v>511301</v>
      </c>
      <c r="BD11" s="117">
        <f t="shared" ref="BD11:BD13" si="27">IF(AA11="DKG",5123,IF(AA11="THG",522,0))</f>
        <v>5123</v>
      </c>
      <c r="BE11" s="117">
        <f t="shared" ref="BE11:BE13" si="28">IF(AP11="Phú","NV018",IF(AP11="Giang","NV006",IF(AP11="Quang","NV024",IF(AP11="Kỳ","NV222",0))))</f>
        <v>0</v>
      </c>
      <c r="BF11" s="117">
        <f t="shared" ref="BF11:BF13" si="29">IF(AG11="CX001",0,331)</f>
        <v>0</v>
      </c>
      <c r="BG11" s="117">
        <f t="shared" ref="BG11:BG13" si="30">IF(AG11="CX001",15401,IF(OR(AG11="CX055",AG11="CX039",AG11="CX040",AG11="CX002",AG11="CX003",AG11="CX004",AG11="CX005",AG11="CX006",AG11="CX056",AG11="CX057"),331,0))</f>
        <v>15401</v>
      </c>
      <c r="BH11" s="118">
        <f t="shared" ref="BH11:BH13" si="31"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6121132</v>
      </c>
      <c r="BI11" s="73" t="s">
        <v>122</v>
      </c>
      <c r="BJ11" s="73" t="str">
        <f t="shared" ref="BJ11:BJ13" si="32">CONCATENATE(BI11,N11)</f>
        <v>TDG xe 15C-11856</v>
      </c>
      <c r="BK11" s="118" t="str">
        <f t="shared" ref="BK11:BK13" si="33">IF(AA11="THG","T",IF(AA11="DKG","G",0))</f>
        <v>G</v>
      </c>
      <c r="BL11" s="74">
        <f t="shared" ref="BL11:BL13" ca="1" si="34">IF(Y11="CGN",TODAY(),"")</f>
        <v>45488</v>
      </c>
      <c r="BM11" s="8" t="str">
        <f t="shared" ref="BM11" si="35">+C11</f>
        <v>CG00236</v>
      </c>
      <c r="BN11" s="8">
        <f>I11</f>
        <v>0</v>
      </c>
      <c r="BO11" s="8" t="str">
        <f t="shared" ref="BO11:BP11" si="36">+C11</f>
        <v>CG00236</v>
      </c>
      <c r="BP11" s="8" t="str">
        <f t="shared" si="36"/>
        <v>Phạm Thị Trang (KTHP) 031174005141 0904435298</v>
      </c>
      <c r="BQ11" s="8" t="str">
        <f t="shared" ref="BQ11" si="37">+L11</f>
        <v>DKG&lt;-&gt;Kiến Thụy, Hải Phòng</v>
      </c>
      <c r="BS11" s="116">
        <f t="shared" ref="BS11" si="38">+W11</f>
        <v>240000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 t="str">
        <f>IF(BS11-BT11=500000,BU11+400000,IF(BT11=BS11,BU11,"saiiiiiiiiiiiiiiiii"))</f>
        <v>saiiiiiiiiiiiiiiiii</v>
      </c>
      <c r="BX11" s="120">
        <f>VLOOKUP(BQ11,[2]gia3!$D$7:$W$256,19,0)</f>
        <v>0</v>
      </c>
      <c r="BY11" s="95">
        <f t="shared" ref="BY11:BY13" si="39">IF(BN11="","",IF(BN11="LH",BX11+300000,BX11))</f>
        <v>0</v>
      </c>
      <c r="BZ11" s="96">
        <f t="shared" ref="BZ11:BZ13" si="40">+BY11-AS11</f>
        <v>-175000</v>
      </c>
    </row>
    <row r="12" spans="1:78" s="8" customFormat="1" ht="20.100000000000001" customHeight="1" x14ac:dyDescent="0.3">
      <c r="A12" s="97">
        <f>MAX($A$11:A11)+1</f>
        <v>2</v>
      </c>
      <c r="B12" s="98">
        <v>45486</v>
      </c>
      <c r="C12" s="97" t="s">
        <v>123</v>
      </c>
      <c r="D12" s="99" t="s">
        <v>124</v>
      </c>
      <c r="E12" s="100" t="s">
        <v>125</v>
      </c>
      <c r="F12" s="99" t="s">
        <v>126</v>
      </c>
      <c r="G12" s="99"/>
      <c r="H12" s="97" t="s">
        <v>127</v>
      </c>
      <c r="I12" s="97" t="s">
        <v>128</v>
      </c>
      <c r="J12" s="97" t="s">
        <v>129</v>
      </c>
      <c r="K12" s="101" t="s">
        <v>130</v>
      </c>
      <c r="L12" s="102" t="s">
        <v>131</v>
      </c>
      <c r="M12" s="103" t="str">
        <f t="shared" si="0"/>
        <v>Cậu Mợ</v>
      </c>
      <c r="N12" s="104" t="s">
        <v>132</v>
      </c>
      <c r="O12" s="105" t="str">
        <f t="shared" si="1"/>
        <v>Nguyễn Ngọc Anh</v>
      </c>
      <c r="P12" s="103" t="str">
        <f t="shared" si="2"/>
        <v>CT</v>
      </c>
      <c r="Q12" s="106" t="str">
        <f t="shared" si="3"/>
        <v>CT</v>
      </c>
      <c r="R12" s="103">
        <v>0</v>
      </c>
      <c r="S12" s="103" t="s">
        <v>112</v>
      </c>
      <c r="T12" s="107" t="s">
        <v>133</v>
      </c>
      <c r="U12" s="108"/>
      <c r="V12" s="109">
        <v>1</v>
      </c>
      <c r="W12" s="110">
        <v>1200000</v>
      </c>
      <c r="X12" s="111">
        <f t="shared" si="4"/>
        <v>1200000</v>
      </c>
      <c r="Y12" s="106" t="s">
        <v>134</v>
      </c>
      <c r="Z12" s="106" t="str">
        <f t="shared" si="5"/>
        <v>OK/NO</v>
      </c>
      <c r="AA12" s="106" t="str">
        <f t="shared" si="6"/>
        <v>DKG</v>
      </c>
      <c r="AB12" s="112">
        <v>150000</v>
      </c>
      <c r="AC12" s="105" t="s">
        <v>135</v>
      </c>
      <c r="AD12" s="113">
        <f t="shared" si="7"/>
        <v>2</v>
      </c>
      <c r="AE12" s="113" t="str">
        <f t="shared" si="8"/>
        <v>CT</v>
      </c>
      <c r="AF12" s="114" t="str">
        <f t="shared" si="9"/>
        <v>DKG&lt;-&gt;Chuyển tải khu vực CĐV-HS</v>
      </c>
      <c r="AG12" s="106" t="str">
        <f t="shared" si="10"/>
        <v>CX006</v>
      </c>
      <c r="AH12" s="106" t="str">
        <f t="shared" si="11"/>
        <v>15C-13036</v>
      </c>
      <c r="AI12" s="109">
        <f t="shared" si="12"/>
        <v>1</v>
      </c>
      <c r="AJ12" s="112">
        <f t="shared" si="12"/>
        <v>1200000</v>
      </c>
      <c r="AK12" s="112">
        <f t="shared" si="12"/>
        <v>1200000</v>
      </c>
      <c r="AL12" s="106" t="str">
        <f t="shared" si="13"/>
        <v>DKG</v>
      </c>
      <c r="AM12" s="112">
        <f t="shared" si="13"/>
        <v>150000</v>
      </c>
      <c r="AN12" s="112">
        <f t="shared" si="14"/>
        <v>150000</v>
      </c>
      <c r="AO12" s="112">
        <f t="shared" si="15"/>
        <v>0</v>
      </c>
      <c r="AP12" s="105"/>
      <c r="AQ12" s="109">
        <f t="shared" si="16"/>
        <v>1</v>
      </c>
      <c r="AR12" s="109"/>
      <c r="AS12" s="112">
        <f t="shared" si="17"/>
        <v>550000</v>
      </c>
      <c r="AT12" s="112">
        <f t="shared" si="18"/>
        <v>550000</v>
      </c>
      <c r="AU12" s="112">
        <f t="shared" si="19"/>
        <v>650000</v>
      </c>
      <c r="AV12" s="105" t="str">
        <f t="shared" si="20"/>
        <v>Dai Xuan</v>
      </c>
      <c r="AW12" s="115">
        <f t="shared" si="21"/>
        <v>1</v>
      </c>
      <c r="AX12" s="115"/>
      <c r="AY12" s="116">
        <f t="shared" si="22"/>
        <v>650000</v>
      </c>
      <c r="AZ12" s="116">
        <f t="shared" si="23"/>
        <v>650000</v>
      </c>
      <c r="BA12" s="116">
        <f t="shared" si="24"/>
        <v>0</v>
      </c>
      <c r="BB12" s="117">
        <f t="shared" si="25"/>
        <v>51224</v>
      </c>
      <c r="BC12" s="117">
        <f t="shared" si="26"/>
        <v>511301</v>
      </c>
      <c r="BD12" s="117">
        <f t="shared" si="27"/>
        <v>5123</v>
      </c>
      <c r="BE12" s="117">
        <f t="shared" si="28"/>
        <v>0</v>
      </c>
      <c r="BF12" s="117">
        <f t="shared" si="29"/>
        <v>331</v>
      </c>
      <c r="BG12" s="117">
        <f t="shared" si="30"/>
        <v>331</v>
      </c>
      <c r="BH12" s="118">
        <f t="shared" si="31"/>
        <v>0</v>
      </c>
      <c r="BI12" s="73" t="s">
        <v>122</v>
      </c>
      <c r="BJ12" s="73" t="str">
        <f t="shared" si="32"/>
        <v>TDG xe 15C-13036</v>
      </c>
      <c r="BK12" s="118" t="str">
        <f t="shared" si="33"/>
        <v>G</v>
      </c>
      <c r="BL12" s="74" t="str">
        <f t="shared" ca="1" si="34"/>
        <v/>
      </c>
      <c r="BM12" s="8" t="str">
        <f>+C12</f>
        <v>CG00040</v>
      </c>
      <c r="BN12" s="8" t="str">
        <f t="shared" ref="BN12:BN13" si="41">I12</f>
        <v>VIMC</v>
      </c>
      <c r="BO12" s="8" t="str">
        <f>+C12</f>
        <v>CG00040</v>
      </c>
      <c r="BP12" s="8" t="str">
        <f>+D12</f>
        <v>Công ty TNHH Gỗ Đại Xuân (PLHNA) 0979668924</v>
      </c>
      <c r="BQ12" s="8" t="str">
        <f>+L12</f>
        <v>DKG&lt;-&gt;Chuyển tải khu vực CĐV-HS</v>
      </c>
      <c r="BS12" s="116">
        <f>+W12</f>
        <v>1200000</v>
      </c>
      <c r="BT12" s="119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119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8" t="str">
        <f t="shared" ref="BV12:BV13" si="42">IF(BS12-BT12=500000,BU12+400000,IF(BT12=BS12,BU12,"saiiiiiiiiiiiiiiiii"))</f>
        <v>saiiiiiiiiiiiiiiiii</v>
      </c>
      <c r="BW12" s="8" t="str">
        <f>I12</f>
        <v>VIMC</v>
      </c>
      <c r="BX12" s="120" t="e">
        <f>VLOOKUP(BQ12,[2]gia3!$D$7:$W$256,19,0)</f>
        <v>#N/A</v>
      </c>
      <c r="BY12" s="95" t="e">
        <f t="shared" si="39"/>
        <v>#N/A</v>
      </c>
      <c r="BZ12" s="96" t="e">
        <f t="shared" si="40"/>
        <v>#N/A</v>
      </c>
    </row>
    <row r="13" spans="1:78" s="8" customFormat="1" ht="20.100000000000001" customHeight="1" x14ac:dyDescent="0.3">
      <c r="A13" s="97">
        <f>MAX($A$11:A12)+1</f>
        <v>3</v>
      </c>
      <c r="B13" s="98">
        <v>45486</v>
      </c>
      <c r="C13" s="97" t="s">
        <v>123</v>
      </c>
      <c r="D13" s="99" t="s">
        <v>124</v>
      </c>
      <c r="E13" s="100" t="s">
        <v>125</v>
      </c>
      <c r="F13" s="99" t="s">
        <v>126</v>
      </c>
      <c r="G13" s="99"/>
      <c r="H13" s="97" t="s">
        <v>127</v>
      </c>
      <c r="I13" s="97" t="s">
        <v>128</v>
      </c>
      <c r="J13" s="97" t="s">
        <v>136</v>
      </c>
      <c r="K13" s="101" t="s">
        <v>130</v>
      </c>
      <c r="L13" s="102" t="s">
        <v>131</v>
      </c>
      <c r="M13" s="103" t="str">
        <f t="shared" si="0"/>
        <v>Hoàng Sơn</v>
      </c>
      <c r="N13" s="104" t="s">
        <v>137</v>
      </c>
      <c r="O13" s="105" t="str">
        <f t="shared" si="1"/>
        <v>Lưu Xuân Thành</v>
      </c>
      <c r="P13" s="103" t="str">
        <f t="shared" si="2"/>
        <v>CT</v>
      </c>
      <c r="Q13" s="106" t="str">
        <f t="shared" si="3"/>
        <v>CT</v>
      </c>
      <c r="R13" s="103">
        <v>0</v>
      </c>
      <c r="S13" s="103" t="s">
        <v>112</v>
      </c>
      <c r="T13" s="107" t="s">
        <v>133</v>
      </c>
      <c r="U13" s="108"/>
      <c r="V13" s="109">
        <v>1</v>
      </c>
      <c r="W13" s="110">
        <v>1200000</v>
      </c>
      <c r="X13" s="111">
        <f t="shared" si="4"/>
        <v>1200000</v>
      </c>
      <c r="Y13" s="106" t="s">
        <v>134</v>
      </c>
      <c r="Z13" s="106" t="str">
        <f t="shared" si="5"/>
        <v>OK/NO</v>
      </c>
      <c r="AA13" s="106" t="str">
        <f t="shared" si="6"/>
        <v>DKG</v>
      </c>
      <c r="AB13" s="112">
        <v>150000</v>
      </c>
      <c r="AC13" s="105" t="s">
        <v>135</v>
      </c>
      <c r="AD13" s="113">
        <f t="shared" si="7"/>
        <v>3</v>
      </c>
      <c r="AE13" s="113" t="str">
        <f t="shared" si="8"/>
        <v>CT</v>
      </c>
      <c r="AF13" s="114" t="str">
        <f t="shared" si="9"/>
        <v>DKG&lt;-&gt;Chuyển tải khu vực CĐV-HS</v>
      </c>
      <c r="AG13" s="106" t="str">
        <f t="shared" si="10"/>
        <v>CX001</v>
      </c>
      <c r="AH13" s="106" t="str">
        <f t="shared" si="11"/>
        <v>15C-15237</v>
      </c>
      <c r="AI13" s="109">
        <f t="shared" si="12"/>
        <v>1</v>
      </c>
      <c r="AJ13" s="112">
        <f t="shared" si="12"/>
        <v>1200000</v>
      </c>
      <c r="AK13" s="112">
        <f t="shared" si="12"/>
        <v>1200000</v>
      </c>
      <c r="AL13" s="106" t="str">
        <f t="shared" si="13"/>
        <v>DKG</v>
      </c>
      <c r="AM13" s="112">
        <f t="shared" si="13"/>
        <v>150000</v>
      </c>
      <c r="AN13" s="112">
        <f t="shared" si="14"/>
        <v>150000</v>
      </c>
      <c r="AO13" s="112">
        <f t="shared" si="15"/>
        <v>0</v>
      </c>
      <c r="AP13" s="105"/>
      <c r="AQ13" s="109">
        <f t="shared" si="16"/>
        <v>1</v>
      </c>
      <c r="AR13" s="109"/>
      <c r="AS13" s="112">
        <f t="shared" si="17"/>
        <v>550000</v>
      </c>
      <c r="AT13" s="112">
        <f t="shared" si="18"/>
        <v>550000</v>
      </c>
      <c r="AU13" s="112">
        <f t="shared" si="19"/>
        <v>650000</v>
      </c>
      <c r="AV13" s="105" t="str">
        <f t="shared" si="20"/>
        <v>Dai Xuan</v>
      </c>
      <c r="AW13" s="115">
        <f t="shared" si="21"/>
        <v>1</v>
      </c>
      <c r="AX13" s="115"/>
      <c r="AY13" s="116">
        <f t="shared" si="22"/>
        <v>650000</v>
      </c>
      <c r="AZ13" s="116">
        <f t="shared" si="23"/>
        <v>650000</v>
      </c>
      <c r="BA13" s="116">
        <f t="shared" si="24"/>
        <v>0</v>
      </c>
      <c r="BB13" s="117">
        <f t="shared" si="25"/>
        <v>512119</v>
      </c>
      <c r="BC13" s="117">
        <f t="shared" si="26"/>
        <v>511301</v>
      </c>
      <c r="BD13" s="117">
        <f t="shared" si="27"/>
        <v>5123</v>
      </c>
      <c r="BE13" s="117">
        <f t="shared" si="28"/>
        <v>0</v>
      </c>
      <c r="BF13" s="117">
        <f t="shared" si="29"/>
        <v>0</v>
      </c>
      <c r="BG13" s="117">
        <f t="shared" si="30"/>
        <v>15401</v>
      </c>
      <c r="BH13" s="118">
        <f t="shared" si="31"/>
        <v>6121119</v>
      </c>
      <c r="BI13" s="73" t="s">
        <v>122</v>
      </c>
      <c r="BJ13" s="73" t="str">
        <f t="shared" si="32"/>
        <v>TDG xe 15C-15237</v>
      </c>
      <c r="BK13" s="118" t="str">
        <f t="shared" si="33"/>
        <v>G</v>
      </c>
      <c r="BL13" s="74" t="str">
        <f t="shared" ca="1" si="34"/>
        <v/>
      </c>
      <c r="BM13" s="8" t="str">
        <f t="shared" ref="BM13" si="43">+C13</f>
        <v>CG00040</v>
      </c>
      <c r="BN13" s="8" t="str">
        <f t="shared" si="41"/>
        <v>VIMC</v>
      </c>
      <c r="BO13" s="8" t="str">
        <f t="shared" ref="BO13:BP13" si="44">+C13</f>
        <v>CG00040</v>
      </c>
      <c r="BP13" s="8" t="str">
        <f t="shared" si="44"/>
        <v>Công ty TNHH Gỗ Đại Xuân (PLHNA) 0979668924</v>
      </c>
      <c r="BQ13" s="8" t="str">
        <f t="shared" ref="BQ13" si="45">+L13</f>
        <v>DKG&lt;-&gt;Chuyển tải khu vực CĐV-HS</v>
      </c>
      <c r="BS13" s="116">
        <f t="shared" ref="BS13" si="46">+W13</f>
        <v>1200000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si="42"/>
        <v>saiiiiiiiiiiiiiiiii</v>
      </c>
      <c r="BX13" s="120" t="e">
        <f>VLOOKUP(BQ13,[2]gia3!$D$7:$W$256,19,0)</f>
        <v>#N/A</v>
      </c>
      <c r="BY13" s="95" t="e">
        <f t="shared" si="39"/>
        <v>#N/A</v>
      </c>
      <c r="BZ13" s="96" t="e">
        <f t="shared" si="40"/>
        <v>#N/A</v>
      </c>
    </row>
  </sheetData>
  <autoFilter ref="A10:BL13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2024-07-15T02:54:57Z</dcterms:created>
  <dcterms:modified xsi:type="dcterms:W3CDTF">2024-07-15T02:55:00Z</dcterms:modified>
</cp:coreProperties>
</file>