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D775682A-A4CE-4D64-AB8B-8DDADA6CD7E0}" xr6:coauthVersionLast="47" xr6:coauthVersionMax="47" xr10:uidLastSave="{00000000-0000-0000-0000-000000000000}"/>
  <bookViews>
    <workbookView xWindow="-108" yWindow="-108" windowWidth="23256" windowHeight="12456" xr2:uid="{388AF7F9-9221-4806-AC6A-73A5CF955CA1}"/>
  </bookViews>
  <sheets>
    <sheet name="HT" sheetId="1" r:id="rId1"/>
  </sheets>
  <externalReferences>
    <externalReference r:id="rId2"/>
    <externalReference r:id="rId3"/>
  </externalReferences>
  <definedNames>
    <definedName name="_xlnm._FilterDatabase" localSheetId="0" hidden="1">HT!$A$10:$BL$13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3" i="1" l="1"/>
  <c r="BQ13" i="1"/>
  <c r="BX13" i="1" s="1"/>
  <c r="BP13" i="1"/>
  <c r="BO13" i="1"/>
  <c r="BN13" i="1"/>
  <c r="BY13" i="1" s="1"/>
  <c r="BM13" i="1"/>
  <c r="BU13" i="1" s="1"/>
  <c r="BL13" i="1"/>
  <c r="BJ13" i="1"/>
  <c r="BE13" i="1"/>
  <c r="AV13" i="1"/>
  <c r="AQ13" i="1"/>
  <c r="AM13" i="1"/>
  <c r="AK13" i="1"/>
  <c r="AJ13" i="1"/>
  <c r="AI13" i="1"/>
  <c r="AW13" i="1" s="1"/>
  <c r="AH13" i="1"/>
  <c r="AG13" i="1"/>
  <c r="BH13" i="1" s="1"/>
  <c r="AF13" i="1"/>
  <c r="AE13" i="1"/>
  <c r="AA13" i="1"/>
  <c r="BK13" i="1" s="1"/>
  <c r="Z13" i="1"/>
  <c r="X13" i="1"/>
  <c r="P13" i="1"/>
  <c r="Q13" i="1" s="1"/>
  <c r="O13" i="1"/>
  <c r="M13" i="1"/>
  <c r="BW12" i="1"/>
  <c r="BS12" i="1"/>
  <c r="BQ12" i="1"/>
  <c r="BX12" i="1" s="1"/>
  <c r="BP12" i="1"/>
  <c r="BO12" i="1"/>
  <c r="BN12" i="1"/>
  <c r="BY12" i="1" s="1"/>
  <c r="BM12" i="1"/>
  <c r="BU12" i="1" s="1"/>
  <c r="BL12" i="1"/>
  <c r="BJ12" i="1"/>
  <c r="BE12" i="1"/>
  <c r="AV12" i="1"/>
  <c r="AQ12" i="1"/>
  <c r="AM12" i="1"/>
  <c r="AN12" i="1" s="1"/>
  <c r="AO12" i="1" s="1"/>
  <c r="AK12" i="1"/>
  <c r="AJ12" i="1"/>
  <c r="AI12" i="1"/>
  <c r="AW12" i="1" s="1"/>
  <c r="AH12" i="1"/>
  <c r="AG12" i="1"/>
  <c r="BB12" i="1" s="1"/>
  <c r="AF12" i="1"/>
  <c r="AE12" i="1"/>
  <c r="AD12" i="1"/>
  <c r="AA12" i="1"/>
  <c r="BC12" i="1" s="1"/>
  <c r="Z12" i="1"/>
  <c r="X12" i="1"/>
  <c r="P12" i="1"/>
  <c r="Q12" i="1" s="1"/>
  <c r="O12" i="1"/>
  <c r="M12" i="1"/>
  <c r="A12" i="1"/>
  <c r="A13" i="1" s="1"/>
  <c r="AD13" i="1" s="1"/>
  <c r="BY11" i="1"/>
  <c r="BX11" i="1"/>
  <c r="BU11" i="1"/>
  <c r="BS11" i="1"/>
  <c r="BQ11" i="1"/>
  <c r="BP11" i="1"/>
  <c r="BO11" i="1"/>
  <c r="BN11" i="1"/>
  <c r="BM11" i="1"/>
  <c r="BT11" i="1" s="1"/>
  <c r="BL11" i="1"/>
  <c r="BK11" i="1"/>
  <c r="BJ11" i="1"/>
  <c r="BE11" i="1"/>
  <c r="BC11" i="1"/>
  <c r="AV11" i="1"/>
  <c r="AM11" i="1"/>
  <c r="AN11" i="1" s="1"/>
  <c r="AL11" i="1"/>
  <c r="AJ11" i="1"/>
  <c r="AI11" i="1"/>
  <c r="AQ11" i="1" s="1"/>
  <c r="AH11" i="1"/>
  <c r="AG11" i="1"/>
  <c r="BF11" i="1" s="1"/>
  <c r="AF11" i="1"/>
  <c r="AE11" i="1"/>
  <c r="AD11" i="1"/>
  <c r="AA11" i="1"/>
  <c r="AS11" i="1" s="1"/>
  <c r="Z11" i="1"/>
  <c r="X11" i="1"/>
  <c r="P11" i="1"/>
  <c r="Q11" i="1" s="1"/>
  <c r="O11" i="1"/>
  <c r="M11" i="1"/>
  <c r="AI9" i="1"/>
  <c r="AB9" i="1"/>
  <c r="V9" i="1"/>
  <c r="U9" i="1"/>
  <c r="AI4" i="1"/>
  <c r="AQ9" i="1" l="1"/>
  <c r="AT11" i="1"/>
  <c r="BV11" i="1"/>
  <c r="BZ11" i="1"/>
  <c r="BH11" i="1"/>
  <c r="AL13" i="1"/>
  <c r="AS12" i="1"/>
  <c r="AT12" i="1" s="1"/>
  <c r="BF12" i="1"/>
  <c r="BT12" i="1"/>
  <c r="BV12" i="1" s="1"/>
  <c r="BB13" i="1"/>
  <c r="BG12" i="1"/>
  <c r="AN13" i="1"/>
  <c r="AO13" i="1" s="1"/>
  <c r="BC13" i="1"/>
  <c r="BH12" i="1"/>
  <c r="BD13" i="1"/>
  <c r="X9" i="1"/>
  <c r="AK11" i="1"/>
  <c r="AW11" i="1"/>
  <c r="BK12" i="1"/>
  <c r="AS13" i="1"/>
  <c r="BZ13" i="1" s="1"/>
  <c r="BF13" i="1"/>
  <c r="BT13" i="1"/>
  <c r="BV13" i="1" s="1"/>
  <c r="BG11" i="1"/>
  <c r="BD12" i="1"/>
  <c r="BG13" i="1"/>
  <c r="BB11" i="1"/>
  <c r="AM9" i="1"/>
  <c r="AO11" i="1"/>
  <c r="BD11" i="1"/>
  <c r="AL12" i="1"/>
  <c r="AY12" i="1" l="1"/>
  <c r="AZ12" i="1" s="1"/>
  <c r="BA12" i="1" s="1"/>
  <c r="AT13" i="1"/>
  <c r="AO9" i="1"/>
  <c r="AK9" i="1"/>
  <c r="AY11" i="1"/>
  <c r="AU11" i="1"/>
  <c r="BZ12" i="1"/>
  <c r="AN9" i="1"/>
  <c r="AU12" i="1"/>
  <c r="AT9" i="1"/>
  <c r="AZ11" i="1"/>
  <c r="BA11" i="1" s="1"/>
  <c r="AU13" i="1" l="1"/>
  <c r="AU9" i="1" s="1"/>
  <c r="AY13" i="1"/>
  <c r="AZ13" i="1" s="1"/>
  <c r="BA13" i="1" s="1"/>
</calcChain>
</file>

<file path=xl/sharedStrings.xml><?xml version="1.0" encoding="utf-8"?>
<sst xmlns="http://schemas.openxmlformats.org/spreadsheetml/2006/main" count="182" uniqueCount="124">
  <si>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</si>
  <si>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</si>
  <si>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</si>
  <si>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</si>
  <si>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</si>
  <si>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</si>
  <si>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</si>
  <si>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</si>
  <si>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</si>
  <si>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</si>
  <si>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</si>
  <si>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</si>
  <si>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</si>
  <si>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</si>
  <si>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</si>
  <si>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</si>
  <si>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</si>
  <si>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</si>
  <si>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</si>
  <si>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</si>
  <si>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</si>
  <si>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</si>
  <si>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</si>
  <si>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</si>
  <si>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</si>
  <si>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</si>
  <si>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</si>
  <si>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</si>
  <si>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</si>
  <si>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</si>
  <si>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</si>
  <si>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</si>
  <si>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</si>
  <si>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</si>
  <si>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</si>
  <si>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</si>
  <si>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</si>
  <si>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</si>
  <si>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</si>
  <si>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</si>
  <si>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</si>
  <si>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</si>
  <si>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</si>
  <si>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</si>
  <si>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</si>
  <si>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</si>
  <si>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</si>
  <si>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</si>
  <si>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</si>
  <si>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</si>
  <si>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</si>
  <si>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</si>
  <si>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</si>
  <si>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</si>
  <si>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</si>
  <si>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</si>
  <si>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</si>
  <si>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</si>
  <si>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</si>
  <si>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</si>
  <si>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</si>
  <si>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</si>
  <si>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</si>
  <si>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</si>
  <si>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</si>
  <si>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</si>
  <si>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</si>
  <si>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</si>
  <si>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</si>
  <si>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</si>
  <si>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</si>
  <si>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</si>
  <si>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</si>
  <si>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</si>
  <si>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</si>
  <si>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</si>
  <si>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</si>
  <si>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</si>
  <si>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</si>
  <si>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</si>
  <si>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</si>
  <si>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</si>
  <si>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</si>
  <si>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</si>
  <si>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</si>
  <si>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</si>
  <si>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</si>
  <si>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</si>
  <si>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</si>
  <si>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</si>
  <si>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</si>
  <si>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</si>
  <si>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</si>
  <si>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</si>
  <si>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</si>
  <si>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</si>
  <si>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</si>
  <si>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</si>
  <si>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</si>
  <si>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</si>
  <si>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</si>
  <si>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</si>
  <si>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</si>
  <si>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</si>
  <si>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</si>
  <si>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</si>
  <si>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</si>
  <si>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</si>
  <si>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</si>
  <si>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</si>
  <si>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CG00052</t>
  </si>
  <si>
    <t>Tuấn Phúc (HDHN) 0912766567</t>
  </si>
  <si>
    <t>Hà Đông, Hà Nội</t>
  </si>
  <si>
    <t>HS</t>
  </si>
  <si>
    <t>XT.ND.DKG</t>
  </si>
  <si>
    <t>DKG&lt;-&gt;Xuân Trường, Nam Định</t>
  </si>
  <si>
    <t>15C-13959</t>
  </si>
  <si>
    <t>HS05</t>
  </si>
  <si>
    <t>Chính</t>
  </si>
  <si>
    <t>Gỗ lim tròn (Phú Lân)</t>
  </si>
  <si>
    <t>CGL</t>
  </si>
  <si>
    <t xml:space="preserve">TDG xe </t>
  </si>
  <si>
    <t>15C-15237</t>
  </si>
  <si>
    <t>15C-13368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</si>
</sst>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0">
    <xf numFmtId="0" fontId="0" fillId="0" borderId="0" xfId="0"/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Normal 7" xfId="2" xr:uid="{F42D9232-B90E-445E-864D-C36670A4BE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4.07.24..xlsm" TargetMode="External"/><Relationship Id="rId1" Type="http://schemas.openxmlformats.org/officeDocument/2006/relationships/externalLinkPath" Target="/Dropbox/1.%20Tien_duong_tu_13.08.2021/KH14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  <sheetName val="KH14.07.24.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D348-7B91-4C87-BB30-947657C1B0C0}">
  <sheetPr codeName="Sheet16">
    <tabColor rgb="FF00B0F0"/>
  </sheetPr>
  <dimension ref="A1:BZ13"/>
  <sheetViews>
    <sheetView tabSelected="1" workbookViewId="0">
      <pane ySplit="8" topLeftCell="A9" activePane="bottomLeft" state="frozen"/>
      <selection activeCell="C14" sqref="C14"/>
      <selection pane="bottomLeft" activeCell="AC11" sqref="AC11:AC13"/>
    </sheetView>
  </sheetViews>
  <sheetFormatPr defaultColWidth="9" defaultRowHeight="21.9" customHeight="1" x14ac:dyDescent="0.3"/>
  <cols>
    <col min="1" max="1" width="2.59765625" style="8" bestFit="1" customWidth="1"/>
    <col min="2" max="2" width="5.3984375" style="8" customWidth="1"/>
    <col min="3" max="3" width="5.69921875" style="9" bestFit="1" customWidth="1"/>
    <col min="4" max="4" width="8.3984375" style="10" bestFit="1" customWidth="1"/>
    <col min="5" max="5" width="5" style="11" bestFit="1" customWidth="1"/>
    <col min="6" max="6" width="18.3984375" style="10" bestFit="1" customWidth="1"/>
    <col min="7" max="7" width="3.3984375" style="10" bestFit="1" customWidth="1"/>
    <col min="8" max="8" width="4.3984375" style="9" bestFit="1" customWidth="1"/>
    <col min="9" max="9" width="4.3984375" style="9" customWidth="1"/>
    <col min="10" max="10" width="4.69921875" style="9" customWidth="1"/>
    <col min="11" max="11" width="5.09765625" style="12" bestFit="1" customWidth="1"/>
    <col min="12" max="12" width="7.5" style="8" bestFit="1" customWidth="1"/>
    <col min="13" max="13" width="7.3984375" style="9" customWidth="1"/>
    <col min="14" max="14" width="4.8984375" style="9" bestFit="1" customWidth="1"/>
    <col min="15" max="15" width="5.09765625" style="9" bestFit="1" customWidth="1"/>
    <col min="16" max="16" width="8" style="13" hidden="1" customWidth="1"/>
    <col min="17" max="17" width="2" style="9" bestFit="1" customWidth="1"/>
    <col min="18" max="19" width="3.09765625" style="9" bestFit="1" customWidth="1"/>
    <col min="20" max="20" width="4.09765625" style="8" bestFit="1" customWidth="1"/>
    <col min="21" max="21" width="3.59765625" style="14" bestFit="1" customWidth="1"/>
    <col min="22" max="22" width="4.5" style="15" customWidth="1"/>
    <col min="23" max="23" width="4.8984375" style="16" customWidth="1"/>
    <col min="24" max="24" width="5.8984375" style="17" bestFit="1" customWidth="1"/>
    <col min="25" max="25" width="3.3984375" style="17" bestFit="1" customWidth="1"/>
    <col min="26" max="26" width="2.8984375" style="17" bestFit="1" customWidth="1"/>
    <col min="27" max="27" width="3.19921875" style="17" bestFit="1" customWidth="1"/>
    <col min="28" max="28" width="6.3984375" style="17" bestFit="1" customWidth="1"/>
    <col min="29" max="29" width="2.09765625" style="18" bestFit="1" customWidth="1"/>
    <col min="30" max="30" width="1.8984375" style="8" bestFit="1" customWidth="1"/>
    <col min="31" max="31" width="4.3984375" style="9" bestFit="1" customWidth="1"/>
    <col min="32" max="32" width="12.8984375" style="10" bestFit="1" customWidth="1"/>
    <col min="33" max="33" width="4.5" style="9" customWidth="1"/>
    <col min="34" max="34" width="4.8984375" style="9" bestFit="1" customWidth="1"/>
    <col min="35" max="35" width="3.8984375" style="15" bestFit="1" customWidth="1"/>
    <col min="36" max="36" width="4.3984375" style="16" bestFit="1" customWidth="1"/>
    <col min="37" max="37" width="5.8984375" style="17" bestFit="1" customWidth="1"/>
    <col min="38" max="38" width="3.19921875" style="17" bestFit="1" customWidth="1"/>
    <col min="39" max="40" width="6.3984375" style="17" bestFit="1" customWidth="1"/>
    <col min="41" max="41" width="5.8984375" style="17" bestFit="1" customWidth="1"/>
    <col min="42" max="42" width="3.8984375" style="18" bestFit="1" customWidth="1"/>
    <col min="43" max="43" width="4.3984375" style="15" bestFit="1" customWidth="1"/>
    <col min="44" max="44" width="0.8984375" style="15" customWidth="1"/>
    <col min="45" max="45" width="6.59765625" style="16" customWidth="1"/>
    <col min="46" max="46" width="5.8984375" style="16" bestFit="1" customWidth="1"/>
    <col min="47" max="47" width="7.3984375" style="16" customWidth="1"/>
    <col min="48" max="48" width="2.09765625" style="16" bestFit="1" customWidth="1"/>
    <col min="49" max="49" width="2.8984375" style="28" hidden="1" customWidth="1"/>
    <col min="50" max="50" width="1.19921875" style="28" hidden="1" customWidth="1"/>
    <col min="51" max="52" width="4.3984375" style="28" hidden="1" customWidth="1"/>
    <col min="53" max="53" width="3.59765625" style="28" hidden="1" customWidth="1"/>
    <col min="54" max="54" width="5" style="17" hidden="1" customWidth="1"/>
    <col min="55" max="55" width="5.09765625" style="17" hidden="1" customWidth="1"/>
    <col min="56" max="56" width="6" style="17" hidden="1" customWidth="1"/>
    <col min="57" max="57" width="3.5" style="17" hidden="1" customWidth="1"/>
    <col min="58" max="58" width="3.3984375" style="17" hidden="1" customWidth="1"/>
    <col min="59" max="61" width="3.8984375" style="17" hidden="1" customWidth="1"/>
    <col min="62" max="62" width="10.3984375" style="17" hidden="1" customWidth="1"/>
    <col min="63" max="63" width="3.8984375" style="17" hidden="1" customWidth="1"/>
    <col min="64" max="64" width="3.3984375" style="20" hidden="1" customWidth="1"/>
    <col min="65" max="65" width="9.19921875" style="8" customWidth="1"/>
    <col min="66" max="16384" width="9" style="8"/>
  </cols>
  <sheetData>
    <row r="1" spans="1:78" s="4" customFormat="1" ht="30" customHeight="1" x14ac:dyDescent="0.3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"/>
      <c r="N1" s="1"/>
      <c r="O1" s="1"/>
      <c r="P1" s="2"/>
      <c r="Q1" s="1"/>
      <c r="R1" s="1"/>
      <c r="S1" s="1"/>
      <c r="T1" s="1"/>
      <c r="U1" s="3"/>
      <c r="V1" s="118" t="s">
        <v>1</v>
      </c>
      <c r="W1" s="118"/>
      <c r="X1" s="118"/>
      <c r="Y1" s="118"/>
      <c r="Z1" s="118"/>
      <c r="AA1" s="118"/>
      <c r="AB1" s="118"/>
      <c r="AC1" s="118"/>
      <c r="AD1" s="118" t="s">
        <v>0</v>
      </c>
      <c r="AE1" s="118"/>
      <c r="AF1" s="118"/>
      <c r="AG1" s="118"/>
      <c r="AH1" s="118"/>
      <c r="AI1" s="118"/>
      <c r="AM1" s="5"/>
      <c r="AN1" s="118" t="s">
        <v>1</v>
      </c>
      <c r="AO1" s="118"/>
      <c r="AP1" s="118"/>
      <c r="AQ1" s="118"/>
      <c r="AR1" s="118"/>
      <c r="AS1" s="118"/>
      <c r="AT1" s="118"/>
      <c r="AU1" s="118"/>
      <c r="AV1" s="118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6"/>
      <c r="BM1" s="7" t="s">
        <v>2</v>
      </c>
      <c r="BN1" s="7" t="s">
        <v>3</v>
      </c>
      <c r="BO1" s="4" t="s">
        <v>4</v>
      </c>
      <c r="BQ1" s="8" t="s">
        <v>5</v>
      </c>
      <c r="BR1" s="4" t="s">
        <v>6</v>
      </c>
      <c r="BS1" s="7" t="s">
        <v>7</v>
      </c>
      <c r="BT1" s="4" t="s">
        <v>8</v>
      </c>
    </row>
    <row r="2" spans="1:78" ht="9.9" customHeight="1" x14ac:dyDescent="0.3">
      <c r="AW2" s="19"/>
      <c r="AX2" s="19"/>
      <c r="AY2" s="19"/>
      <c r="AZ2" s="19"/>
      <c r="BA2" s="19"/>
    </row>
    <row r="3" spans="1:78" ht="20.399999999999999" customHeight="1" x14ac:dyDescent="0.3">
      <c r="A3" s="119" t="s">
        <v>9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 t="s">
        <v>10</v>
      </c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0" t="s">
        <v>11</v>
      </c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M3" s="4" t="s">
        <v>12</v>
      </c>
      <c r="BN3" s="8" t="s">
        <v>13</v>
      </c>
      <c r="BO3" s="4" t="s">
        <v>14</v>
      </c>
      <c r="BP3" s="4" t="s">
        <v>15</v>
      </c>
      <c r="BQ3" s="7" t="s">
        <v>16</v>
      </c>
      <c r="BR3" s="4" t="s">
        <v>17</v>
      </c>
      <c r="BT3" s="21" t="s">
        <v>18</v>
      </c>
      <c r="BU3" s="21" t="s">
        <v>19</v>
      </c>
    </row>
    <row r="4" spans="1:78" s="9" customFormat="1" ht="21" customHeight="1" x14ac:dyDescent="0.3">
      <c r="A4" s="4"/>
      <c r="B4" s="4"/>
      <c r="C4" s="4"/>
      <c r="D4" s="4"/>
      <c r="E4" s="22"/>
      <c r="F4" s="4"/>
      <c r="G4" s="4"/>
      <c r="H4" s="4"/>
      <c r="I4" s="4"/>
      <c r="J4" s="4"/>
      <c r="K4" s="111" t="s">
        <v>20</v>
      </c>
      <c r="L4" s="111"/>
      <c r="M4" s="23">
        <v>45487</v>
      </c>
      <c r="N4" s="4"/>
      <c r="O4" s="4"/>
      <c r="P4" s="2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5"/>
      <c r="AD4" s="4"/>
      <c r="AE4" s="4"/>
      <c r="AF4" s="25"/>
      <c r="AG4" s="4"/>
      <c r="AH4" s="4"/>
      <c r="AI4" s="111" t="str">
        <f>K4</f>
        <v>Ngày, tháng, năm:</v>
      </c>
      <c r="AJ4" s="111"/>
      <c r="AK4" s="111"/>
      <c r="AL4" s="111"/>
      <c r="AM4" s="26">
        <v>44440</v>
      </c>
      <c r="AN4" s="5"/>
      <c r="AO4" s="5"/>
      <c r="AP4" s="25"/>
      <c r="AQ4" s="111"/>
      <c r="AR4" s="111"/>
      <c r="AS4" s="111"/>
      <c r="AT4" s="4"/>
      <c r="AU4" s="4"/>
      <c r="AV4" s="4"/>
      <c r="AW4" s="27"/>
      <c r="AX4" s="27"/>
      <c r="AY4" s="4"/>
      <c r="AZ4" s="4"/>
      <c r="BA4" s="4"/>
      <c r="BB4" s="1"/>
      <c r="BC4" s="1"/>
      <c r="BD4" s="1"/>
      <c r="BE4" s="1"/>
      <c r="BF4" s="1"/>
      <c r="BG4" s="1"/>
      <c r="BH4" s="1"/>
      <c r="BI4" s="1"/>
      <c r="BJ4" s="1"/>
      <c r="BK4" s="1"/>
      <c r="BL4" s="20"/>
      <c r="BM4" s="8" t="s">
        <v>21</v>
      </c>
      <c r="BN4" s="9" t="s">
        <v>22</v>
      </c>
      <c r="BP4" s="8" t="s">
        <v>23</v>
      </c>
    </row>
    <row r="5" spans="1:78" ht="5.0999999999999996" customHeight="1" x14ac:dyDescent="0.3">
      <c r="A5" s="9"/>
      <c r="B5" s="9"/>
      <c r="AD5" s="9"/>
    </row>
    <row r="6" spans="1:78" s="34" customFormat="1" ht="21.6" customHeight="1" x14ac:dyDescent="0.3">
      <c r="A6" s="100" t="s">
        <v>24</v>
      </c>
      <c r="B6" s="112" t="s">
        <v>25</v>
      </c>
      <c r="C6" s="100" t="s">
        <v>26</v>
      </c>
      <c r="D6" s="114" t="s">
        <v>27</v>
      </c>
      <c r="E6" s="114"/>
      <c r="F6" s="114"/>
      <c r="G6" s="114"/>
      <c r="H6" s="101" t="s">
        <v>28</v>
      </c>
      <c r="I6" s="115" t="s">
        <v>29</v>
      </c>
      <c r="J6" s="116"/>
      <c r="K6" s="116"/>
      <c r="L6" s="117"/>
      <c r="M6" s="100" t="s">
        <v>30</v>
      </c>
      <c r="N6" s="100"/>
      <c r="O6" s="101" t="s">
        <v>31</v>
      </c>
      <c r="P6" s="106" t="s">
        <v>32</v>
      </c>
      <c r="Q6" s="101" t="s">
        <v>33</v>
      </c>
      <c r="R6" s="108" t="s">
        <v>34</v>
      </c>
      <c r="S6" s="108" t="s">
        <v>35</v>
      </c>
      <c r="T6" s="101" t="s">
        <v>36</v>
      </c>
      <c r="U6" s="94" t="s">
        <v>37</v>
      </c>
      <c r="V6" s="94"/>
      <c r="W6" s="94"/>
      <c r="X6" s="94"/>
      <c r="Y6" s="96" t="s">
        <v>38</v>
      </c>
      <c r="Z6" s="96" t="s">
        <v>39</v>
      </c>
      <c r="AA6" s="96" t="s">
        <v>40</v>
      </c>
      <c r="AB6" s="96" t="s">
        <v>41</v>
      </c>
      <c r="AC6" s="96" t="s">
        <v>42</v>
      </c>
      <c r="AD6" s="100" t="s">
        <v>43</v>
      </c>
      <c r="AE6" s="101" t="s">
        <v>28</v>
      </c>
      <c r="AF6" s="101" t="s">
        <v>29</v>
      </c>
      <c r="AG6" s="100" t="s">
        <v>44</v>
      </c>
      <c r="AH6" s="100"/>
      <c r="AI6" s="103" t="s">
        <v>37</v>
      </c>
      <c r="AJ6" s="104"/>
      <c r="AK6" s="105"/>
      <c r="AL6" s="96" t="s">
        <v>45</v>
      </c>
      <c r="AM6" s="96" t="s">
        <v>41</v>
      </c>
      <c r="AN6" s="96" t="s">
        <v>46</v>
      </c>
      <c r="AO6" s="96" t="s">
        <v>47</v>
      </c>
      <c r="AP6" s="96" t="s">
        <v>48</v>
      </c>
      <c r="AQ6" s="98" t="s">
        <v>49</v>
      </c>
      <c r="AR6" s="31"/>
      <c r="AS6" s="94" t="s">
        <v>50</v>
      </c>
      <c r="AT6" s="94"/>
      <c r="AU6" s="94" t="s">
        <v>51</v>
      </c>
      <c r="AV6" s="94" t="s">
        <v>42</v>
      </c>
      <c r="AW6" s="95"/>
      <c r="AX6" s="32"/>
      <c r="AY6" s="32"/>
      <c r="AZ6" s="32"/>
      <c r="BA6" s="32"/>
      <c r="BB6" s="92" t="s">
        <v>52</v>
      </c>
      <c r="BC6" s="92" t="s">
        <v>53</v>
      </c>
      <c r="BD6" s="92" t="s">
        <v>54</v>
      </c>
      <c r="BE6" s="92" t="s">
        <v>55</v>
      </c>
      <c r="BF6" s="92" t="s">
        <v>56</v>
      </c>
      <c r="BG6" s="92" t="s">
        <v>57</v>
      </c>
      <c r="BH6" s="92" t="s">
        <v>58</v>
      </c>
      <c r="BI6" s="33"/>
      <c r="BJ6" s="92" t="s">
        <v>59</v>
      </c>
      <c r="BK6" s="92" t="s">
        <v>60</v>
      </c>
      <c r="BL6" s="93" t="s">
        <v>61</v>
      </c>
    </row>
    <row r="7" spans="1:78" s="34" customFormat="1" ht="42.6" customHeight="1" x14ac:dyDescent="0.3">
      <c r="A7" s="100"/>
      <c r="B7" s="113"/>
      <c r="C7" s="100"/>
      <c r="D7" s="29" t="s">
        <v>62</v>
      </c>
      <c r="E7" s="35" t="s">
        <v>63</v>
      </c>
      <c r="F7" s="29" t="s">
        <v>64</v>
      </c>
      <c r="G7" s="29" t="s">
        <v>65</v>
      </c>
      <c r="H7" s="102"/>
      <c r="I7" s="29" t="s">
        <v>66</v>
      </c>
      <c r="J7" s="29" t="s">
        <v>67</v>
      </c>
      <c r="K7" s="29" t="s">
        <v>68</v>
      </c>
      <c r="L7" s="29" t="s">
        <v>69</v>
      </c>
      <c r="M7" s="36" t="s">
        <v>70</v>
      </c>
      <c r="N7" s="29" t="s">
        <v>71</v>
      </c>
      <c r="O7" s="102"/>
      <c r="P7" s="107"/>
      <c r="Q7" s="102"/>
      <c r="R7" s="109"/>
      <c r="S7" s="109"/>
      <c r="T7" s="102"/>
      <c r="U7" s="37" t="s">
        <v>72</v>
      </c>
      <c r="V7" s="38" t="s">
        <v>73</v>
      </c>
      <c r="W7" s="30" t="s">
        <v>74</v>
      </c>
      <c r="X7" s="39" t="s">
        <v>75</v>
      </c>
      <c r="Y7" s="97"/>
      <c r="Z7" s="97"/>
      <c r="AA7" s="97"/>
      <c r="AB7" s="97"/>
      <c r="AC7" s="97"/>
      <c r="AD7" s="100"/>
      <c r="AE7" s="102"/>
      <c r="AF7" s="102"/>
      <c r="AG7" s="36" t="s">
        <v>76</v>
      </c>
      <c r="AH7" s="29" t="s">
        <v>71</v>
      </c>
      <c r="AI7" s="38" t="s">
        <v>73</v>
      </c>
      <c r="AJ7" s="30" t="s">
        <v>74</v>
      </c>
      <c r="AK7" s="40" t="s">
        <v>75</v>
      </c>
      <c r="AL7" s="97"/>
      <c r="AM7" s="97"/>
      <c r="AN7" s="97"/>
      <c r="AO7" s="97"/>
      <c r="AP7" s="97"/>
      <c r="AQ7" s="99"/>
      <c r="AR7" s="41"/>
      <c r="AS7" s="30" t="s">
        <v>74</v>
      </c>
      <c r="AT7" s="30" t="s">
        <v>75</v>
      </c>
      <c r="AU7" s="94"/>
      <c r="AV7" s="94"/>
      <c r="AW7" s="95"/>
      <c r="AX7" s="32"/>
      <c r="AY7" s="32"/>
      <c r="AZ7" s="32"/>
      <c r="BA7" s="32"/>
      <c r="BB7" s="92"/>
      <c r="BC7" s="92"/>
      <c r="BD7" s="92"/>
      <c r="BE7" s="92"/>
      <c r="BF7" s="92"/>
      <c r="BG7" s="92"/>
      <c r="BH7" s="92"/>
      <c r="BI7" s="33"/>
      <c r="BJ7" s="92"/>
      <c r="BK7" s="92"/>
      <c r="BL7" s="93"/>
    </row>
    <row r="8" spans="1:78" s="34" customFormat="1" ht="20.100000000000001" customHeight="1" x14ac:dyDescent="0.3">
      <c r="A8" s="29" t="s">
        <v>77</v>
      </c>
      <c r="B8" s="39" t="s">
        <v>78</v>
      </c>
      <c r="C8" s="29" t="s">
        <v>79</v>
      </c>
      <c r="D8" s="29" t="s">
        <v>80</v>
      </c>
      <c r="E8" s="35" t="s">
        <v>81</v>
      </c>
      <c r="F8" s="29" t="s">
        <v>82</v>
      </c>
      <c r="G8" s="29" t="s">
        <v>83</v>
      </c>
      <c r="H8" s="29" t="s">
        <v>84</v>
      </c>
      <c r="I8" s="29" t="s">
        <v>85</v>
      </c>
      <c r="J8" s="29" t="s">
        <v>86</v>
      </c>
      <c r="K8" s="29" t="s">
        <v>87</v>
      </c>
      <c r="L8" s="29" t="s">
        <v>88</v>
      </c>
      <c r="M8" s="36" t="s">
        <v>89</v>
      </c>
      <c r="N8" s="29" t="s">
        <v>90</v>
      </c>
      <c r="O8" s="29" t="s">
        <v>91</v>
      </c>
      <c r="P8" s="42"/>
      <c r="Q8" s="29" t="s">
        <v>92</v>
      </c>
      <c r="R8" s="36" t="s">
        <v>93</v>
      </c>
      <c r="S8" s="36" t="s">
        <v>94</v>
      </c>
      <c r="T8" s="29" t="s">
        <v>95</v>
      </c>
      <c r="U8" s="30">
        <v>1</v>
      </c>
      <c r="V8" s="30">
        <v>2</v>
      </c>
      <c r="W8" s="30">
        <v>3</v>
      </c>
      <c r="X8" s="43" t="s">
        <v>96</v>
      </c>
      <c r="Y8" s="30" t="s">
        <v>97</v>
      </c>
      <c r="Z8" s="30" t="s">
        <v>98</v>
      </c>
      <c r="AA8" s="30" t="s">
        <v>99</v>
      </c>
      <c r="AB8" s="30">
        <v>5</v>
      </c>
      <c r="AC8" s="30" t="s">
        <v>100</v>
      </c>
      <c r="AD8" s="29" t="s">
        <v>77</v>
      </c>
      <c r="AE8" s="29" t="s">
        <v>78</v>
      </c>
      <c r="AF8" s="29" t="s">
        <v>79</v>
      </c>
      <c r="AG8" s="29" t="s">
        <v>80</v>
      </c>
      <c r="AH8" s="29" t="s">
        <v>81</v>
      </c>
      <c r="AI8" s="30">
        <v>1</v>
      </c>
      <c r="AJ8" s="30">
        <v>2</v>
      </c>
      <c r="AK8" s="30" t="s">
        <v>101</v>
      </c>
      <c r="AL8" s="30" t="s">
        <v>82</v>
      </c>
      <c r="AM8" s="30">
        <v>4</v>
      </c>
      <c r="AN8" s="30">
        <v>5</v>
      </c>
      <c r="AO8" s="30" t="s">
        <v>102</v>
      </c>
      <c r="AP8" s="30" t="s">
        <v>83</v>
      </c>
      <c r="AQ8" s="30" t="s">
        <v>103</v>
      </c>
      <c r="AR8" s="30"/>
      <c r="AS8" s="30">
        <v>8</v>
      </c>
      <c r="AT8" s="30" t="s">
        <v>104</v>
      </c>
      <c r="AU8" s="30">
        <v>10</v>
      </c>
      <c r="AV8" s="30" t="s">
        <v>84</v>
      </c>
      <c r="AW8" s="32"/>
      <c r="AX8" s="32"/>
      <c r="AY8" s="32"/>
      <c r="AZ8" s="32"/>
      <c r="BA8" s="32"/>
      <c r="BB8" s="33"/>
      <c r="BC8" s="33"/>
      <c r="BD8" s="33"/>
      <c r="BE8" s="33"/>
      <c r="BF8" s="33"/>
      <c r="BG8" s="33"/>
      <c r="BH8" s="44"/>
      <c r="BI8" s="45"/>
      <c r="BJ8" s="45"/>
      <c r="BK8" s="44"/>
      <c r="BL8" s="46"/>
    </row>
    <row r="9" spans="1:78" s="66" customFormat="1" ht="20.100000000000001" customHeight="1" x14ac:dyDescent="0.3">
      <c r="A9" s="47"/>
      <c r="B9" s="48"/>
      <c r="C9" s="47"/>
      <c r="D9" s="49"/>
      <c r="E9" s="50"/>
      <c r="F9" s="49"/>
      <c r="G9" s="49"/>
      <c r="H9" s="47"/>
      <c r="I9" s="47"/>
      <c r="J9" s="47"/>
      <c r="K9" s="51"/>
      <c r="L9" s="52"/>
      <c r="M9" s="53"/>
      <c r="N9" s="54"/>
      <c r="O9" s="54"/>
      <c r="P9" s="55"/>
      <c r="Q9" s="54"/>
      <c r="R9" s="53"/>
      <c r="S9" s="53"/>
      <c r="T9" s="56"/>
      <c r="U9" s="57">
        <f>SUBTOTAL(9,U11:U111027)</f>
        <v>15</v>
      </c>
      <c r="V9" s="58">
        <f>SUBTOTAL(9,V11:V111027)</f>
        <v>78.277999999999992</v>
      </c>
      <c r="W9" s="57"/>
      <c r="X9" s="59">
        <f>SUBTOTAL(9,X11:X111027)</f>
        <v>35225100</v>
      </c>
      <c r="Y9" s="54"/>
      <c r="Z9" s="54"/>
      <c r="AA9" s="54"/>
      <c r="AB9" s="57">
        <f>SUBTOTAL(9,AB11:AB111027)</f>
        <v>7950000</v>
      </c>
      <c r="AC9" s="60"/>
      <c r="AD9" s="47"/>
      <c r="AE9" s="47"/>
      <c r="AF9" s="47"/>
      <c r="AG9" s="54"/>
      <c r="AH9" s="54"/>
      <c r="AI9" s="58">
        <f>SUBTOTAL(9,AI11:AI111018)</f>
        <v>78.277999999999992</v>
      </c>
      <c r="AJ9" s="57"/>
      <c r="AK9" s="57">
        <f>SUBTOTAL(9,AK11:AK111018)</f>
        <v>35225100</v>
      </c>
      <c r="AL9" s="57"/>
      <c r="AM9" s="57">
        <f>SUBTOTAL(9,AM11:AM111027)</f>
        <v>7950000</v>
      </c>
      <c r="AN9" s="57">
        <f>SUBTOTAL(9,AN11:AN111027)</f>
        <v>7650000</v>
      </c>
      <c r="AO9" s="57">
        <f>SUBTOTAL(9,AO11:AO111027)</f>
        <v>300000</v>
      </c>
      <c r="AP9" s="54"/>
      <c r="AQ9" s="58">
        <f>SUBTOTAL(9,AQ11:AQ111018)</f>
        <v>74.364099999999993</v>
      </c>
      <c r="AR9" s="58"/>
      <c r="AS9" s="57"/>
      <c r="AT9" s="57">
        <f>SUBTOTAL(9,AT11:AT111018)</f>
        <v>28630178.5</v>
      </c>
      <c r="AU9" s="57">
        <f>SUBTOTAL(9,AU11:AU111018)</f>
        <v>6594921.5</v>
      </c>
      <c r="AV9" s="57"/>
      <c r="AW9" s="61"/>
      <c r="AX9" s="61"/>
      <c r="AY9" s="61"/>
      <c r="AZ9" s="61"/>
      <c r="BA9" s="61"/>
      <c r="BB9" s="62"/>
      <c r="BC9" s="62"/>
      <c r="BD9" s="62"/>
      <c r="BE9" s="62"/>
      <c r="BF9" s="62"/>
      <c r="BG9" s="62"/>
      <c r="BH9" s="63"/>
      <c r="BI9" s="64"/>
      <c r="BJ9" s="64"/>
      <c r="BK9" s="63"/>
      <c r="BL9" s="65"/>
      <c r="BT9" s="66" t="s">
        <v>105</v>
      </c>
      <c r="BU9" s="66" t="s">
        <v>106</v>
      </c>
      <c r="BX9" s="66" t="s">
        <v>107</v>
      </c>
      <c r="BY9" s="66" t="s">
        <v>108</v>
      </c>
      <c r="BZ9" s="66" t="s">
        <v>109</v>
      </c>
    </row>
    <row r="10" spans="1:78" s="66" customFormat="1" ht="20.100000000000001" customHeight="1" x14ac:dyDescent="0.3">
      <c r="A10" s="47"/>
      <c r="B10" s="48"/>
      <c r="C10" s="47"/>
      <c r="D10" s="49"/>
      <c r="E10" s="50"/>
      <c r="F10" s="49"/>
      <c r="G10" s="49"/>
      <c r="H10" s="47"/>
      <c r="I10" s="47"/>
      <c r="J10" s="47"/>
      <c r="K10" s="51"/>
      <c r="L10" s="52"/>
      <c r="M10" s="53"/>
      <c r="N10" s="54"/>
      <c r="O10" s="54"/>
      <c r="P10" s="55"/>
      <c r="Q10" s="54"/>
      <c r="R10" s="53"/>
      <c r="S10" s="53"/>
      <c r="T10" s="56"/>
      <c r="U10" s="57"/>
      <c r="V10" s="58"/>
      <c r="W10" s="57"/>
      <c r="X10" s="59"/>
      <c r="Y10" s="54"/>
      <c r="Z10" s="54"/>
      <c r="AA10" s="54"/>
      <c r="AB10" s="54"/>
      <c r="AC10" s="60"/>
      <c r="AD10" s="47"/>
      <c r="AE10" s="47"/>
      <c r="AF10" s="49"/>
      <c r="AG10" s="54"/>
      <c r="AH10" s="54"/>
      <c r="AI10" s="58"/>
      <c r="AJ10" s="57"/>
      <c r="AK10" s="57"/>
      <c r="AL10" s="57"/>
      <c r="AM10" s="57"/>
      <c r="AN10" s="57"/>
      <c r="AO10" s="57"/>
      <c r="AP10" s="60"/>
      <c r="AQ10" s="58"/>
      <c r="AR10" s="58"/>
      <c r="AS10" s="57"/>
      <c r="AT10" s="57"/>
      <c r="AU10" s="57"/>
      <c r="AV10" s="57"/>
      <c r="AW10" s="61"/>
      <c r="AX10" s="61"/>
      <c r="AY10" s="61"/>
      <c r="AZ10" s="61"/>
      <c r="BA10" s="61"/>
      <c r="BB10" s="62"/>
      <c r="BC10" s="62"/>
      <c r="BD10" s="62"/>
      <c r="BE10" s="62"/>
      <c r="BF10" s="62"/>
      <c r="BG10" s="62"/>
      <c r="BH10" s="63"/>
      <c r="BI10" s="64"/>
      <c r="BJ10" s="64"/>
      <c r="BK10" s="63"/>
      <c r="BL10" s="65"/>
      <c r="BY10" s="67"/>
      <c r="BZ10" s="68"/>
    </row>
    <row r="11" spans="1:78" s="7" customFormat="1" ht="20.100000000000001" customHeight="1" x14ac:dyDescent="0.3">
      <c r="A11" s="69">
        <v>1</v>
      </c>
      <c r="B11" s="70">
        <v>45487</v>
      </c>
      <c r="C11" s="69" t="s">
        <v>110</v>
      </c>
      <c r="D11" s="71" t="s">
        <v>111</v>
      </c>
      <c r="E11" s="71" t="s">
        <v>111</v>
      </c>
      <c r="F11" s="71" t="s">
        <v>112</v>
      </c>
      <c r="G11" s="71" t="s">
        <v>111</v>
      </c>
      <c r="H11" s="69" t="s">
        <v>113</v>
      </c>
      <c r="I11" s="71" t="s">
        <v>111</v>
      </c>
      <c r="J11" s="71" t="s">
        <v>111</v>
      </c>
      <c r="K11" s="72" t="s">
        <v>114</v>
      </c>
      <c r="L11" s="73" t="s">
        <v>115</v>
      </c>
      <c r="M11" s="74" t="str">
        <f t="shared" ref="M11:M13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75" t="s">
        <v>116</v>
      </c>
      <c r="O11" s="76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Phạm Viết Thành</v>
      </c>
      <c r="P11" s="74" t="str">
        <f t="shared" ref="P11:P13" si="1">RIGHT(H11,2)</f>
        <v>HS</v>
      </c>
      <c r="Q11" s="77" t="str">
        <f t="shared" ref="Q11:Q13" si="2">IF(P11="TC",189,P11)</f>
        <v>HS</v>
      </c>
      <c r="R11" s="74" t="s">
        <v>117</v>
      </c>
      <c r="S11" s="74" t="s">
        <v>118</v>
      </c>
      <c r="T11" s="78" t="s">
        <v>119</v>
      </c>
      <c r="U11" s="79">
        <v>4</v>
      </c>
      <c r="V11" s="80">
        <v>25.106000000000002</v>
      </c>
      <c r="W11" s="81">
        <v>450000</v>
      </c>
      <c r="X11" s="82">
        <f t="shared" ref="X11:X13" si="3">V11*W11</f>
        <v>11297700</v>
      </c>
      <c r="Y11" s="77" t="s">
        <v>120</v>
      </c>
      <c r="Z11" s="77">
        <f t="shared" ref="Z11:Z13" si="4">IF(Y11="RLL","OK/NO",0)</f>
        <v>0</v>
      </c>
      <c r="AA11" s="77" t="str">
        <f>LEFT(L11,3)</f>
        <v>DKG</v>
      </c>
      <c r="AB11" s="83">
        <v>2650000</v>
      </c>
      <c r="AC11" s="71" t="s">
        <v>111</v>
      </c>
      <c r="AD11" s="84">
        <f t="shared" ref="AD11:AD13" si="5">A11</f>
        <v>1</v>
      </c>
      <c r="AE11" s="84" t="str">
        <f t="shared" ref="AE11:AE13" si="6">H11</f>
        <v>HS</v>
      </c>
      <c r="AF11" s="85" t="str">
        <f t="shared" ref="AF11:AF13" si="7">L11</f>
        <v>DKG&lt;-&gt;Xuân Trường, Nam Định</v>
      </c>
      <c r="AG11" s="77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77" t="str">
        <f t="shared" ref="AH11:AH13" si="8">N11</f>
        <v>15C-13959</v>
      </c>
      <c r="AI11" s="80">
        <f t="shared" ref="AI11:AK13" si="9">V11</f>
        <v>25.106000000000002</v>
      </c>
      <c r="AJ11" s="83">
        <f t="shared" si="9"/>
        <v>450000</v>
      </c>
      <c r="AK11" s="83">
        <f t="shared" si="9"/>
        <v>11297700</v>
      </c>
      <c r="AL11" s="77" t="str">
        <f t="shared" ref="AL11:AM13" si="10">AA11</f>
        <v>DKG</v>
      </c>
      <c r="AM11" s="83">
        <f t="shared" si="10"/>
        <v>2650000</v>
      </c>
      <c r="AN11" s="83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2550000</v>
      </c>
      <c r="AO11" s="83">
        <f t="shared" ref="AO11:AO13" si="11">AM11-AN11</f>
        <v>100000</v>
      </c>
      <c r="AP11" s="76"/>
      <c r="AQ11" s="80">
        <f t="shared" ref="AQ11:AQ13" si="12">IF(V11&lt;=1,V11,AI11*95%)</f>
        <v>23.8507</v>
      </c>
      <c r="AR11" s="80"/>
      <c r="AS11" s="83">
        <f>IF(AND(AA11="DKG",H11="Cont",K11="VD.HN.DKG"),4000000/AQ11,IF(AND(AA11="DKG",A11&gt;=1,K11="CLH.HS"),700000,IF(AND(AA11="DKG",A11&gt;=1,K11="CDV.HS"),550000,IF(AND(AA11="DKG",A11&gt;=1,K11="HS.HA"),800000/AQ11,IF(AND(AA11="DKG",A11&gt;=1,K11="CHP.HS"),500000/AQ11,IF(AND(AA11="DKG",A11&gt;=1,K11="KH.DKG"),X11-1000000,IF(AA11="DKG",AJ11-65000,IF(AA11="THG",AJ11,0))))))))</f>
        <v>385000</v>
      </c>
      <c r="AT11" s="83">
        <f t="shared" ref="AT11:AT13" si="13">AQ11*AS11</f>
        <v>9182519.5</v>
      </c>
      <c r="AU11" s="83">
        <f t="shared" ref="AU11:AU13" si="14">AK11-AT11</f>
        <v>2115180.5</v>
      </c>
      <c r="AV11" s="76" t="str">
        <f t="shared" ref="AV11:AV13" si="15">AC11</f>
        <v>Tuấn Phúc (HDHN) 0912766567</v>
      </c>
      <c r="AW11" s="86">
        <f t="shared" ref="AW11:AW13" si="16">IF(AI11-AQ11=0,AQ11,IF(AI11-AQ11&gt;0,AI11-AQ11))</f>
        <v>1.2553000000000019</v>
      </c>
      <c r="AX11" s="86"/>
      <c r="AY11" s="87">
        <f t="shared" ref="AY11:AY13" si="17">(AK11-AT11)/AW11</f>
        <v>1684999.9999999974</v>
      </c>
      <c r="AZ11" s="87">
        <f t="shared" ref="AZ11:AZ13" si="18">AW11*AY11</f>
        <v>2115180.5</v>
      </c>
      <c r="BA11" s="87">
        <f t="shared" ref="BA11:BA13" si="19">X11-AT11-AZ11</f>
        <v>0</v>
      </c>
      <c r="BB11" s="88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512137</v>
      </c>
      <c r="BC11" s="88">
        <f t="shared" ref="BC11:BC13" si="20">IF(AA11="DKG",511301,IF(AA11="THG",511302,0))</f>
        <v>511301</v>
      </c>
      <c r="BD11" s="88">
        <f t="shared" ref="BD11:BD13" si="21">IF(AA11="DKG",5123,IF(AA11="THG",522,0))</f>
        <v>5123</v>
      </c>
      <c r="BE11" s="88">
        <f t="shared" ref="BE11:BE13" si="22">IF(AP11="Phú","NV018",IF(AP11="Giang","NV006",IF(AP11="Quang","NV024",IF(AP11="Kỳ","NV222",0))))</f>
        <v>0</v>
      </c>
      <c r="BF11" s="88">
        <f t="shared" ref="BF11:BF13" si="23">IF(AG11="CX001",0,331)</f>
        <v>0</v>
      </c>
      <c r="BG11" s="88">
        <f t="shared" ref="BG11:BG13" si="24">IF(AG11="CX001",15401,IF(OR(AG11="CX055",AG11="CX039",AG11="CX040",AG11="CX002",AG11="CX003",AG11="CX004",AG11="CX005",AG11="CX006",AG11="CX056",AG11="CX057"),331,0))</f>
        <v>15401</v>
      </c>
      <c r="BH11" s="89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6121137</v>
      </c>
      <c r="BI11" s="45" t="s">
        <v>121</v>
      </c>
      <c r="BJ11" s="45" t="str">
        <f t="shared" ref="BJ11:BJ13" si="25">CONCATENATE(BI11,N11)</f>
        <v>TDG xe 15C-13959</v>
      </c>
      <c r="BK11" s="89" t="str">
        <f t="shared" ref="BK11:BK13" si="26">IF(AA11="THG","T",IF(AA11="DKG","G",0))</f>
        <v>G</v>
      </c>
      <c r="BL11" s="46" t="str">
        <f ca="1">IF(Y11="CGN",TODAY(),"")</f>
        <v/>
      </c>
      <c r="BM11" s="7" t="str">
        <f t="shared" ref="BM11" si="27">+C11</f>
        <v>CG00052</v>
      </c>
      <c r="BN11" s="7" t="str">
        <f>I11</f>
        <v>Tuấn Phúc (HDHN) 0912766567</v>
      </c>
      <c r="BO11" s="7" t="str">
        <f t="shared" ref="BO11:BP11" si="28">+C11</f>
        <v>CG00052</v>
      </c>
      <c r="BP11" s="7" t="str">
        <f t="shared" si="28"/>
        <v>Tuấn Phúc (HDHN) 0912766567</v>
      </c>
      <c r="BQ11" s="7" t="str">
        <f t="shared" ref="BQ11" si="29">+L11</f>
        <v>DKG&lt;-&gt;Xuân Trường, Nam Định</v>
      </c>
      <c r="BS11" s="87">
        <f t="shared" ref="BS11" si="30">+W11</f>
        <v>450000</v>
      </c>
      <c r="BT11" s="90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90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7" t="str">
        <f>IF(BS11-BT11=500000,BU11+400000,IF(BT11=BS11,BU11,"saiiiiiiiiiiiiiiiii"))</f>
        <v>saiiiiiiiiiiiiiiiii</v>
      </c>
      <c r="BX11" s="91">
        <f>VLOOKUP(BQ11,[2]gia3!$D$7:$W$256,19,0)</f>
        <v>0</v>
      </c>
      <c r="BY11" s="67">
        <f t="shared" ref="BY11:BY13" si="31">IF(BN11="","",IF(BN11="LH",BX11+300000,BX11))</f>
        <v>0</v>
      </c>
      <c r="BZ11" s="68">
        <f t="shared" ref="BZ11:BZ13" si="32">+BY11-AS11</f>
        <v>-385000</v>
      </c>
    </row>
    <row r="12" spans="1:78" s="7" customFormat="1" ht="20.100000000000001" customHeight="1" x14ac:dyDescent="0.3">
      <c r="A12" s="69">
        <f>MAX($A$11:A11)+1</f>
        <v>2</v>
      </c>
      <c r="B12" s="70">
        <v>45487</v>
      </c>
      <c r="C12" s="69" t="s">
        <v>110</v>
      </c>
      <c r="D12" s="71" t="s">
        <v>111</v>
      </c>
      <c r="E12" s="71" t="s">
        <v>111</v>
      </c>
      <c r="F12" s="71" t="s">
        <v>112</v>
      </c>
      <c r="G12" s="71" t="s">
        <v>111</v>
      </c>
      <c r="H12" s="69" t="s">
        <v>113</v>
      </c>
      <c r="I12" s="71" t="s">
        <v>111</v>
      </c>
      <c r="J12" s="71" t="s">
        <v>111</v>
      </c>
      <c r="K12" s="72" t="s">
        <v>114</v>
      </c>
      <c r="L12" s="73" t="s">
        <v>115</v>
      </c>
      <c r="M12" s="74" t="str">
        <f t="shared" si="0"/>
        <v>Hoàng Sơn</v>
      </c>
      <c r="N12" s="75" t="s">
        <v>122</v>
      </c>
      <c r="O12" s="76" t="str">
        <f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Lợi",IF(N12="15C-12876","Trương Văn Sỹ",IF(N12="15C-13616","Đặng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Lưu Xuân Thành</v>
      </c>
      <c r="P12" s="74" t="str">
        <f t="shared" si="1"/>
        <v>HS</v>
      </c>
      <c r="Q12" s="77" t="str">
        <f t="shared" si="2"/>
        <v>HS</v>
      </c>
      <c r="R12" s="74" t="s">
        <v>117</v>
      </c>
      <c r="S12" s="74" t="s">
        <v>118</v>
      </c>
      <c r="T12" s="78" t="s">
        <v>119</v>
      </c>
      <c r="U12" s="79">
        <v>6</v>
      </c>
      <c r="V12" s="80">
        <v>26.102</v>
      </c>
      <c r="W12" s="81">
        <v>450000</v>
      </c>
      <c r="X12" s="82">
        <f t="shared" si="3"/>
        <v>11745900</v>
      </c>
      <c r="Y12" s="77" t="s">
        <v>120</v>
      </c>
      <c r="Z12" s="77">
        <f t="shared" si="4"/>
        <v>0</v>
      </c>
      <c r="AA12" s="77" t="str">
        <f>LEFT(L12,3)</f>
        <v>DKG</v>
      </c>
      <c r="AB12" s="83">
        <v>2650000</v>
      </c>
      <c r="AC12" s="71" t="s">
        <v>111</v>
      </c>
      <c r="AD12" s="84">
        <f t="shared" si="5"/>
        <v>2</v>
      </c>
      <c r="AE12" s="84" t="str">
        <f t="shared" si="6"/>
        <v>HS</v>
      </c>
      <c r="AF12" s="85" t="str">
        <f t="shared" si="7"/>
        <v>DKG&lt;-&gt;Xuân Trường, Nam Định</v>
      </c>
      <c r="AG12" s="77" t="str">
        <f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CX001</v>
      </c>
      <c r="AH12" s="77" t="str">
        <f t="shared" si="8"/>
        <v>15C-15237</v>
      </c>
      <c r="AI12" s="80">
        <f t="shared" si="9"/>
        <v>26.102</v>
      </c>
      <c r="AJ12" s="83">
        <f t="shared" si="9"/>
        <v>450000</v>
      </c>
      <c r="AK12" s="83">
        <f t="shared" si="9"/>
        <v>11745900</v>
      </c>
      <c r="AL12" s="77" t="str">
        <f t="shared" si="10"/>
        <v>DKG</v>
      </c>
      <c r="AM12" s="83">
        <f t="shared" si="10"/>
        <v>2650000</v>
      </c>
      <c r="AN12" s="83">
        <f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2550000</v>
      </c>
      <c r="AO12" s="83">
        <f t="shared" si="11"/>
        <v>100000</v>
      </c>
      <c r="AP12" s="76"/>
      <c r="AQ12" s="80">
        <f t="shared" si="12"/>
        <v>24.796900000000001</v>
      </c>
      <c r="AR12" s="80"/>
      <c r="AS12" s="83">
        <f>IF(AND(AA12="DKG",H12="Cont",K12="VD.HN.DKG"),4000000/AQ12,IF(AND(AA12="DKG",A12&gt;=1,K12="CLH.HS"),700000,IF(AND(AA12="DKG",A12&gt;=1,K12="CDV.HS"),550000,IF(AND(AA12="DKG",A12&gt;=1,K12="HS.HA"),800000/AQ12,IF(AND(AA12="DKG",A12&gt;=1,K12="CHP.HS"),500000/AQ12,IF(AND(AA12="DKG",A12&gt;=1,K12="KH.DKG"),X12-1000000,IF(AA12="DKG",AJ12-65000,IF(AA12="THG",AJ12,0))))))))</f>
        <v>385000</v>
      </c>
      <c r="AT12" s="83">
        <f t="shared" si="13"/>
        <v>9546806.5</v>
      </c>
      <c r="AU12" s="83">
        <f t="shared" si="14"/>
        <v>2199093.5</v>
      </c>
      <c r="AV12" s="76" t="str">
        <f t="shared" si="15"/>
        <v>Tuấn Phúc (HDHN) 0912766567</v>
      </c>
      <c r="AW12" s="86">
        <f t="shared" si="16"/>
        <v>1.3050999999999995</v>
      </c>
      <c r="AX12" s="86"/>
      <c r="AY12" s="87">
        <f t="shared" si="17"/>
        <v>1685000.0000000007</v>
      </c>
      <c r="AZ12" s="87">
        <f t="shared" si="18"/>
        <v>2199093.5</v>
      </c>
      <c r="BA12" s="87">
        <f t="shared" si="19"/>
        <v>0</v>
      </c>
      <c r="BB12" s="88">
        <f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512119</v>
      </c>
      <c r="BC12" s="88">
        <f t="shared" si="20"/>
        <v>511301</v>
      </c>
      <c r="BD12" s="88">
        <f t="shared" si="21"/>
        <v>5123</v>
      </c>
      <c r="BE12" s="88">
        <f t="shared" si="22"/>
        <v>0</v>
      </c>
      <c r="BF12" s="88">
        <f t="shared" si="23"/>
        <v>0</v>
      </c>
      <c r="BG12" s="88">
        <f t="shared" si="24"/>
        <v>15401</v>
      </c>
      <c r="BH12" s="89">
        <f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6121119</v>
      </c>
      <c r="BI12" s="45" t="s">
        <v>121</v>
      </c>
      <c r="BJ12" s="45" t="str">
        <f t="shared" si="25"/>
        <v>TDG xe 15C-15237</v>
      </c>
      <c r="BK12" s="89" t="str">
        <f t="shared" si="26"/>
        <v>G</v>
      </c>
      <c r="BL12" s="46" t="str">
        <f ca="1">IF(Y12="CGN",TODAY(),"")</f>
        <v/>
      </c>
      <c r="BM12" s="7" t="str">
        <f>+C12</f>
        <v>CG00052</v>
      </c>
      <c r="BN12" s="7" t="str">
        <f t="shared" ref="BN12:BN13" si="33">I12</f>
        <v>Tuấn Phúc (HDHN) 0912766567</v>
      </c>
      <c r="BO12" s="7" t="str">
        <f>+C12</f>
        <v>CG00052</v>
      </c>
      <c r="BP12" s="7" t="str">
        <f>+D12</f>
        <v>Tuấn Phúc (HDHN) 0912766567</v>
      </c>
      <c r="BQ12" s="7" t="str">
        <f>+L12</f>
        <v>DKG&lt;-&gt;Xuân Trường, Nam Định</v>
      </c>
      <c r="BS12" s="87">
        <f>+W12</f>
        <v>450000</v>
      </c>
      <c r="BT12" s="90" t="b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0</v>
      </c>
      <c r="BU12" s="90" t="b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0</v>
      </c>
      <c r="BV12" s="7" t="str">
        <f t="shared" ref="BV12:BV13" si="34">IF(BS12-BT12=500000,BU12+400000,IF(BT12=BS12,BU12,"saiiiiiiiiiiiiiiiii"))</f>
        <v>saiiiiiiiiiiiiiiiii</v>
      </c>
      <c r="BW12" s="7" t="str">
        <f>I12</f>
        <v>Tuấn Phúc (HDHN) 0912766567</v>
      </c>
      <c r="BX12" s="91">
        <f>VLOOKUP(BQ12,[2]gia3!$D$7:$W$256,19,0)</f>
        <v>0</v>
      </c>
      <c r="BY12" s="67">
        <f t="shared" si="31"/>
        <v>0</v>
      </c>
      <c r="BZ12" s="68">
        <f t="shared" si="32"/>
        <v>-385000</v>
      </c>
    </row>
    <row r="13" spans="1:78" s="7" customFormat="1" ht="20.100000000000001" customHeight="1" x14ac:dyDescent="0.3">
      <c r="A13" s="69">
        <f>MAX($A$11:A12)+1</f>
        <v>3</v>
      </c>
      <c r="B13" s="70">
        <v>45487</v>
      </c>
      <c r="C13" s="69" t="s">
        <v>110</v>
      </c>
      <c r="D13" s="71" t="s">
        <v>111</v>
      </c>
      <c r="E13" s="71" t="s">
        <v>111</v>
      </c>
      <c r="F13" s="71" t="s">
        <v>112</v>
      </c>
      <c r="G13" s="71" t="s">
        <v>111</v>
      </c>
      <c r="H13" s="69" t="s">
        <v>113</v>
      </c>
      <c r="I13" s="71" t="s">
        <v>111</v>
      </c>
      <c r="J13" s="71" t="s">
        <v>111</v>
      </c>
      <c r="K13" s="72" t="s">
        <v>114</v>
      </c>
      <c r="L13" s="73" t="s">
        <v>115</v>
      </c>
      <c r="M13" s="74" t="str">
        <f t="shared" si="0"/>
        <v>Hoàng Sơn</v>
      </c>
      <c r="N13" s="75" t="s">
        <v>123</v>
      </c>
      <c r="O13" s="76" t="str">
        <f>IF(N13="15C-03470","Ngô Quang Hưng",IF(N13="15C-01889","Nguyễn Đắt Đạt",IF(N13="15C-25418","Ngụy Văn Toàn",IF(N13="15C-11549","Lê Anh Tân",IF(N13="15C-11732","Bùi Quang Duy",IF(N13="15C-11856","Đinh Minh Dũng",IF(N13="15C-12593","Bùi Bá Thành",IF(N13="15C-12643","Lại Văn Ngân",IF(N13="15C-13368","Vũ Đức Chiến",IF(N13="15C-13568","Trần Quốc Đại",IF(N13="15C-13959","Phạm Viết Thành",IF(N13="15C-13969","Lê Anh Tân",IF(N13="15C-13958","Vũ Đình Hà",IF(N13="15C-07321","Lại Văn Ngân",IF(N13="15C-07437","Trương Văn Cao",IF(N13="15C-10691","Đoàn Văn Hà",IF(N13="15C-10812","Lại Văn Ngân",IF(N13="15C-11200","Phạm Văn Thịnh",IF(N13="15C-11486","Bùi Đức Thành",IF(N13="15C-12812","Mai Văn Sơn",IF(N13="15C-12832","Trần Văn Hiển",IF(N13="15C-12874","Phạm Đức Lợi",IF(N13="15C-12876","Trương Văn Sỹ",IF(N13="15C-13616","Đặng Thanh Sơn",IF(N13="15C-13840","Trương Văn Cao",IF(N13="15C-15237","Lưu Xuân Thành",IF(N13="15C-06125","Đồng Ngọc Điểm",IF(N13="15C-25029","Phạm Văn Hai",IF(N13="15C-25555","Đoàn Văn Hà",IF(N13="15C-03426","Phạm Hoàng Quyết",IF(N13="15C-01584","Nguyễn Đắc Đạt",IF(N13="15C-13036","Nguyễn Ngọc Anh","Tên LX"))))))))))))))))))))))))))))))))</f>
        <v>Vũ Đức Chiến</v>
      </c>
      <c r="P13" s="74" t="str">
        <f t="shared" si="1"/>
        <v>HS</v>
      </c>
      <c r="Q13" s="77" t="str">
        <f t="shared" si="2"/>
        <v>HS</v>
      </c>
      <c r="R13" s="74" t="s">
        <v>117</v>
      </c>
      <c r="S13" s="74" t="s">
        <v>118</v>
      </c>
      <c r="T13" s="78" t="s">
        <v>119</v>
      </c>
      <c r="U13" s="79">
        <v>5</v>
      </c>
      <c r="V13" s="80">
        <v>27.07</v>
      </c>
      <c r="W13" s="81">
        <v>450000</v>
      </c>
      <c r="X13" s="82">
        <f t="shared" si="3"/>
        <v>12181500</v>
      </c>
      <c r="Y13" s="77" t="s">
        <v>120</v>
      </c>
      <c r="Z13" s="77">
        <f t="shared" si="4"/>
        <v>0</v>
      </c>
      <c r="AA13" s="77" t="str">
        <f>LEFT(L13,3)</f>
        <v>DKG</v>
      </c>
      <c r="AB13" s="83">
        <v>2650000</v>
      </c>
      <c r="AC13" s="71" t="s">
        <v>111</v>
      </c>
      <c r="AD13" s="84">
        <f t="shared" si="5"/>
        <v>3</v>
      </c>
      <c r="AE13" s="84" t="str">
        <f t="shared" si="6"/>
        <v>HS</v>
      </c>
      <c r="AF13" s="85" t="str">
        <f t="shared" si="7"/>
        <v>DKG&lt;-&gt;Xuân Trường, Nam Định</v>
      </c>
      <c r="AG13" s="77" t="str">
        <f>IF(OR(N13="15C-12593",N13="15C-25555",N13="15C-07321",N13="15C-07437",N13="15C-10691",N13="15C-10812",N13="15C-11200",N13="15C-11486",N13="15C-12812",N13="15C-12832",N13="15C-12874",N13="15C-12876",N13="15C-13616",N13="15C-13840",N13="15C-15237",N13="15C-06125",N13="15C-11549",N13="15C-11732",N13="15C-11856",N13="15C-12643",N13="15C-13368",N13="15C-13568",N13="15C-13959",N13="15C-13969",N13="15C-13958"),"CX001",IF(N13="15C-03426","CX003",IF(N13="15C-03470","CX002",IF(N13="15C-01584","CX009",IF(N13="15C-25418","CX008",IF(N13="15C-01889","CX004",IF(N13="15C-13036","CX006",IF(M13="Châu Thành Phát","CX007",IF(M13="Anh Sức","CX014",IF(M13="Tùng (Nam Khang)","CS00006",IF(M13="Tùng Khánh","CX015","Mã CX")))))))))))</f>
        <v>CX001</v>
      </c>
      <c r="AH13" s="77" t="str">
        <f t="shared" si="8"/>
        <v>15C-13368</v>
      </c>
      <c r="AI13" s="80">
        <f t="shared" si="9"/>
        <v>27.07</v>
      </c>
      <c r="AJ13" s="83">
        <f t="shared" si="9"/>
        <v>450000</v>
      </c>
      <c r="AK13" s="83">
        <f t="shared" si="9"/>
        <v>12181500</v>
      </c>
      <c r="AL13" s="77" t="str">
        <f t="shared" si="10"/>
        <v>DKG</v>
      </c>
      <c r="AM13" s="83">
        <f t="shared" si="10"/>
        <v>2650000</v>
      </c>
      <c r="AN13" s="83">
        <f>IF(AND(AM13&gt;0,K13="HS.HA"),AM13,IF(AND(AM13&gt;0,K13="CB.DKG"),AM13,IF(AND(AM13&gt;0,H13="Cont"),AM13,IF(AND(AM13&gt;0,K13="HA.HS"),AM13,IF(AND(AM13&gt;0,K13="CHP.HS"),AM13,IF(AND(AM13&gt;0,K13="CDV.HS"),AM13,IF(AND(AM13&gt;0,K13="CLH.HS"),AM13,IF(AM13&gt;0,AM13-100000,))))))))</f>
        <v>2550000</v>
      </c>
      <c r="AO13" s="83">
        <f t="shared" si="11"/>
        <v>100000</v>
      </c>
      <c r="AP13" s="76"/>
      <c r="AQ13" s="80">
        <f t="shared" si="12"/>
        <v>25.7165</v>
      </c>
      <c r="AR13" s="80"/>
      <c r="AS13" s="83">
        <f>IF(AND(AA13="DKG",H13="Cont",K13="VD.HN.DKG"),4000000/AQ13,IF(AND(AA13="DKG",A13&gt;=1,K13="CLH.HS"),700000,IF(AND(AA13="DKG",A13&gt;=1,K13="CDV.HS"),550000,IF(AND(AA13="DKG",A13&gt;=1,K13="HS.HA"),800000/AQ13,IF(AND(AA13="DKG",A13&gt;=1,K13="CHP.HS"),500000/AQ13,IF(AND(AA13="DKG",A13&gt;=1,K13="KH.DKG"),X13-1000000,IF(AA13="DKG",AJ13-65000,IF(AA13="THG",AJ13,0))))))))</f>
        <v>385000</v>
      </c>
      <c r="AT13" s="83">
        <f t="shared" si="13"/>
        <v>9900852.5</v>
      </c>
      <c r="AU13" s="83">
        <f t="shared" si="14"/>
        <v>2280647.5</v>
      </c>
      <c r="AV13" s="76" t="str">
        <f t="shared" si="15"/>
        <v>Tuấn Phúc (HDHN) 0912766567</v>
      </c>
      <c r="AW13" s="86">
        <f t="shared" si="16"/>
        <v>1.3535000000000004</v>
      </c>
      <c r="AX13" s="86"/>
      <c r="AY13" s="87">
        <f t="shared" si="17"/>
        <v>1684999.9999999995</v>
      </c>
      <c r="AZ13" s="87">
        <f t="shared" si="18"/>
        <v>2280647.5</v>
      </c>
      <c r="BA13" s="87">
        <f t="shared" si="19"/>
        <v>0</v>
      </c>
      <c r="BB13" s="88">
        <f>IF(AND(AG13="CX001",N13="15C-03426"),512140,IF(AND(AG13="CX001",N13="15C-23521"),512141,IF(AND(AG13="CX001",N13="15C-07321"),512101,IF(AND(AG13="CX001",N13="15C-07437"),512102,IF(AND(AG13="CX001",N13="15C-10691"),512109,IF(AND(AG13="CX001",N13="15C-10812"),512110,IF(AND(AG13="CX001",N13="15C-11200"),512111,IF(AND(AG13="CX001",N13="15C-11486"),512112,IF(AND(AG13="CX001",N13="15C-12812"),512113,IF(AND(AG13="CX001",N13="15C-12832"),512114,IF(AND(AG13="CX001",N13="15C-12874"),512115,IF(AND(AG13="CX001",N13="15C-12876"),512116,IF(AND(AG13="CX001",N13="15C-13616"),512117,IF(AND(AG13="CX001",N13="15C-13840"),512118,IF(AND(AG13="CX001",N13="15C-15237"),512119,IF(AND(AG13="CX001",N13="15C-06125"),512121,IF(AND(AG13="CX040",N13="15C-25029"),51226,IF(AND(AG13="CX001",N13="15C-25029"),512124,IF(AND(AG13="CX001",N13="15C-25555"),512127,IF(AND(AG13="CX001",N13="15C-11549"),512130,IF(AND(AG13="CX001",N13="15C-11732"),512131,IF(AND(AG13="CX001",N13="15C-11856"),512132,IF(AND(AG13="CX001",N13="15C-12593"),512133,IF(AND(AG13="CX001",N13="15C-12643"),512134,IF(AND(AG13="CX001",N13="15C-13368"),512135,IF(AND(AG13="CX001",N13="15C-13568"),512136,IF(AND(AG13="CX001",N13="15C-13959"),512137,IF(AND(AG13="CX001",N13="15C-13969"),512138,IF(AND(AG13="CX001",N13="15C-13958"),512139,IF(AND(AG13="CX055",N13="15C-03426"),512213,IF(AND(AG13="CX002",N13="15C-03470"),512212,IF(AND(AG13="CX057",N13="15C-01584"),512223,IF(AND(AG13="CX056",N13="15C-25418"),512222,IF(AND(AG13="CX004",N13="15C-01889"),512221,IF(AND(AG13="CX006",N13="15C-13036"),51224,51225)))))))))))))))))))))))))))))))))))</f>
        <v>512135</v>
      </c>
      <c r="BC13" s="88">
        <f t="shared" si="20"/>
        <v>511301</v>
      </c>
      <c r="BD13" s="88">
        <f t="shared" si="21"/>
        <v>5123</v>
      </c>
      <c r="BE13" s="88">
        <f t="shared" si="22"/>
        <v>0</v>
      </c>
      <c r="BF13" s="88">
        <f t="shared" si="23"/>
        <v>0</v>
      </c>
      <c r="BG13" s="88">
        <f t="shared" si="24"/>
        <v>15401</v>
      </c>
      <c r="BH13" s="89">
        <f>IF(AND(AG13="CX001",N13="15C-03426"),6121140,IF(AND(AG13="CX001",N13="15C-23521"),6121141,IF(AND(AG13="CX001",N13="15C-11549"),6121130,IF(AND(AG13="CX001",N13="15C-11732"),6121131,IF(AND(AG13="CX001",N13="15C-11856"),6121132,IF(AND(AG13="CX001",N13="15C-12593"),6121133,IF(AND(AG13="CX001",N13="15C-12643"),6121134,IF(AND(AG13="CX001",N13="15C-13368"),6121135,IF(AND(AG13="CX001",N13="15C-13568"),6121136,IF(AND(AG13="CX001",N13="15C-13959"),6121137,IF(AND(AG13="CX001",N13="15C-13969"),6121138,IF(AND(AG13="CX001",N13="15C-13958"),6121139,IF(AND(AG13="CX001",N13="15C-07321"),6121101,IF(AND(AG13="CX001",N13="15C-07437"),6121102,IF(AND(AG13="CX001",N13="15C-10691"),6121109,IF(AND(AG13="CX001",N13="15C-10812"),6121110,IF(AND(AG13="CX001",N13="15C-11200"),6121111,IF(AND(AG13="CX001",N13="15C-11486"),6121112,IF(AND(AG13="CX001",N13="15C-12812"),6121113,IF(AND(AG13="CX001",N13="15C-12832"),6121114,IF(AND(AG13="CX001",N13="15C-12874"),6121115,IF(AND(AG13="CX001",N13="15C-12876"),6121116,IF(AND(AG13="CX001",N13="15C-13616"),6121117,IF(AND(AG13="CX001",N13="15C-13840"),6121118,IF(AND(AG13="CX001",N13="15C-15237"),6121119,IF(AND(AG13="CX001",N13="15C-06125"),6121121,IF(AND(AG13="CX001",N13="15C-25029"),6121124,IF(AND(AG13="CX001",N13="15C-25555"),6121127,0))))))))))))))))))))))))))))</f>
        <v>6121135</v>
      </c>
      <c r="BI13" s="45" t="s">
        <v>121</v>
      </c>
      <c r="BJ13" s="45" t="str">
        <f t="shared" si="25"/>
        <v>TDG xe 15C-13368</v>
      </c>
      <c r="BK13" s="89" t="str">
        <f t="shared" si="26"/>
        <v>G</v>
      </c>
      <c r="BL13" s="46" t="str">
        <f ca="1">IF(Y13="CGN",TODAY(),"")</f>
        <v/>
      </c>
      <c r="BM13" s="7" t="str">
        <f t="shared" ref="BM13" si="35">+C13</f>
        <v>CG00052</v>
      </c>
      <c r="BN13" s="7" t="str">
        <f t="shared" si="33"/>
        <v>Tuấn Phúc (HDHN) 0912766567</v>
      </c>
      <c r="BO13" s="7" t="str">
        <f t="shared" ref="BO13:BP13" si="36">+C13</f>
        <v>CG00052</v>
      </c>
      <c r="BP13" s="7" t="str">
        <f t="shared" si="36"/>
        <v>Tuấn Phúc (HDHN) 0912766567</v>
      </c>
      <c r="BQ13" s="7" t="str">
        <f t="shared" ref="BQ13" si="37">+L13</f>
        <v>DKG&lt;-&gt;Xuân Trường, Nam Định</v>
      </c>
      <c r="BS13" s="87">
        <f t="shared" ref="BS13" si="38">+W13</f>
        <v>450000</v>
      </c>
      <c r="BT13" s="90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90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7" t="str">
        <f t="shared" si="34"/>
        <v>saiiiiiiiiiiiiiiiii</v>
      </c>
      <c r="BX13" s="91">
        <f>VLOOKUP(BQ13,[2]gia3!$D$7:$W$256,19,0)</f>
        <v>0</v>
      </c>
      <c r="BY13" s="67">
        <f t="shared" si="31"/>
        <v>0</v>
      </c>
      <c r="BZ13" s="68">
        <f t="shared" si="32"/>
        <v>-385000</v>
      </c>
    </row>
  </sheetData>
  <autoFilter ref="A10:BL13" xr:uid="{00000000-0009-0000-0000-000001000000}"/>
  <mergeCells count="54">
    <mergeCell ref="A1:L1"/>
    <mergeCell ref="V1:AC1"/>
    <mergeCell ref="AD1:AI1"/>
    <mergeCell ref="AN1:AV1"/>
    <mergeCell ref="A3:AC3"/>
    <mergeCell ref="AD3:AV3"/>
    <mergeCell ref="A6:A7"/>
    <mergeCell ref="B6:B7"/>
    <mergeCell ref="C6:C7"/>
    <mergeCell ref="D6:G6"/>
    <mergeCell ref="H6:H7"/>
    <mergeCell ref="S6:S7"/>
    <mergeCell ref="AW3:BK3"/>
    <mergeCell ref="K4:L4"/>
    <mergeCell ref="AI4:AL4"/>
    <mergeCell ref="AQ4:AS4"/>
    <mergeCell ref="I6:L6"/>
    <mergeCell ref="M6:N6"/>
    <mergeCell ref="O6:O7"/>
    <mergeCell ref="P6:P7"/>
    <mergeCell ref="Q6:Q7"/>
    <mergeCell ref="R6:R7"/>
    <mergeCell ref="AI6:AK6"/>
    <mergeCell ref="T6:T7"/>
    <mergeCell ref="U6:X6"/>
    <mergeCell ref="Y6:Y7"/>
    <mergeCell ref="Z6:Z7"/>
    <mergeCell ref="AA6:AA7"/>
    <mergeCell ref="AB6:AB7"/>
    <mergeCell ref="AC6:AC7"/>
    <mergeCell ref="AD6:AD7"/>
    <mergeCell ref="AE6:AE7"/>
    <mergeCell ref="AF6:AF7"/>
    <mergeCell ref="AG6:AH6"/>
    <mergeCell ref="BC6:BC7"/>
    <mergeCell ref="AL6:AL7"/>
    <mergeCell ref="AM6:AM7"/>
    <mergeCell ref="AN6:AN7"/>
    <mergeCell ref="AO6:AO7"/>
    <mergeCell ref="AP6:AP7"/>
    <mergeCell ref="AQ6:AQ7"/>
    <mergeCell ref="AS6:AT6"/>
    <mergeCell ref="AU6:AU7"/>
    <mergeCell ref="AV6:AV7"/>
    <mergeCell ref="AW6:AW7"/>
    <mergeCell ref="BB6:BB7"/>
    <mergeCell ref="BK6:BK7"/>
    <mergeCell ref="BL6:BL7"/>
    <mergeCell ref="BD6:BD7"/>
    <mergeCell ref="BE6:BE7"/>
    <mergeCell ref="BF6:BF7"/>
    <mergeCell ref="BG6:BG7"/>
    <mergeCell ref="BH6:BH7"/>
    <mergeCell ref="BJ6:BJ7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2024-07-15T02:55:32Z</dcterms:created>
  <dcterms:modified xsi:type="dcterms:W3CDTF">2024-07-16T07:51:04Z</dcterms:modified>
</cp:coreProperties>
</file>