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C4300A2B-CD57-4027-A7A0-BE06DC7B505A}" xr6:coauthVersionLast="47" xr6:coauthVersionMax="47" xr10:uidLastSave="{00000000-0000-0000-0000-000000000000}"/>
  <bookViews>
    <workbookView xWindow="-108" yWindow="-108" windowWidth="23256" windowHeight="12456" xr2:uid="{018A5485-C2C3-45DF-BC7F-3772FBA13E85}"/>
  </bookViews>
  <sheets>
    <sheet name="HT" sheetId="1" r:id="rId1"/>
  </sheets>
  <externalReferences>
    <externalReference r:id="rId2"/>
    <externalReference r:id="rId3"/>
  </externalReferences>
  <definedNames>
    <definedName name="_xlnm._FilterDatabase" localSheetId="0" hidden="1">HT!$A$10:$BL$15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5" i="1" l="1"/>
  <c r="BQ15" i="1"/>
  <c r="BX15" i="1" s="1"/>
  <c r="BP15" i="1"/>
  <c r="BO15" i="1"/>
  <c r="BN15" i="1"/>
  <c r="BY15" i="1" s="1"/>
  <c r="BM15" i="1"/>
  <c r="BU15" i="1" s="1"/>
  <c r="BL15" i="1"/>
  <c r="BJ15" i="1"/>
  <c r="BE15" i="1"/>
  <c r="BC15" i="1"/>
  <c r="BB15" i="1"/>
  <c r="AV15" i="1"/>
  <c r="AQ15" i="1"/>
  <c r="AM15" i="1"/>
  <c r="AJ15" i="1"/>
  <c r="AI15" i="1"/>
  <c r="AW15" i="1" s="1"/>
  <c r="AH15" i="1"/>
  <c r="AG15" i="1"/>
  <c r="BH15" i="1" s="1"/>
  <c r="AF15" i="1"/>
  <c r="AE15" i="1"/>
  <c r="AA15" i="1"/>
  <c r="BK15" i="1" s="1"/>
  <c r="Z15" i="1"/>
  <c r="X15" i="1"/>
  <c r="P15" i="1"/>
  <c r="Q15" i="1" s="1"/>
  <c r="O15" i="1"/>
  <c r="M15" i="1"/>
  <c r="BU14" i="1"/>
  <c r="BT14" i="1"/>
  <c r="BS14" i="1"/>
  <c r="BV14" i="1" s="1"/>
  <c r="BQ14" i="1"/>
  <c r="BX14" i="1" s="1"/>
  <c r="BP14" i="1"/>
  <c r="BO14" i="1"/>
  <c r="BN14" i="1"/>
  <c r="BY14" i="1" s="1"/>
  <c r="BM14" i="1"/>
  <c r="BL14" i="1"/>
  <c r="BJ14" i="1"/>
  <c r="BG14" i="1"/>
  <c r="BF14" i="1"/>
  <c r="BE14" i="1"/>
  <c r="BC14" i="1"/>
  <c r="AV14" i="1"/>
  <c r="AQ14" i="1"/>
  <c r="AQ9" i="1" s="1"/>
  <c r="AN14" i="1"/>
  <c r="AO14" i="1" s="1"/>
  <c r="AM14" i="1"/>
  <c r="AK14" i="1"/>
  <c r="AJ14" i="1"/>
  <c r="AI14" i="1"/>
  <c r="AW14" i="1" s="1"/>
  <c r="AH14" i="1"/>
  <c r="AG14" i="1"/>
  <c r="BB14" i="1" s="1"/>
  <c r="AF14" i="1"/>
  <c r="AE14" i="1"/>
  <c r="AA14" i="1"/>
  <c r="AL14" i="1" s="1"/>
  <c r="Z14" i="1"/>
  <c r="X14" i="1"/>
  <c r="Q14" i="1"/>
  <c r="P14" i="1"/>
  <c r="O14" i="1"/>
  <c r="M14" i="1"/>
  <c r="BX13" i="1"/>
  <c r="BY13" i="1" s="1"/>
  <c r="BU13" i="1"/>
  <c r="BT13" i="1"/>
  <c r="BV13" i="1" s="1"/>
  <c r="BS13" i="1"/>
  <c r="BQ13" i="1"/>
  <c r="BP13" i="1"/>
  <c r="BO13" i="1"/>
  <c r="BN13" i="1"/>
  <c r="BM13" i="1"/>
  <c r="BL13" i="1"/>
  <c r="BK13" i="1"/>
  <c r="BJ13" i="1"/>
  <c r="BE13" i="1"/>
  <c r="AV13" i="1"/>
  <c r="AQ13" i="1"/>
  <c r="AM13" i="1"/>
  <c r="AJ13" i="1"/>
  <c r="AI13" i="1"/>
  <c r="AW13" i="1" s="1"/>
  <c r="AH13" i="1"/>
  <c r="AG13" i="1"/>
  <c r="BF13" i="1" s="1"/>
  <c r="AF13" i="1"/>
  <c r="AE13" i="1"/>
  <c r="AA13" i="1"/>
  <c r="BD13" i="1" s="1"/>
  <c r="Z13" i="1"/>
  <c r="X13" i="1"/>
  <c r="Q13" i="1"/>
  <c r="P13" i="1"/>
  <c r="O13" i="1"/>
  <c r="M13" i="1"/>
  <c r="BX12" i="1"/>
  <c r="BY12" i="1" s="1"/>
  <c r="BZ12" i="1" s="1"/>
  <c r="BW12" i="1"/>
  <c r="BS12" i="1"/>
  <c r="BQ12" i="1"/>
  <c r="BP12" i="1"/>
  <c r="BO12" i="1"/>
  <c r="BN12" i="1"/>
  <c r="BM12" i="1"/>
  <c r="BU12" i="1" s="1"/>
  <c r="BL12" i="1"/>
  <c r="BK12" i="1"/>
  <c r="BJ12" i="1"/>
  <c r="BE12" i="1"/>
  <c r="BC12" i="1"/>
  <c r="BB12" i="1"/>
  <c r="AW12" i="1"/>
  <c r="AV12" i="1"/>
  <c r="AQ12" i="1"/>
  <c r="AT12" i="1" s="1"/>
  <c r="AM12" i="1"/>
  <c r="AL12" i="1"/>
  <c r="AK12" i="1"/>
  <c r="AU12" i="1" s="1"/>
  <c r="AJ12" i="1"/>
  <c r="AI12" i="1"/>
  <c r="AI9" i="1" s="1"/>
  <c r="AH12" i="1"/>
  <c r="AG12" i="1"/>
  <c r="BH12" i="1" s="1"/>
  <c r="AF12" i="1"/>
  <c r="AE12" i="1"/>
  <c r="AA12" i="1"/>
  <c r="BD12" i="1" s="1"/>
  <c r="Z12" i="1"/>
  <c r="X12" i="1"/>
  <c r="P12" i="1"/>
  <c r="Q12" i="1" s="1"/>
  <c r="O12" i="1"/>
  <c r="M12" i="1"/>
  <c r="A12" i="1"/>
  <c r="BS11" i="1"/>
  <c r="BQ11" i="1"/>
  <c r="BX11" i="1" s="1"/>
  <c r="BP11" i="1"/>
  <c r="BO11" i="1"/>
  <c r="BN11" i="1"/>
  <c r="BM11" i="1"/>
  <c r="BU11" i="1" s="1"/>
  <c r="BL11" i="1"/>
  <c r="BJ11" i="1"/>
  <c r="BE11" i="1"/>
  <c r="BD11" i="1"/>
  <c r="BC11" i="1"/>
  <c r="BB11" i="1"/>
  <c r="AV11" i="1"/>
  <c r="AT11" i="1"/>
  <c r="AQ11" i="1"/>
  <c r="AM11" i="1"/>
  <c r="AL11" i="1"/>
  <c r="AK11" i="1"/>
  <c r="AY11" i="1" s="1"/>
  <c r="AJ11" i="1"/>
  <c r="AI11" i="1"/>
  <c r="AW11" i="1" s="1"/>
  <c r="AH11" i="1"/>
  <c r="AG11" i="1"/>
  <c r="BH11" i="1" s="1"/>
  <c r="AF11" i="1"/>
  <c r="AE11" i="1"/>
  <c r="AD11" i="1"/>
  <c r="AA11" i="1"/>
  <c r="BK11" i="1" s="1"/>
  <c r="Z11" i="1"/>
  <c r="X11" i="1"/>
  <c r="P11" i="1"/>
  <c r="Q11" i="1" s="1"/>
  <c r="O11" i="1"/>
  <c r="M11" i="1"/>
  <c r="AB9" i="1"/>
  <c r="X9" i="1"/>
  <c r="V9" i="1"/>
  <c r="U9" i="1"/>
  <c r="AI4" i="1"/>
  <c r="AZ12" i="1" l="1"/>
  <c r="AZ11" i="1"/>
  <c r="BA11" i="1" s="1"/>
  <c r="BA12" i="1"/>
  <c r="AY12" i="1"/>
  <c r="BY11" i="1"/>
  <c r="BZ11" i="1" s="1"/>
  <c r="BV15" i="1"/>
  <c r="AK15" i="1"/>
  <c r="BD14" i="1"/>
  <c r="AL15" i="1"/>
  <c r="AN15" i="1"/>
  <c r="AO15" i="1" s="1"/>
  <c r="BD15" i="1"/>
  <c r="BH14" i="1"/>
  <c r="AM9" i="1"/>
  <c r="BF11" i="1"/>
  <c r="BT11" i="1"/>
  <c r="BV11" i="1" s="1"/>
  <c r="AN12" i="1"/>
  <c r="AO12" i="1" s="1"/>
  <c r="AK13" i="1"/>
  <c r="A14" i="1"/>
  <c r="BF15" i="1"/>
  <c r="BT15" i="1"/>
  <c r="AN11" i="1"/>
  <c r="BG11" i="1"/>
  <c r="AL13" i="1"/>
  <c r="BK14" i="1"/>
  <c r="BG15" i="1"/>
  <c r="A13" i="1"/>
  <c r="AU11" i="1"/>
  <c r="AD12" i="1"/>
  <c r="BF12" i="1"/>
  <c r="BT12" i="1"/>
  <c r="BV12" i="1" s="1"/>
  <c r="BB13" i="1"/>
  <c r="BH13" i="1"/>
  <c r="BG12" i="1"/>
  <c r="AN13" i="1"/>
  <c r="AO13" i="1" s="1"/>
  <c r="BC13" i="1"/>
  <c r="BG13" i="1"/>
  <c r="AD14" i="1" l="1"/>
  <c r="AS14" i="1"/>
  <c r="AD13" i="1"/>
  <c r="AS13" i="1"/>
  <c r="AN9" i="1"/>
  <c r="AK9" i="1"/>
  <c r="AO11" i="1"/>
  <c r="AO9" i="1" s="1"/>
  <c r="A15" i="1"/>
  <c r="AT14" i="1" l="1"/>
  <c r="BZ14" i="1"/>
  <c r="AT13" i="1"/>
  <c r="BZ13" i="1"/>
  <c r="AD15" i="1"/>
  <c r="AS15" i="1"/>
  <c r="BZ15" i="1" l="1"/>
  <c r="AT15" i="1"/>
  <c r="AT9" i="1"/>
  <c r="AU13" i="1"/>
  <c r="AY13" i="1"/>
  <c r="AZ13" i="1" s="1"/>
  <c r="BA13" i="1" s="1"/>
  <c r="AY14" i="1"/>
  <c r="AZ14" i="1" s="1"/>
  <c r="BA14" i="1" s="1"/>
  <c r="AU14" i="1"/>
  <c r="AU9" i="1" l="1"/>
  <c r="AY15" i="1"/>
  <c r="AZ15" i="1" s="1"/>
  <c r="BA15" i="1" s="1"/>
  <c r="AU15" i="1"/>
</calcChain>
</file>

<file path=xl/sharedStrings.xml><?xml version="1.0" encoding="utf-8"?>
<sst xmlns="http://schemas.openxmlformats.org/spreadsheetml/2006/main" count="204" uniqueCount="146">
  <si>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</si>
  <si>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</si>
  <si>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</si>
  <si>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</si>
  <si>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</si>
  <si>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</si>
  <si>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</si>
  <si>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</si>
  <si>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</si>
  <si>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</si>
  <si>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</si>
  <si>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</si>
  <si>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</si>
  <si>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</si>
  <si>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</si>
  <si>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</si>
  <si>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</si>
  <si>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</si>
  <si>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</si>
  <si>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</si>
  <si>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</si>
  <si>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</si>
  <si>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</si>
  <si>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</si>
  <si>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</si>
  <si>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</si>
  <si>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</si>
  <si>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</si>
  <si>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</si>
  <si>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</si>
  <si>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</si>
  <si>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</si>
  <si>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</si>
  <si>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</si>
  <si>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</si>
  <si>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</si>
  <si>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</si>
  <si>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</si>
  <si>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</si>
  <si>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</si>
  <si>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</si>
  <si>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</si>
  <si>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</si>
  <si>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</si>
  <si>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</si>
  <si>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</si>
  <si>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</si>
  <si>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</si>
  <si>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</si>
  <si>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</si>
  <si>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</si>
  <si>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</si>
  <si>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</si>
  <si>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</si>
  <si>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</si>
  <si>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</si>
  <si>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</si>
  <si>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</si>
  <si>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</si>
  <si>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</si>
  <si>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</si>
  <si>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</si>
  <si>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</si>
  <si>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</si>
  <si>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</si>
  <si>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</si>
  <si>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</si>
  <si>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</si>
  <si>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</si>
  <si>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</si>
  <si>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</si>
  <si>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</si>
  <si>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</si>
  <si>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</si>
  <si>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</si>
  <si>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</si>
  <si>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</si>
  <si>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</si>
  <si>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</si>
  <si>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</si>
  <si>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</si>
  <si>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</si>
  <si>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</si>
  <si>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</si>
  <si>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</si>
  <si>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</si>
  <si>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</si>
  <si>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</si>
  <si>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</si>
  <si>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</si>
  <si>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</si>
  <si>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</si>
  <si>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</si>
  <si>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</si>
  <si>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</si>
  <si>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</si>
  <si>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</si>
  <si>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</si>
  <si>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</si>
  <si>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</si>
  <si>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</si>
  <si>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</si>
  <si>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</si>
  <si>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</si>
  <si>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</si>
  <si>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</si>
  <si>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</si>
  <si>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</si>
  <si>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</si>
  <si>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</si>
  <si>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CG00073</t>
  </si>
  <si>
    <t>P. XNK - Mỹ Đoàn (các lô) 0913288269</t>
  </si>
  <si>
    <t>0500414591</t>
  </si>
  <si>
    <t>Mỹ Đoàn, Hà Nội</t>
  </si>
  <si>
    <t>Cont</t>
  </si>
  <si>
    <t>LH</t>
  </si>
  <si>
    <t>MEDU5490351</t>
  </si>
  <si>
    <t>TP.BG.DKG</t>
  </si>
  <si>
    <t>DKG&lt;-&gt;TP. Bắc Giang</t>
  </si>
  <si>
    <t>15C-12832</t>
  </si>
  <si>
    <t/>
  </si>
  <si>
    <t xml:space="preserve">06x20' </t>
  </si>
  <si>
    <t>RLL</t>
  </si>
  <si>
    <t>Mỹ Đoàn</t>
  </si>
  <si>
    <t xml:space="preserve">TDG xe </t>
  </si>
  <si>
    <t>MSNU1489236</t>
  </si>
  <si>
    <t>TT.HN.DKG</t>
  </si>
  <si>
    <t>DKG&lt;-&gt;Thạch Thất, Hà Nội</t>
  </si>
  <si>
    <t>15C-03470</t>
  </si>
  <si>
    <t>CT</t>
  </si>
  <si>
    <t>CXDU1424494</t>
  </si>
  <si>
    <t>CLH.HS</t>
  </si>
  <si>
    <t>DKG&lt;-&gt;Chuyển tải khu vực CLH-HS</t>
  </si>
  <si>
    <t>15C-13036</t>
  </si>
  <si>
    <t>08x20'</t>
  </si>
  <si>
    <t>CG00220</t>
  </si>
  <si>
    <t>Ngọc (LGBG) 0973747777</t>
  </si>
  <si>
    <t>Lạng Giang, Bắc Giang</t>
  </si>
  <si>
    <t>HS</t>
  </si>
  <si>
    <t>DKG&lt;-&gt;Dĩnh Trì, Bắc Giang</t>
  </si>
  <si>
    <t>15C-12876</t>
  </si>
  <si>
    <t>HS05</t>
  </si>
  <si>
    <t>Chính</t>
  </si>
  <si>
    <t>Gỗ pachy tròn (Phú Lân)</t>
  </si>
  <si>
    <t>CGN</t>
  </si>
  <si>
    <t>15C-25418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</si>
</sst>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4359B5D2-5B21-4533-907F-6FED19E3B0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837245E-62DB-4519-9346-D04859F839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5338B9D-5303-4DAC-99F5-E4904AE6F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D87708D-58BA-47F0-B476-F7656EC57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74ED53D-5494-4478-BAC7-811FC9260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71CEDE6-B1F5-4033-83CD-6FB731012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9.07.24..xlsm" TargetMode="External"/><Relationship Id="rId1" Type="http://schemas.openxmlformats.org/officeDocument/2006/relationships/externalLinkPath" Target="/Dropbox/1.%20Tien_duong_tu_13.08.2021/KH19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9014-7609-4F76-B628-9857092D7ED2}">
  <sheetPr codeName="Sheet16">
    <tabColor rgb="FF00B0F0"/>
  </sheetPr>
  <dimension ref="A1:BZ15"/>
  <sheetViews>
    <sheetView tabSelected="1" workbookViewId="0">
      <pane ySplit="8" topLeftCell="A9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7.5" style="9" bestFit="1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45492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SUBTOTAL(9,U11:U111216)</f>
        <v>20</v>
      </c>
      <c r="V9" s="86">
        <f>SUBTOTAL(9,V11:V111216)</f>
        <v>47</v>
      </c>
      <c r="W9" s="85"/>
      <c r="X9" s="87">
        <f>SUBTOTAL(9,X11:X111216)</f>
        <v>32950000</v>
      </c>
      <c r="Y9" s="82"/>
      <c r="Z9" s="82"/>
      <c r="AA9" s="82"/>
      <c r="AB9" s="85">
        <f>SUBTOTAL(9,AB11:AB111216)</f>
        <v>7100000</v>
      </c>
      <c r="AC9" s="88"/>
      <c r="AD9" s="75"/>
      <c r="AE9" s="75"/>
      <c r="AF9" s="75"/>
      <c r="AG9" s="82"/>
      <c r="AH9" s="82"/>
      <c r="AI9" s="86">
        <f>SUBTOTAL(9,AI11:AI111207)</f>
        <v>47</v>
      </c>
      <c r="AJ9" s="85"/>
      <c r="AK9" s="85">
        <f>SUBTOTAL(9,AK11:AK111207)</f>
        <v>32950000</v>
      </c>
      <c r="AL9" s="85"/>
      <c r="AM9" s="85">
        <f>SUBTOTAL(9,AM11:AM111216)</f>
        <v>7100000</v>
      </c>
      <c r="AN9" s="85">
        <f>SUBTOTAL(9,AN11:AN111216)</f>
        <v>6900000</v>
      </c>
      <c r="AO9" s="85">
        <f>SUBTOTAL(9,AO11:AO111216)</f>
        <v>200000</v>
      </c>
      <c r="AP9" s="82"/>
      <c r="AQ9" s="86">
        <f>SUBTOTAL(9,AQ11:AQ111207)</f>
        <v>44.8</v>
      </c>
      <c r="AR9" s="86"/>
      <c r="AS9" s="85"/>
      <c r="AT9" s="85">
        <f>SUBTOTAL(9,AT11:AT111207)</f>
        <v>27293000</v>
      </c>
      <c r="AU9" s="85">
        <f>SUBTOTAL(9,AU11:AU111207)</f>
        <v>5657000.0000000019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45492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 t="s">
        <v>115</v>
      </c>
      <c r="J11" s="97" t="s">
        <v>116</v>
      </c>
      <c r="K11" s="101" t="s">
        <v>117</v>
      </c>
      <c r="L11" s="102" t="s">
        <v>118</v>
      </c>
      <c r="M11" s="103" t="str">
        <f t="shared" ref="M11:M15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104" t="s">
        <v>119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Trần Văn Hiển</v>
      </c>
      <c r="P11" s="103" t="str">
        <f t="shared" ref="P11:P15" si="1">RIGHT(H11,2)</f>
        <v>nt</v>
      </c>
      <c r="Q11" s="106" t="str">
        <f t="shared" ref="Q11:Q15" si="2">IF(P11="TC",189,P11)</f>
        <v>nt</v>
      </c>
      <c r="R11" s="103">
        <v>0</v>
      </c>
      <c r="S11" s="103" t="s">
        <v>120</v>
      </c>
      <c r="T11" s="107" t="s">
        <v>121</v>
      </c>
      <c r="U11" s="108"/>
      <c r="V11" s="109">
        <v>1</v>
      </c>
      <c r="W11" s="110">
        <v>5800000</v>
      </c>
      <c r="X11" s="111">
        <f t="shared" ref="X11:X15" si="3">V11*W11</f>
        <v>5800000</v>
      </c>
      <c r="Y11" s="106" t="s">
        <v>122</v>
      </c>
      <c r="Z11" s="106" t="str">
        <f t="shared" ref="Z11:Z15" si="4">IF(Y11="RLL","OK/NO",0)</f>
        <v>OK/NO</v>
      </c>
      <c r="AA11" s="106" t="str">
        <f>LEFT(L11,3)</f>
        <v>DKG</v>
      </c>
      <c r="AB11" s="112">
        <v>1250000</v>
      </c>
      <c r="AC11" s="105" t="s">
        <v>123</v>
      </c>
      <c r="AD11" s="113">
        <f t="shared" ref="AD11:AD15" si="5">A11</f>
        <v>1</v>
      </c>
      <c r="AE11" s="113" t="str">
        <f t="shared" ref="AE11:AE15" si="6">H11</f>
        <v>Cont</v>
      </c>
      <c r="AF11" s="114" t="str">
        <f t="shared" ref="AF11:AF15" si="7">L11</f>
        <v>DKG&lt;-&gt;TP. Bắc Giang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106" t="str">
        <f t="shared" ref="AH11:AH15" si="8">N11</f>
        <v>15C-12832</v>
      </c>
      <c r="AI11" s="109">
        <f t="shared" ref="AI11:AK15" si="9">V11</f>
        <v>1</v>
      </c>
      <c r="AJ11" s="112">
        <f t="shared" si="9"/>
        <v>5800000</v>
      </c>
      <c r="AK11" s="112">
        <f t="shared" si="9"/>
        <v>5800000</v>
      </c>
      <c r="AL11" s="106" t="str">
        <f t="shared" ref="AL11:AM15" si="10">AA11</f>
        <v>DKG</v>
      </c>
      <c r="AM11" s="112">
        <f t="shared" si="10"/>
        <v>1250000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1250000</v>
      </c>
      <c r="AO11" s="112">
        <f t="shared" ref="AO11:AO15" si="11">AM11-AN11</f>
        <v>0</v>
      </c>
      <c r="AP11" s="105"/>
      <c r="AQ11" s="109">
        <f t="shared" ref="AQ11:AQ15" si="12">IF(V11&lt;=1,V11,AI11*95%)</f>
        <v>1</v>
      </c>
      <c r="AR11" s="109"/>
      <c r="AS11" s="112">
        <v>5350000</v>
      </c>
      <c r="AT11" s="112">
        <f t="shared" ref="AT11:AT15" si="13">AQ11*AS11</f>
        <v>5350000</v>
      </c>
      <c r="AU11" s="112">
        <f t="shared" ref="AU11:AU15" si="14">AK11-AT11</f>
        <v>450000</v>
      </c>
      <c r="AV11" s="105" t="str">
        <f t="shared" ref="AV11:AV15" si="15">AC11</f>
        <v>Mỹ Đoàn</v>
      </c>
      <c r="AW11" s="115">
        <f t="shared" ref="AW11:AW15" si="16">IF(AI11-AQ11=0,AQ11,IF(AI11-AQ11&gt;0,AI11-AQ11))</f>
        <v>1</v>
      </c>
      <c r="AX11" s="115"/>
      <c r="AY11" s="116">
        <f t="shared" ref="AY11:AY15" si="17">(AK11-AT11)/AW11</f>
        <v>450000</v>
      </c>
      <c r="AZ11" s="116">
        <f t="shared" ref="AZ11:AZ15" si="18">AW11*AY11</f>
        <v>450000</v>
      </c>
      <c r="BA11" s="116">
        <f t="shared" ref="BA11:BA15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512114</v>
      </c>
      <c r="BC11" s="117">
        <f t="shared" ref="BC11:BC15" si="20">IF(AA11="DKG",511301,IF(AA11="THG",511302,0))</f>
        <v>511301</v>
      </c>
      <c r="BD11" s="117">
        <f t="shared" ref="BD11:BD15" si="21">IF(AA11="DKG",5123,IF(AA11="THG",522,0))</f>
        <v>5123</v>
      </c>
      <c r="BE11" s="117">
        <f t="shared" ref="BE11:BE15" si="22">IF(AP11="Phú","NV018",IF(AP11="Giang","NV006",IF(AP11="Quang","NV024",IF(AP11="Kỳ","NV222",0))))</f>
        <v>0</v>
      </c>
      <c r="BF11" s="117">
        <f t="shared" ref="BF11:BF15" si="23">IF(AG11="CX001",0,331)</f>
        <v>0</v>
      </c>
      <c r="BG11" s="117">
        <f t="shared" ref="BG11:BG15" si="24">IF(AG11="CX001",15401,IF(OR(AG11="CX055",AG11="CX039",AG11="CX040",AG11="CX002",AG11="CX003",AG11="CX004",AG11="CX005",AG11="CX006",AG11="CX056",AG11="CX057"),331,0))</f>
        <v>15401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6121114</v>
      </c>
      <c r="BI11" s="73" t="s">
        <v>124</v>
      </c>
      <c r="BJ11" s="73" t="str">
        <f t="shared" ref="BJ11:BJ15" si="25">CONCATENATE(BI11,N11)</f>
        <v>TDG xe 15C-12832</v>
      </c>
      <c r="BK11" s="118" t="str">
        <f t="shared" ref="BK11:BK15" si="26">IF(AA11="THG","T",IF(AA11="DKG","G",0))</f>
        <v>G</v>
      </c>
      <c r="BL11" s="74" t="str">
        <f ca="1">IF(Y11="CGN",TODAY(),"")</f>
        <v/>
      </c>
      <c r="BM11" s="8" t="str">
        <f t="shared" ref="BM11" si="27">+C11</f>
        <v>CG00073</v>
      </c>
      <c r="BN11" s="8" t="str">
        <f>I11</f>
        <v>LH</v>
      </c>
      <c r="BO11" s="8" t="str">
        <f t="shared" ref="BO11:BP11" si="28">+C11</f>
        <v>CG00073</v>
      </c>
      <c r="BP11" s="8" t="str">
        <f t="shared" si="28"/>
        <v>P. XNK - Mỹ Đoàn (các lô) 0913288269</v>
      </c>
      <c r="BQ11" s="8" t="str">
        <f t="shared" ref="BQ11" si="29">+L11</f>
        <v>DKG&lt;-&gt;TP. Bắc Giang</v>
      </c>
      <c r="BS11" s="116">
        <f t="shared" ref="BS11" si="30">+W11</f>
        <v>5800000</v>
      </c>
      <c r="BT11" s="119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5300000</v>
      </c>
      <c r="BU11" s="119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4950000</v>
      </c>
      <c r="BV11" s="8">
        <f>IF(BS11-BT11=500000,BU11+400000,IF(BT11=BS11,BU11,"saiiiiiiiiiiiiiiiii"))</f>
        <v>5350000</v>
      </c>
      <c r="BX11" s="120">
        <f>VLOOKUP(BQ11,[2]gia3!$D$7:$W$256,19,0)</f>
        <v>0</v>
      </c>
      <c r="BY11" s="95">
        <f t="shared" ref="BY11:BY15" si="31">IF(BN11="","",IF(BN11="LH",BX11+300000,BX11))</f>
        <v>300000</v>
      </c>
      <c r="BZ11" s="96">
        <f t="shared" ref="BZ11:BZ15" si="32">+BY11-AS11</f>
        <v>-5050000</v>
      </c>
    </row>
    <row r="12" spans="1:78" s="8" customFormat="1" ht="20.100000000000001" customHeight="1" x14ac:dyDescent="0.3">
      <c r="A12" s="97">
        <f>MAX($A$11:A11)+1</f>
        <v>2</v>
      </c>
      <c r="B12" s="98">
        <v>45492</v>
      </c>
      <c r="C12" s="97" t="s">
        <v>110</v>
      </c>
      <c r="D12" s="99" t="s">
        <v>111</v>
      </c>
      <c r="E12" s="100" t="s">
        <v>112</v>
      </c>
      <c r="F12" s="99" t="s">
        <v>113</v>
      </c>
      <c r="G12" s="99"/>
      <c r="H12" s="97" t="s">
        <v>114</v>
      </c>
      <c r="I12" s="97" t="s">
        <v>115</v>
      </c>
      <c r="J12" s="97" t="s">
        <v>125</v>
      </c>
      <c r="K12" s="101" t="s">
        <v>126</v>
      </c>
      <c r="L12" s="102" t="s">
        <v>127</v>
      </c>
      <c r="M12" s="103" t="str">
        <f t="shared" si="0"/>
        <v>Hoàng Sơn</v>
      </c>
      <c r="N12" s="104" t="s">
        <v>128</v>
      </c>
      <c r="O12" s="105" t="str">
        <f t="shared" ref="O12:O15" si="33"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Lợi",IF(N12="15C-12876","Phạm Văn Thượng",IF(N12="15C-13616","Đặng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Ngô Quang Hưng</v>
      </c>
      <c r="P12" s="103" t="str">
        <f t="shared" si="1"/>
        <v>nt</v>
      </c>
      <c r="Q12" s="106" t="str">
        <f t="shared" si="2"/>
        <v>nt</v>
      </c>
      <c r="R12" s="103">
        <v>0</v>
      </c>
      <c r="S12" s="103" t="s">
        <v>120</v>
      </c>
      <c r="T12" s="107" t="s">
        <v>121</v>
      </c>
      <c r="U12" s="108"/>
      <c r="V12" s="109">
        <v>1</v>
      </c>
      <c r="W12" s="110">
        <v>5850000</v>
      </c>
      <c r="X12" s="111">
        <f t="shared" si="3"/>
        <v>5850000</v>
      </c>
      <c r="Y12" s="106" t="s">
        <v>122</v>
      </c>
      <c r="Z12" s="106" t="str">
        <f t="shared" si="4"/>
        <v>OK/NO</v>
      </c>
      <c r="AA12" s="106" t="str">
        <f t="shared" ref="AA12:AA15" si="34">LEFT(L12,3)</f>
        <v>DKG</v>
      </c>
      <c r="AB12" s="112">
        <v>1200000</v>
      </c>
      <c r="AC12" s="105" t="s">
        <v>123</v>
      </c>
      <c r="AD12" s="113">
        <f t="shared" si="5"/>
        <v>2</v>
      </c>
      <c r="AE12" s="113" t="str">
        <f t="shared" si="6"/>
        <v>Cont</v>
      </c>
      <c r="AF12" s="114" t="str">
        <f t="shared" si="7"/>
        <v>DKG&lt;-&gt;Thạch Thất, Hà Nội</v>
      </c>
      <c r="AG12" s="106" t="str">
        <f t="shared" ref="AG12:AG15" si="35"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CX002</v>
      </c>
      <c r="AH12" s="106" t="str">
        <f t="shared" si="8"/>
        <v>15C-03470</v>
      </c>
      <c r="AI12" s="109">
        <f t="shared" si="9"/>
        <v>1</v>
      </c>
      <c r="AJ12" s="112">
        <f t="shared" si="9"/>
        <v>5850000</v>
      </c>
      <c r="AK12" s="112">
        <f t="shared" si="9"/>
        <v>5850000</v>
      </c>
      <c r="AL12" s="106" t="str">
        <f t="shared" si="10"/>
        <v>DKG</v>
      </c>
      <c r="AM12" s="112">
        <f t="shared" si="10"/>
        <v>1200000</v>
      </c>
      <c r="AN12" s="112">
        <f t="shared" ref="AN12:AN15" si="36"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1200000</v>
      </c>
      <c r="AO12" s="112">
        <f t="shared" si="11"/>
        <v>0</v>
      </c>
      <c r="AP12" s="105"/>
      <c r="AQ12" s="109">
        <f t="shared" si="12"/>
        <v>1</v>
      </c>
      <c r="AR12" s="109"/>
      <c r="AS12" s="112">
        <v>5150000</v>
      </c>
      <c r="AT12" s="112">
        <f t="shared" si="13"/>
        <v>5150000</v>
      </c>
      <c r="AU12" s="112">
        <f t="shared" si="14"/>
        <v>700000</v>
      </c>
      <c r="AV12" s="105" t="str">
        <f t="shared" si="15"/>
        <v>Mỹ Đoàn</v>
      </c>
      <c r="AW12" s="115">
        <f t="shared" si="16"/>
        <v>1</v>
      </c>
      <c r="AX12" s="115"/>
      <c r="AY12" s="116">
        <f t="shared" si="17"/>
        <v>700000</v>
      </c>
      <c r="AZ12" s="116">
        <f t="shared" si="18"/>
        <v>700000</v>
      </c>
      <c r="BA12" s="116">
        <f t="shared" si="19"/>
        <v>0</v>
      </c>
      <c r="BB12" s="117">
        <f t="shared" ref="BB12:BB15" si="37"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512212</v>
      </c>
      <c r="BC12" s="117">
        <f t="shared" si="20"/>
        <v>511301</v>
      </c>
      <c r="BD12" s="117">
        <f t="shared" si="21"/>
        <v>5123</v>
      </c>
      <c r="BE12" s="117">
        <f t="shared" si="22"/>
        <v>0</v>
      </c>
      <c r="BF12" s="117">
        <f t="shared" si="23"/>
        <v>331</v>
      </c>
      <c r="BG12" s="117">
        <f t="shared" si="24"/>
        <v>331</v>
      </c>
      <c r="BH12" s="118">
        <f t="shared" ref="BH12:BH15" si="38"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0</v>
      </c>
      <c r="BI12" s="73" t="s">
        <v>124</v>
      </c>
      <c r="BJ12" s="73" t="str">
        <f t="shared" si="25"/>
        <v>TDG xe 15C-03470</v>
      </c>
      <c r="BK12" s="118" t="str">
        <f t="shared" si="26"/>
        <v>G</v>
      </c>
      <c r="BL12" s="74" t="str">
        <f t="shared" ref="BL12:BL15" ca="1" si="39">IF(Y12="CGN",TODAY(),"")</f>
        <v/>
      </c>
      <c r="BM12" s="8" t="str">
        <f>+C12</f>
        <v>CG00073</v>
      </c>
      <c r="BN12" s="8" t="str">
        <f t="shared" ref="BN12:BN15" si="40">I12</f>
        <v>LH</v>
      </c>
      <c r="BO12" s="8" t="str">
        <f>+C12</f>
        <v>CG00073</v>
      </c>
      <c r="BP12" s="8" t="str">
        <f>+D12</f>
        <v>P. XNK - Mỹ Đoàn (các lô) 0913288269</v>
      </c>
      <c r="BQ12" s="8" t="str">
        <f>+L12</f>
        <v>DKG&lt;-&gt;Thạch Thất, Hà Nội</v>
      </c>
      <c r="BS12" s="116">
        <f>+W12</f>
        <v>5850000</v>
      </c>
      <c r="BT12" s="119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5350000</v>
      </c>
      <c r="BU12" s="119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4750000</v>
      </c>
      <c r="BV12" s="8">
        <f t="shared" ref="BV12:BV15" si="41">IF(BS12-BT12=500000,BU12+400000,IF(BT12=BS12,BU12,"saiiiiiiiiiiiiiiiii"))</f>
        <v>5150000</v>
      </c>
      <c r="BW12" s="8" t="str">
        <f>I12</f>
        <v>LH</v>
      </c>
      <c r="BX12" s="120">
        <f>VLOOKUP(BQ12,[2]gia3!$D$7:$W$256,19,0)</f>
        <v>4700000</v>
      </c>
      <c r="BY12" s="95">
        <f t="shared" si="31"/>
        <v>5000000</v>
      </c>
      <c r="BZ12" s="96">
        <f t="shared" si="32"/>
        <v>-150000</v>
      </c>
    </row>
    <row r="13" spans="1:78" s="8" customFormat="1" ht="20.100000000000001" customHeight="1" x14ac:dyDescent="0.3">
      <c r="A13" s="97">
        <f>MAX($A$11:A12)+1</f>
        <v>3</v>
      </c>
      <c r="B13" s="98">
        <v>45492</v>
      </c>
      <c r="C13" s="97" t="s">
        <v>110</v>
      </c>
      <c r="D13" s="99" t="s">
        <v>111</v>
      </c>
      <c r="E13" s="100" t="s">
        <v>112</v>
      </c>
      <c r="F13" s="99" t="s">
        <v>113</v>
      </c>
      <c r="G13" s="99"/>
      <c r="H13" s="97" t="s">
        <v>129</v>
      </c>
      <c r="I13" s="97" t="s">
        <v>115</v>
      </c>
      <c r="J13" s="97" t="s">
        <v>130</v>
      </c>
      <c r="K13" s="101" t="s">
        <v>131</v>
      </c>
      <c r="L13" s="102" t="s">
        <v>132</v>
      </c>
      <c r="M13" s="103" t="str">
        <f t="shared" si="0"/>
        <v>Cậu Mợ</v>
      </c>
      <c r="N13" s="104" t="s">
        <v>133</v>
      </c>
      <c r="O13" s="105" t="str">
        <f t="shared" si="33"/>
        <v>Nguyễn Ngọc Anh</v>
      </c>
      <c r="P13" s="103" t="str">
        <f t="shared" si="1"/>
        <v>CT</v>
      </c>
      <c r="Q13" s="106" t="str">
        <f t="shared" si="2"/>
        <v>CT</v>
      </c>
      <c r="R13" s="103">
        <v>0</v>
      </c>
      <c r="S13" s="103" t="s">
        <v>120</v>
      </c>
      <c r="T13" s="107" t="s">
        <v>134</v>
      </c>
      <c r="U13" s="108"/>
      <c r="V13" s="109">
        <v>1</v>
      </c>
      <c r="W13" s="110">
        <v>1500000</v>
      </c>
      <c r="X13" s="111">
        <f t="shared" si="3"/>
        <v>1500000</v>
      </c>
      <c r="Y13" s="106" t="s">
        <v>122</v>
      </c>
      <c r="Z13" s="106" t="str">
        <f t="shared" si="4"/>
        <v>OK/NO</v>
      </c>
      <c r="AA13" s="106" t="str">
        <f t="shared" si="34"/>
        <v>DKG</v>
      </c>
      <c r="AB13" s="112">
        <v>150000</v>
      </c>
      <c r="AC13" s="105" t="s">
        <v>123</v>
      </c>
      <c r="AD13" s="113">
        <f t="shared" si="5"/>
        <v>3</v>
      </c>
      <c r="AE13" s="113" t="str">
        <f t="shared" si="6"/>
        <v>CT</v>
      </c>
      <c r="AF13" s="114" t="str">
        <f t="shared" si="7"/>
        <v>DKG&lt;-&gt;Chuyển tải khu vực CLH-HS</v>
      </c>
      <c r="AG13" s="106" t="str">
        <f t="shared" si="35"/>
        <v>CX006</v>
      </c>
      <c r="AH13" s="106" t="str">
        <f t="shared" si="8"/>
        <v>15C-13036</v>
      </c>
      <c r="AI13" s="109">
        <f t="shared" si="9"/>
        <v>1</v>
      </c>
      <c r="AJ13" s="112">
        <f t="shared" si="9"/>
        <v>1500000</v>
      </c>
      <c r="AK13" s="112">
        <f t="shared" si="9"/>
        <v>1500000</v>
      </c>
      <c r="AL13" s="106" t="str">
        <f t="shared" si="10"/>
        <v>DKG</v>
      </c>
      <c r="AM13" s="112">
        <f t="shared" si="10"/>
        <v>150000</v>
      </c>
      <c r="AN13" s="112">
        <f t="shared" si="36"/>
        <v>150000</v>
      </c>
      <c r="AO13" s="112">
        <f t="shared" si="11"/>
        <v>0</v>
      </c>
      <c r="AP13" s="105"/>
      <c r="AQ13" s="109">
        <f t="shared" si="12"/>
        <v>1</v>
      </c>
      <c r="AR13" s="109"/>
      <c r="AS13" s="112">
        <f t="shared" ref="AS13:AS15" si="42">IF(AND(AA13="DKG",H13="Cont",K13="VD.HN.DKG"),4000000/AQ13,IF(AND(AA13="DKG",A13&gt;=1,K13="CLH.HS"),700000,IF(AND(AA13="DKG",A13&gt;=1,K13="CDV.HS"),550000,IF(AND(AA13="DKG",A13&gt;=1,K13="HS.HA"),800000/AQ13,IF(AND(AA13="DKG",A13&gt;=1,K13="CHP.HS"),500000/AQ13,IF(AND(AA13="DKG",A13&gt;=1,K13="KH.DKG"),X13-1000000,IF(AA13="DKG",AJ13-65000,IF(AA13="THG",AJ13,0))))))))</f>
        <v>700000</v>
      </c>
      <c r="AT13" s="112">
        <f t="shared" si="13"/>
        <v>700000</v>
      </c>
      <c r="AU13" s="112">
        <f t="shared" si="14"/>
        <v>800000</v>
      </c>
      <c r="AV13" s="105" t="str">
        <f t="shared" si="15"/>
        <v>Mỹ Đoàn</v>
      </c>
      <c r="AW13" s="115">
        <f t="shared" si="16"/>
        <v>1</v>
      </c>
      <c r="AX13" s="115"/>
      <c r="AY13" s="116">
        <f t="shared" si="17"/>
        <v>800000</v>
      </c>
      <c r="AZ13" s="116">
        <f t="shared" si="18"/>
        <v>800000</v>
      </c>
      <c r="BA13" s="116">
        <f t="shared" si="19"/>
        <v>0</v>
      </c>
      <c r="BB13" s="117">
        <f t="shared" si="37"/>
        <v>51224</v>
      </c>
      <c r="BC13" s="117">
        <f t="shared" si="20"/>
        <v>511301</v>
      </c>
      <c r="BD13" s="117">
        <f t="shared" si="21"/>
        <v>5123</v>
      </c>
      <c r="BE13" s="117">
        <f t="shared" si="22"/>
        <v>0</v>
      </c>
      <c r="BF13" s="117">
        <f t="shared" si="23"/>
        <v>331</v>
      </c>
      <c r="BG13" s="117">
        <f t="shared" si="24"/>
        <v>331</v>
      </c>
      <c r="BH13" s="118">
        <f t="shared" si="38"/>
        <v>0</v>
      </c>
      <c r="BI13" s="73" t="s">
        <v>124</v>
      </c>
      <c r="BJ13" s="73" t="str">
        <f t="shared" si="25"/>
        <v>TDG xe 15C-13036</v>
      </c>
      <c r="BK13" s="118" t="str">
        <f t="shared" si="26"/>
        <v>G</v>
      </c>
      <c r="BL13" s="74" t="str">
        <f t="shared" ca="1" si="39"/>
        <v/>
      </c>
      <c r="BM13" s="8" t="str">
        <f t="shared" ref="BM13:BM15" si="43">+C13</f>
        <v>CG00073</v>
      </c>
      <c r="BN13" s="8" t="str">
        <f t="shared" si="40"/>
        <v>LH</v>
      </c>
      <c r="BO13" s="8" t="str">
        <f t="shared" ref="BO13:BP15" si="44">+C13</f>
        <v>CG00073</v>
      </c>
      <c r="BP13" s="8" t="str">
        <f t="shared" si="44"/>
        <v>P. XNK - Mỹ Đoàn (các lô) 0913288269</v>
      </c>
      <c r="BQ13" s="8" t="str">
        <f t="shared" ref="BQ13:BQ15" si="45">+L13</f>
        <v>DKG&lt;-&gt;Chuyển tải khu vực CLH-HS</v>
      </c>
      <c r="BS13" s="116">
        <f t="shared" ref="BS13:BS15" si="46">+W13</f>
        <v>1500000</v>
      </c>
      <c r="BT13" s="119" t="e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#N/A</v>
      </c>
      <c r="BU13" s="119" t="e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#N/A</v>
      </c>
      <c r="BV13" s="8" t="e">
        <f t="shared" si="41"/>
        <v>#N/A</v>
      </c>
      <c r="BX13" s="120" t="e">
        <f>VLOOKUP(BQ13,[2]gia3!$D$7:$W$256,19,0)</f>
        <v>#N/A</v>
      </c>
      <c r="BY13" s="95" t="e">
        <f t="shared" si="31"/>
        <v>#N/A</v>
      </c>
      <c r="BZ13" s="96" t="e">
        <f t="shared" si="32"/>
        <v>#N/A</v>
      </c>
    </row>
    <row r="14" spans="1:78" s="8" customFormat="1" ht="20.100000000000001" customHeight="1" x14ac:dyDescent="0.3">
      <c r="A14" s="97">
        <f>MAX($A$11:A13)+1</f>
        <v>4</v>
      </c>
      <c r="B14" s="98">
        <v>45492</v>
      </c>
      <c r="C14" s="97" t="s">
        <v>135</v>
      </c>
      <c r="D14" s="99" t="s">
        <v>136</v>
      </c>
      <c r="E14" s="100" t="s">
        <v>120</v>
      </c>
      <c r="F14" s="99" t="s">
        <v>137</v>
      </c>
      <c r="G14" s="99"/>
      <c r="H14" s="97" t="s">
        <v>138</v>
      </c>
      <c r="I14" s="97" t="s">
        <v>120</v>
      </c>
      <c r="J14" s="97"/>
      <c r="K14" s="101"/>
      <c r="L14" s="102" t="s">
        <v>139</v>
      </c>
      <c r="M14" s="103" t="str">
        <f t="shared" si="0"/>
        <v>Hoàng Sơn</v>
      </c>
      <c r="N14" s="104" t="s">
        <v>140</v>
      </c>
      <c r="O14" s="105" t="str">
        <f t="shared" si="33"/>
        <v>Phạm Văn Thượng</v>
      </c>
      <c r="P14" s="103" t="str">
        <f t="shared" si="1"/>
        <v>HS</v>
      </c>
      <c r="Q14" s="106" t="str">
        <f t="shared" si="2"/>
        <v>HS</v>
      </c>
      <c r="R14" s="103" t="s">
        <v>141</v>
      </c>
      <c r="S14" s="103" t="s">
        <v>142</v>
      </c>
      <c r="T14" s="107" t="s">
        <v>143</v>
      </c>
      <c r="U14" s="108">
        <v>10</v>
      </c>
      <c r="V14" s="109">
        <v>22</v>
      </c>
      <c r="W14" s="110">
        <v>450000</v>
      </c>
      <c r="X14" s="111">
        <f t="shared" si="3"/>
        <v>9900000</v>
      </c>
      <c r="Y14" s="106" t="s">
        <v>144</v>
      </c>
      <c r="Z14" s="106">
        <f t="shared" si="4"/>
        <v>0</v>
      </c>
      <c r="AA14" s="106" t="str">
        <f t="shared" si="34"/>
        <v>DKG</v>
      </c>
      <c r="AB14" s="112">
        <v>2250000</v>
      </c>
      <c r="AC14" s="105" t="s">
        <v>120</v>
      </c>
      <c r="AD14" s="113">
        <f t="shared" si="5"/>
        <v>4</v>
      </c>
      <c r="AE14" s="113" t="str">
        <f t="shared" si="6"/>
        <v>HS</v>
      </c>
      <c r="AF14" s="114" t="str">
        <f t="shared" si="7"/>
        <v>DKG&lt;-&gt;Dĩnh Trì, Bắc Giang</v>
      </c>
      <c r="AG14" s="106" t="str">
        <f t="shared" si="35"/>
        <v>CX001</v>
      </c>
      <c r="AH14" s="106" t="str">
        <f t="shared" si="8"/>
        <v>15C-12876</v>
      </c>
      <c r="AI14" s="109">
        <f t="shared" si="9"/>
        <v>22</v>
      </c>
      <c r="AJ14" s="112">
        <f t="shared" si="9"/>
        <v>450000</v>
      </c>
      <c r="AK14" s="112">
        <f t="shared" si="9"/>
        <v>9900000</v>
      </c>
      <c r="AL14" s="106" t="str">
        <f t="shared" si="10"/>
        <v>DKG</v>
      </c>
      <c r="AM14" s="112">
        <f t="shared" si="10"/>
        <v>2250000</v>
      </c>
      <c r="AN14" s="112">
        <f t="shared" si="36"/>
        <v>2150000</v>
      </c>
      <c r="AO14" s="112">
        <f t="shared" si="11"/>
        <v>100000</v>
      </c>
      <c r="AP14" s="105"/>
      <c r="AQ14" s="109">
        <f t="shared" si="12"/>
        <v>20.9</v>
      </c>
      <c r="AR14" s="109"/>
      <c r="AS14" s="112">
        <f t="shared" si="42"/>
        <v>385000</v>
      </c>
      <c r="AT14" s="112">
        <f t="shared" si="13"/>
        <v>8046499.9999999991</v>
      </c>
      <c r="AU14" s="112">
        <f t="shared" si="14"/>
        <v>1853500.0000000009</v>
      </c>
      <c r="AV14" s="105" t="str">
        <f t="shared" si="15"/>
        <v/>
      </c>
      <c r="AW14" s="115">
        <f t="shared" si="16"/>
        <v>1.1000000000000014</v>
      </c>
      <c r="AX14" s="115"/>
      <c r="AY14" s="116">
        <f t="shared" si="17"/>
        <v>1684999.9999999986</v>
      </c>
      <c r="AZ14" s="116">
        <f t="shared" si="18"/>
        <v>1853500.0000000009</v>
      </c>
      <c r="BA14" s="116">
        <f t="shared" si="19"/>
        <v>0</v>
      </c>
      <c r="BB14" s="117">
        <f t="shared" si="37"/>
        <v>512116</v>
      </c>
      <c r="BC14" s="117">
        <f t="shared" si="20"/>
        <v>511301</v>
      </c>
      <c r="BD14" s="117">
        <f t="shared" si="21"/>
        <v>5123</v>
      </c>
      <c r="BE14" s="117">
        <f t="shared" si="22"/>
        <v>0</v>
      </c>
      <c r="BF14" s="117">
        <f t="shared" si="23"/>
        <v>0</v>
      </c>
      <c r="BG14" s="117">
        <f t="shared" si="24"/>
        <v>15401</v>
      </c>
      <c r="BH14" s="118">
        <f t="shared" si="38"/>
        <v>6121116</v>
      </c>
      <c r="BI14" s="73" t="s">
        <v>124</v>
      </c>
      <c r="BJ14" s="73" t="str">
        <f t="shared" si="25"/>
        <v>TDG xe 15C-12876</v>
      </c>
      <c r="BK14" s="118" t="str">
        <f t="shared" si="26"/>
        <v>G</v>
      </c>
      <c r="BL14" s="74">
        <f t="shared" ca="1" si="39"/>
        <v>45493</v>
      </c>
      <c r="BM14" s="8" t="str">
        <f t="shared" si="43"/>
        <v>CG00220</v>
      </c>
      <c r="BN14" s="8" t="str">
        <f t="shared" si="40"/>
        <v/>
      </c>
      <c r="BO14" s="8" t="str">
        <f t="shared" si="44"/>
        <v>CG00220</v>
      </c>
      <c r="BP14" s="8" t="str">
        <f t="shared" si="44"/>
        <v>Ngọc (LGBG) 0973747777</v>
      </c>
      <c r="BQ14" s="8" t="str">
        <f t="shared" si="45"/>
        <v>DKG&lt;-&gt;Dĩnh Trì, Bắc Giang</v>
      </c>
      <c r="BS14" s="116">
        <f t="shared" si="46"/>
        <v>450000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 t="str">
        <f t="shared" si="41"/>
        <v>saiiiiiiiiiiiiiiiii</v>
      </c>
      <c r="BX14" s="120" t="e">
        <f>VLOOKUP(BQ14,[2]gia3!$D$7:$W$256,19,0)</f>
        <v>#N/A</v>
      </c>
      <c r="BY14" s="95" t="str">
        <f t="shared" si="31"/>
        <v/>
      </c>
      <c r="BZ14" s="96" t="e">
        <f t="shared" si="32"/>
        <v>#VALUE!</v>
      </c>
    </row>
    <row r="15" spans="1:78" s="8" customFormat="1" ht="20.100000000000001" customHeight="1" x14ac:dyDescent="0.3">
      <c r="A15" s="97">
        <f>MAX($A$11:A14)+1</f>
        <v>5</v>
      </c>
      <c r="B15" s="98">
        <v>45492</v>
      </c>
      <c r="C15" s="97" t="s">
        <v>135</v>
      </c>
      <c r="D15" s="99" t="s">
        <v>136</v>
      </c>
      <c r="E15" s="100" t="s">
        <v>120</v>
      </c>
      <c r="F15" s="99" t="s">
        <v>137</v>
      </c>
      <c r="G15" s="99"/>
      <c r="H15" s="97" t="s">
        <v>138</v>
      </c>
      <c r="I15" s="97" t="s">
        <v>120</v>
      </c>
      <c r="J15" s="97"/>
      <c r="K15" s="101"/>
      <c r="L15" s="102" t="s">
        <v>139</v>
      </c>
      <c r="M15" s="103" t="str">
        <f t="shared" si="0"/>
        <v>Yến Tuân</v>
      </c>
      <c r="N15" s="104" t="s">
        <v>145</v>
      </c>
      <c r="O15" s="105" t="str">
        <f t="shared" si="33"/>
        <v>Ngụy Văn Toàn</v>
      </c>
      <c r="P15" s="103" t="str">
        <f t="shared" si="1"/>
        <v>HS</v>
      </c>
      <c r="Q15" s="106" t="str">
        <f t="shared" si="2"/>
        <v>HS</v>
      </c>
      <c r="R15" s="103" t="s">
        <v>141</v>
      </c>
      <c r="S15" s="103" t="s">
        <v>142</v>
      </c>
      <c r="T15" s="107" t="s">
        <v>143</v>
      </c>
      <c r="U15" s="108">
        <v>10</v>
      </c>
      <c r="V15" s="109">
        <v>22</v>
      </c>
      <c r="W15" s="110">
        <v>450000</v>
      </c>
      <c r="X15" s="111">
        <f t="shared" si="3"/>
        <v>9900000</v>
      </c>
      <c r="Y15" s="106" t="s">
        <v>144</v>
      </c>
      <c r="Z15" s="106">
        <f t="shared" si="4"/>
        <v>0</v>
      </c>
      <c r="AA15" s="106" t="str">
        <f t="shared" si="34"/>
        <v>DKG</v>
      </c>
      <c r="AB15" s="112">
        <v>2250000</v>
      </c>
      <c r="AC15" s="105" t="s">
        <v>120</v>
      </c>
      <c r="AD15" s="113">
        <f t="shared" si="5"/>
        <v>5</v>
      </c>
      <c r="AE15" s="113" t="str">
        <f t="shared" si="6"/>
        <v>HS</v>
      </c>
      <c r="AF15" s="114" t="str">
        <f t="shared" si="7"/>
        <v>DKG&lt;-&gt;Dĩnh Trì, Bắc Giang</v>
      </c>
      <c r="AG15" s="106" t="str">
        <f t="shared" si="35"/>
        <v>CX008</v>
      </c>
      <c r="AH15" s="106" t="str">
        <f t="shared" si="8"/>
        <v>15C-25418</v>
      </c>
      <c r="AI15" s="109">
        <f t="shared" si="9"/>
        <v>22</v>
      </c>
      <c r="AJ15" s="112">
        <f t="shared" si="9"/>
        <v>450000</v>
      </c>
      <c r="AK15" s="112">
        <f t="shared" si="9"/>
        <v>9900000</v>
      </c>
      <c r="AL15" s="106" t="str">
        <f t="shared" si="10"/>
        <v>DKG</v>
      </c>
      <c r="AM15" s="112">
        <f t="shared" si="10"/>
        <v>2250000</v>
      </c>
      <c r="AN15" s="112">
        <f t="shared" si="36"/>
        <v>2150000</v>
      </c>
      <c r="AO15" s="112">
        <f t="shared" si="11"/>
        <v>100000</v>
      </c>
      <c r="AP15" s="105"/>
      <c r="AQ15" s="109">
        <f t="shared" si="12"/>
        <v>20.9</v>
      </c>
      <c r="AR15" s="109"/>
      <c r="AS15" s="112">
        <f t="shared" si="42"/>
        <v>385000</v>
      </c>
      <c r="AT15" s="112">
        <f t="shared" si="13"/>
        <v>8046499.9999999991</v>
      </c>
      <c r="AU15" s="112">
        <f t="shared" si="14"/>
        <v>1853500.0000000009</v>
      </c>
      <c r="AV15" s="105" t="str">
        <f t="shared" si="15"/>
        <v/>
      </c>
      <c r="AW15" s="115">
        <f t="shared" si="16"/>
        <v>1.1000000000000014</v>
      </c>
      <c r="AX15" s="115"/>
      <c r="AY15" s="116">
        <f t="shared" si="17"/>
        <v>1684999.9999999986</v>
      </c>
      <c r="AZ15" s="116">
        <f t="shared" si="18"/>
        <v>1853500.0000000009</v>
      </c>
      <c r="BA15" s="116">
        <f t="shared" si="19"/>
        <v>0</v>
      </c>
      <c r="BB15" s="117">
        <f t="shared" si="37"/>
        <v>51225</v>
      </c>
      <c r="BC15" s="117">
        <f t="shared" si="20"/>
        <v>511301</v>
      </c>
      <c r="BD15" s="117">
        <f t="shared" si="21"/>
        <v>5123</v>
      </c>
      <c r="BE15" s="117">
        <f t="shared" si="22"/>
        <v>0</v>
      </c>
      <c r="BF15" s="117">
        <f t="shared" si="23"/>
        <v>331</v>
      </c>
      <c r="BG15" s="117">
        <f t="shared" si="24"/>
        <v>0</v>
      </c>
      <c r="BH15" s="118">
        <f t="shared" si="38"/>
        <v>0</v>
      </c>
      <c r="BI15" s="73" t="s">
        <v>124</v>
      </c>
      <c r="BJ15" s="73" t="str">
        <f t="shared" si="25"/>
        <v>TDG xe 15C-25418</v>
      </c>
      <c r="BK15" s="118" t="str">
        <f t="shared" si="26"/>
        <v>G</v>
      </c>
      <c r="BL15" s="74">
        <f t="shared" ca="1" si="39"/>
        <v>45493</v>
      </c>
      <c r="BM15" s="8" t="str">
        <f t="shared" si="43"/>
        <v>CG00220</v>
      </c>
      <c r="BN15" s="8" t="str">
        <f t="shared" si="40"/>
        <v/>
      </c>
      <c r="BO15" s="8" t="str">
        <f t="shared" si="44"/>
        <v>CG00220</v>
      </c>
      <c r="BP15" s="8" t="str">
        <f t="shared" si="44"/>
        <v>Ngọc (LGBG) 0973747777</v>
      </c>
      <c r="BQ15" s="8" t="str">
        <f t="shared" si="45"/>
        <v>DKG&lt;-&gt;Dĩnh Trì, Bắc Giang</v>
      </c>
      <c r="BS15" s="116">
        <f t="shared" si="46"/>
        <v>450000</v>
      </c>
      <c r="BT15" s="119" t="b">
        <f>IF(OR(BM15="CG00047",BM15="Dong Duong",BM15="CG00073",BM15="CG00078",BM15="CG00045"),VLOOKUP(BQ15,[1]gia3!$D$7:$T$206,4,0),IF(OR(BM15="CG00088",BM15="CG00044",),VLOOKUP(BQ15,[1]gia3!$D$7:$T$206,6,0),IF(BM15="Đinh Gia",VLOOKUP(BQ15,[1]gia3!$D$7:$T$206,8,0),IF(OR(BM15="Greeensky",BM15="CG..."),VLOOKUP(BQ15,[1]gia3!$D$7:$T$206,10,0),IF(OR(BM15="Đại Huu",BM15="Vietj Mỹ"),VLOOKUP(BQ15,[1]gia3!$D$7:$T$206,14,0) )))))</f>
        <v>0</v>
      </c>
      <c r="BU15" s="119" t="b">
        <f>IF(OR(BM15="CG00047",BM15="Dong Duong",BM15="CG00073",BM15="CG00078",BM15="CG00045"),VLOOKUP(BQ15,[1]gia3!$D$7:$T$206,5,0),IF(OR(BM15="CG00088",BM15="CG00044",),VLOOKUP(BQ15,[1]gia3!$D$7:$T$206,7,0),IF(BM15="Đinh Gia",VLOOKUP(BQ15,[1]gia3!$D$7:$T$206,9,0),IF(OR(BM15="Greeensky",BM15="CG..."),VLOOKUP(BQ15,[1]gia3!$D$7:$T$206,11,0),IF(OR(BM15="Đại Huu",BM15="Vietj Mỹ"),VLOOKUP(BQ15,[1]gia3!$D$7:$T$206,15,0) )))))</f>
        <v>0</v>
      </c>
      <c r="BV15" s="8" t="str">
        <f t="shared" si="41"/>
        <v>saiiiiiiiiiiiiiiiii</v>
      </c>
      <c r="BX15" s="120" t="e">
        <f>VLOOKUP(BQ15,[2]gia3!$D$7:$W$256,19,0)</f>
        <v>#N/A</v>
      </c>
      <c r="BY15" s="95" t="str">
        <f t="shared" si="31"/>
        <v/>
      </c>
      <c r="BZ15" s="96" t="e">
        <f t="shared" si="32"/>
        <v>#VALUE!</v>
      </c>
    </row>
  </sheetData>
  <autoFilter ref="A10:BL15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2024-07-20T03:49:58Z</dcterms:created>
  <dcterms:modified xsi:type="dcterms:W3CDTF">2024-07-20T03:50:00Z</dcterms:modified>
</cp:coreProperties>
</file>