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6FAFCB79-52C7-40D6-881B-72B1E51938AA}" xr6:coauthVersionLast="47" xr6:coauthVersionMax="47" xr10:uidLastSave="{00000000-0000-0000-0000-000000000000}"/>
  <bookViews>
    <workbookView xWindow="-108" yWindow="-108" windowWidth="23256" windowHeight="12456" xr2:uid="{44C2AC33-5089-4456-BF1D-D2F69A3EF401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8" i="1" l="1"/>
  <c r="BQ18" i="1"/>
  <c r="BX18" i="1" s="1"/>
  <c r="BP18" i="1"/>
  <c r="BO18" i="1"/>
  <c r="BN18" i="1"/>
  <c r="BY18" i="1" s="1"/>
  <c r="BM18" i="1"/>
  <c r="BU18" i="1" s="1"/>
  <c r="BL18" i="1"/>
  <c r="BJ18" i="1"/>
  <c r="BE18" i="1"/>
  <c r="BB18" i="1"/>
  <c r="AV18" i="1"/>
  <c r="AQ18" i="1"/>
  <c r="AM18" i="1"/>
  <c r="AL18" i="1"/>
  <c r="AJ18" i="1"/>
  <c r="AI18" i="1"/>
  <c r="AW18" i="1" s="1"/>
  <c r="AH18" i="1"/>
  <c r="AG18" i="1"/>
  <c r="BH18" i="1" s="1"/>
  <c r="AF18" i="1"/>
  <c r="AE18" i="1"/>
  <c r="AA18" i="1"/>
  <c r="BK18" i="1" s="1"/>
  <c r="Z18" i="1"/>
  <c r="X18" i="1"/>
  <c r="AK18" i="1" s="1"/>
  <c r="Q18" i="1"/>
  <c r="P18" i="1"/>
  <c r="O18" i="1"/>
  <c r="M18" i="1"/>
  <c r="BU17" i="1"/>
  <c r="BT17" i="1"/>
  <c r="BS17" i="1"/>
  <c r="BV17" i="1" s="1"/>
  <c r="BQ17" i="1"/>
  <c r="BX17" i="1" s="1"/>
  <c r="BP17" i="1"/>
  <c r="BO17" i="1"/>
  <c r="BN17" i="1"/>
  <c r="BY17" i="1" s="1"/>
  <c r="BM17" i="1"/>
  <c r="BL17" i="1"/>
  <c r="BJ17" i="1"/>
  <c r="BG17" i="1"/>
  <c r="BF17" i="1"/>
  <c r="BE17" i="1"/>
  <c r="AV17" i="1"/>
  <c r="AQ17" i="1"/>
  <c r="AO17" i="1"/>
  <c r="AN17" i="1"/>
  <c r="AM17" i="1"/>
  <c r="AJ17" i="1"/>
  <c r="AI17" i="1"/>
  <c r="AW17" i="1" s="1"/>
  <c r="AH17" i="1"/>
  <c r="AG17" i="1"/>
  <c r="BB17" i="1" s="1"/>
  <c r="AF17" i="1"/>
  <c r="AE17" i="1"/>
  <c r="AA17" i="1"/>
  <c r="AL17" i="1" s="1"/>
  <c r="Z17" i="1"/>
  <c r="X17" i="1"/>
  <c r="AK17" i="1" s="1"/>
  <c r="Q17" i="1"/>
  <c r="P17" i="1"/>
  <c r="O17" i="1"/>
  <c r="M17" i="1"/>
  <c r="BY16" i="1"/>
  <c r="BX16" i="1"/>
  <c r="BV16" i="1"/>
  <c r="BU16" i="1"/>
  <c r="BT16" i="1"/>
  <c r="BS16" i="1"/>
  <c r="BQ16" i="1"/>
  <c r="BP16" i="1"/>
  <c r="BO16" i="1"/>
  <c r="BN16" i="1"/>
  <c r="BM16" i="1"/>
  <c r="BL16" i="1"/>
  <c r="BK16" i="1"/>
  <c r="BJ16" i="1"/>
  <c r="BG16" i="1"/>
  <c r="BE16" i="1"/>
  <c r="AV16" i="1"/>
  <c r="AM16" i="1"/>
  <c r="AJ16" i="1"/>
  <c r="AI16" i="1"/>
  <c r="AQ16" i="1" s="1"/>
  <c r="AH16" i="1"/>
  <c r="AG16" i="1"/>
  <c r="BB16" i="1" s="1"/>
  <c r="AF16" i="1"/>
  <c r="AE16" i="1"/>
  <c r="AA16" i="1"/>
  <c r="BD16" i="1" s="1"/>
  <c r="Z16" i="1"/>
  <c r="X16" i="1"/>
  <c r="Q16" i="1"/>
  <c r="P16" i="1"/>
  <c r="O16" i="1"/>
  <c r="M16" i="1"/>
  <c r="BY15" i="1"/>
  <c r="BX15" i="1"/>
  <c r="BS15" i="1"/>
  <c r="BQ15" i="1"/>
  <c r="BP15" i="1"/>
  <c r="BO15" i="1"/>
  <c r="BN15" i="1"/>
  <c r="BM15" i="1"/>
  <c r="BU15" i="1" s="1"/>
  <c r="BL15" i="1"/>
  <c r="BK15" i="1"/>
  <c r="BJ15" i="1"/>
  <c r="BE15" i="1"/>
  <c r="BB15" i="1"/>
  <c r="AV15" i="1"/>
  <c r="AM15" i="1"/>
  <c r="AL15" i="1"/>
  <c r="AK15" i="1"/>
  <c r="AJ15" i="1"/>
  <c r="AI15" i="1"/>
  <c r="AQ15" i="1" s="1"/>
  <c r="AH15" i="1"/>
  <c r="AG15" i="1"/>
  <c r="BH15" i="1" s="1"/>
  <c r="AF15" i="1"/>
  <c r="AE15" i="1"/>
  <c r="AA15" i="1"/>
  <c r="Z15" i="1"/>
  <c r="X15" i="1"/>
  <c r="P15" i="1"/>
  <c r="Q15" i="1" s="1"/>
  <c r="O15" i="1"/>
  <c r="M15" i="1"/>
  <c r="BS14" i="1"/>
  <c r="BQ14" i="1"/>
  <c r="BX14" i="1" s="1"/>
  <c r="BP14" i="1"/>
  <c r="BO14" i="1"/>
  <c r="BN14" i="1"/>
  <c r="BY14" i="1" s="1"/>
  <c r="BM14" i="1"/>
  <c r="BU14" i="1" s="1"/>
  <c r="BL14" i="1"/>
  <c r="BJ14" i="1"/>
  <c r="BE14" i="1"/>
  <c r="BC14" i="1"/>
  <c r="BB14" i="1"/>
  <c r="AV14" i="1"/>
  <c r="AQ14" i="1"/>
  <c r="AM14" i="1"/>
  <c r="AN14" i="1" s="1"/>
  <c r="AL14" i="1"/>
  <c r="AK14" i="1"/>
  <c r="AJ14" i="1"/>
  <c r="AI14" i="1"/>
  <c r="AW14" i="1" s="1"/>
  <c r="AH14" i="1"/>
  <c r="AG14" i="1"/>
  <c r="BH14" i="1" s="1"/>
  <c r="AF14" i="1"/>
  <c r="AE14" i="1"/>
  <c r="AA14" i="1"/>
  <c r="BK14" i="1" s="1"/>
  <c r="Z14" i="1"/>
  <c r="X14" i="1"/>
  <c r="X9" i="1" s="1"/>
  <c r="P14" i="1"/>
  <c r="Q14" i="1" s="1"/>
  <c r="O14" i="1"/>
  <c r="M14" i="1"/>
  <c r="BU13" i="1"/>
  <c r="BT13" i="1"/>
  <c r="BS13" i="1"/>
  <c r="BV13" i="1" s="1"/>
  <c r="BQ13" i="1"/>
  <c r="BX13" i="1" s="1"/>
  <c r="BP13" i="1"/>
  <c r="BO13" i="1"/>
  <c r="BN13" i="1"/>
  <c r="BY13" i="1" s="1"/>
  <c r="BM13" i="1"/>
  <c r="BL13" i="1"/>
  <c r="BJ13" i="1"/>
  <c r="BF13" i="1"/>
  <c r="BE13" i="1"/>
  <c r="BC13" i="1"/>
  <c r="AV13" i="1"/>
  <c r="AQ13" i="1"/>
  <c r="AN13" i="1"/>
  <c r="AO13" i="1" s="1"/>
  <c r="AM13" i="1"/>
  <c r="AJ13" i="1"/>
  <c r="AI13" i="1"/>
  <c r="AW13" i="1" s="1"/>
  <c r="AH13" i="1"/>
  <c r="AG13" i="1"/>
  <c r="BB13" i="1" s="1"/>
  <c r="AF13" i="1"/>
  <c r="AE13" i="1"/>
  <c r="AA13" i="1"/>
  <c r="AL13" i="1" s="1"/>
  <c r="Z13" i="1"/>
  <c r="X13" i="1"/>
  <c r="AK13" i="1" s="1"/>
  <c r="Q13" i="1"/>
  <c r="P13" i="1"/>
  <c r="O13" i="1"/>
  <c r="M13" i="1"/>
  <c r="BY12" i="1"/>
  <c r="BZ12" i="1" s="1"/>
  <c r="BX12" i="1"/>
  <c r="BW12" i="1"/>
  <c r="BU12" i="1"/>
  <c r="BS12" i="1"/>
  <c r="BQ12" i="1"/>
  <c r="BP12" i="1"/>
  <c r="BO12" i="1"/>
  <c r="BN12" i="1"/>
  <c r="BM12" i="1"/>
  <c r="BT12" i="1" s="1"/>
  <c r="BV12" i="1" s="1"/>
  <c r="BL12" i="1"/>
  <c r="BK12" i="1"/>
  <c r="BJ12" i="1"/>
  <c r="BE12" i="1"/>
  <c r="BC12" i="1"/>
  <c r="AV12" i="1"/>
  <c r="AN12" i="1"/>
  <c r="AM12" i="1"/>
  <c r="AO12" i="1" s="1"/>
  <c r="AK12" i="1"/>
  <c r="AJ12" i="1"/>
  <c r="AI12" i="1"/>
  <c r="AQ12" i="1" s="1"/>
  <c r="AH12" i="1"/>
  <c r="AG12" i="1"/>
  <c r="BF12" i="1" s="1"/>
  <c r="AF12" i="1"/>
  <c r="AE12" i="1"/>
  <c r="AA12" i="1"/>
  <c r="BD12" i="1" s="1"/>
  <c r="Z12" i="1"/>
  <c r="X12" i="1"/>
  <c r="P12" i="1"/>
  <c r="Q12" i="1" s="1"/>
  <c r="O12" i="1"/>
  <c r="M12" i="1"/>
  <c r="A12" i="1"/>
  <c r="AS12" i="1" s="1"/>
  <c r="BX11" i="1"/>
  <c r="BY11" i="1" s="1"/>
  <c r="BZ11" i="1" s="1"/>
  <c r="BS11" i="1"/>
  <c r="BQ11" i="1"/>
  <c r="BP11" i="1"/>
  <c r="BO11" i="1"/>
  <c r="BN11" i="1"/>
  <c r="BM11" i="1"/>
  <c r="BU11" i="1" s="1"/>
  <c r="BL11" i="1"/>
  <c r="BK11" i="1"/>
  <c r="BJ11" i="1"/>
  <c r="BE11" i="1"/>
  <c r="BC11" i="1"/>
  <c r="AW11" i="1"/>
  <c r="AV11" i="1"/>
  <c r="AQ11" i="1"/>
  <c r="AT11" i="1" s="1"/>
  <c r="AM11" i="1"/>
  <c r="AL11" i="1"/>
  <c r="AK11" i="1"/>
  <c r="AJ11" i="1"/>
  <c r="AI11" i="1"/>
  <c r="AI9" i="1" s="1"/>
  <c r="AH11" i="1"/>
  <c r="AG11" i="1"/>
  <c r="BH11" i="1" s="1"/>
  <c r="AF11" i="1"/>
  <c r="AE11" i="1"/>
  <c r="AD11" i="1"/>
  <c r="AA11" i="1"/>
  <c r="BD11" i="1" s="1"/>
  <c r="Z11" i="1"/>
  <c r="X11" i="1"/>
  <c r="P11" i="1"/>
  <c r="Q11" i="1" s="1"/>
  <c r="O11" i="1"/>
  <c r="M11" i="1"/>
  <c r="AB9" i="1"/>
  <c r="V9" i="1"/>
  <c r="U9" i="1"/>
  <c r="AI4" i="1"/>
  <c r="AU11" i="1" l="1"/>
  <c r="AZ11" i="1"/>
  <c r="BA11" i="1" s="1"/>
  <c r="AQ9" i="1"/>
  <c r="AT12" i="1"/>
  <c r="AY11" i="1"/>
  <c r="AO15" i="1"/>
  <c r="BF16" i="1"/>
  <c r="BC17" i="1"/>
  <c r="BG12" i="1"/>
  <c r="BH16" i="1"/>
  <c r="AN18" i="1"/>
  <c r="AO18" i="1" s="1"/>
  <c r="BC18" i="1"/>
  <c r="BD17" i="1"/>
  <c r="AO14" i="1"/>
  <c r="AW16" i="1"/>
  <c r="BD18" i="1"/>
  <c r="BH12" i="1"/>
  <c r="BD13" i="1"/>
  <c r="BH17" i="1"/>
  <c r="AW15" i="1"/>
  <c r="AK9" i="1"/>
  <c r="AN11" i="1"/>
  <c r="AN9" i="1" s="1"/>
  <c r="AL12" i="1"/>
  <c r="A13" i="1"/>
  <c r="BF14" i="1"/>
  <c r="BT14" i="1"/>
  <c r="BV14" i="1" s="1"/>
  <c r="AN15" i="1"/>
  <c r="BC15" i="1"/>
  <c r="AK16" i="1"/>
  <c r="BF18" i="1"/>
  <c r="BT18" i="1"/>
  <c r="BV18" i="1" s="1"/>
  <c r="BH13" i="1"/>
  <c r="AM9" i="1"/>
  <c r="BB12" i="1"/>
  <c r="BK13" i="1"/>
  <c r="BG14" i="1"/>
  <c r="BD15" i="1"/>
  <c r="AL16" i="1"/>
  <c r="BK17" i="1"/>
  <c r="BG18" i="1"/>
  <c r="AW12" i="1"/>
  <c r="BD14" i="1"/>
  <c r="BF11" i="1"/>
  <c r="BT11" i="1"/>
  <c r="BV11" i="1" s="1"/>
  <c r="AS13" i="1"/>
  <c r="AT13" i="1" s="1"/>
  <c r="BB11" i="1"/>
  <c r="BG13" i="1"/>
  <c r="BG11" i="1"/>
  <c r="A14" i="1"/>
  <c r="AD14" i="1" s="1"/>
  <c r="BF15" i="1"/>
  <c r="BT15" i="1"/>
  <c r="BV15" i="1" s="1"/>
  <c r="AN16" i="1"/>
  <c r="AO16" i="1" s="1"/>
  <c r="BC16" i="1"/>
  <c r="AD12" i="1"/>
  <c r="BG15" i="1"/>
  <c r="AY13" i="1" l="1"/>
  <c r="AZ13" i="1" s="1"/>
  <c r="BA13" i="1" s="1"/>
  <c r="AU13" i="1"/>
  <c r="BZ13" i="1"/>
  <c r="AY12" i="1"/>
  <c r="AZ12" i="1" s="1"/>
  <c r="BA12" i="1" s="1"/>
  <c r="AU12" i="1"/>
  <c r="AS14" i="1"/>
  <c r="AD13" i="1"/>
  <c r="A15" i="1"/>
  <c r="AO11" i="1"/>
  <c r="AO9" i="1" s="1"/>
  <c r="AD15" i="1" l="1"/>
  <c r="AS15" i="1"/>
  <c r="A16" i="1"/>
  <c r="AT14" i="1"/>
  <c r="BZ14" i="1"/>
  <c r="AT15" i="1" l="1"/>
  <c r="BZ15" i="1"/>
  <c r="AU14" i="1"/>
  <c r="AY14" i="1"/>
  <c r="AZ14" i="1" s="1"/>
  <c r="BA14" i="1" s="1"/>
  <c r="AD16" i="1"/>
  <c r="AS16" i="1"/>
  <c r="A17" i="1"/>
  <c r="AD17" i="1" l="1"/>
  <c r="AS17" i="1"/>
  <c r="A18" i="1"/>
  <c r="AT16" i="1"/>
  <c r="BZ16" i="1"/>
  <c r="AU15" i="1"/>
  <c r="AY15" i="1"/>
  <c r="AZ15" i="1" s="1"/>
  <c r="BA15" i="1" s="1"/>
  <c r="AD18" i="1" l="1"/>
  <c r="AS18" i="1"/>
  <c r="AY16" i="1"/>
  <c r="AZ16" i="1" s="1"/>
  <c r="BA16" i="1" s="1"/>
  <c r="AU16" i="1"/>
  <c r="AT17" i="1"/>
  <c r="BZ17" i="1"/>
  <c r="AY17" i="1" l="1"/>
  <c r="AZ17" i="1" s="1"/>
  <c r="BA17" i="1" s="1"/>
  <c r="AU17" i="1"/>
  <c r="AT18" i="1"/>
  <c r="BZ18" i="1"/>
  <c r="AY18" i="1" l="1"/>
  <c r="AZ18" i="1" s="1"/>
  <c r="BA18" i="1" s="1"/>
  <c r="AU18" i="1"/>
  <c r="AU9" i="1" s="1"/>
  <c r="AT9" i="1"/>
</calcChain>
</file>

<file path=xl/sharedStrings.xml><?xml version="1.0" encoding="utf-8"?>
<sst xmlns="http://schemas.openxmlformats.org/spreadsheetml/2006/main" count="246" uniqueCount="163">
  <si>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</si>
  <si>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</si>
  <si>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</si>
  <si>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</si>
  <si>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</si>
  <si>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</si>
  <si>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</si>
  <si>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</si>
  <si>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</si>
  <si>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</si>
  <si>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</si>
  <si>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</si>
  <si>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</si>
  <si>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</si>
  <si>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</si>
  <si>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</si>
  <si>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</si>
  <si>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</si>
  <si>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</si>
  <si>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</si>
  <si>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</si>
  <si>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</si>
  <si>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</si>
  <si>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</si>
  <si>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</si>
  <si>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</si>
  <si>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</si>
  <si>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</si>
  <si>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</si>
  <si>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</si>
  <si>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</si>
  <si>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</si>
  <si>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</si>
  <si>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</si>
  <si>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</si>
  <si>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</si>
  <si>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</si>
  <si>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</si>
  <si>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</si>
  <si>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</si>
  <si>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</si>
  <si>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</si>
  <si>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</si>
  <si>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</si>
  <si>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</si>
  <si>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</si>
  <si>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</si>
  <si>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</si>
  <si>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</si>
  <si>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</si>
  <si>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</si>
  <si>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</si>
  <si>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</si>
  <si>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</si>
  <si>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</si>
  <si>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</si>
  <si>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</si>
  <si>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</si>
  <si>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</si>
  <si>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</si>
  <si>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</si>
  <si>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</si>
  <si>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</si>
  <si>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</si>
  <si>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</si>
  <si>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</si>
  <si>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</si>
  <si>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</si>
  <si>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</si>
  <si>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</si>
  <si>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</si>
  <si>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</si>
  <si>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</si>
  <si>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</si>
  <si>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</si>
  <si>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</si>
  <si>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</si>
  <si>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</si>
  <si>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</si>
  <si>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</si>
  <si>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</si>
  <si>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</si>
  <si>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</si>
  <si>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</si>
  <si>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</si>
  <si>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</si>
  <si>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</si>
  <si>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</si>
  <si>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</si>
  <si>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</si>
  <si>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</si>
  <si>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</si>
  <si>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</si>
  <si>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</si>
  <si>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</si>
  <si>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</si>
  <si>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</si>
  <si>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</si>
  <si>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</si>
  <si>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</si>
  <si>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</si>
  <si>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</si>
  <si>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</si>
  <si>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</si>
  <si>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</si>
  <si>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</si>
  <si>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</si>
  <si>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</si>
  <si>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</si>
  <si>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</si>
  <si>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CG00073</t>
  </si>
  <si>
    <t>P. XNK - Mỹ Đoàn (các lô) 0913288269</t>
  </si>
  <si>
    <t>0500414591</t>
  </si>
  <si>
    <t>Mỹ Đoàn, Hà Nội</t>
  </si>
  <si>
    <t>Cont</t>
  </si>
  <si>
    <t>LH</t>
  </si>
  <si>
    <t>MSDU1352834</t>
  </si>
  <si>
    <t>TTI.HN.DKG</t>
  </si>
  <si>
    <t>DKG&lt;-&gt;Thường Tín, Hà Nội</t>
  </si>
  <si>
    <t>15C-10812</t>
  </si>
  <si>
    <t/>
  </si>
  <si>
    <t xml:space="preserve">08x20' </t>
  </si>
  <si>
    <t>RLL</t>
  </si>
  <si>
    <t>Mỹ Đoàn</t>
  </si>
  <si>
    <t xml:space="preserve">TDG xe </t>
  </si>
  <si>
    <t>CG00455</t>
  </si>
  <si>
    <t>Chiến (YPBN) 0967999998</t>
  </si>
  <si>
    <t>Yên Phong, Bắc Ninh</t>
  </si>
  <si>
    <t>HS</t>
  </si>
  <si>
    <t>YP.BN.DKG</t>
  </si>
  <si>
    <t>DKG&lt;-&gt;Yên Phong, Bắc Ninh</t>
  </si>
  <si>
    <t>15C-13368</t>
  </si>
  <si>
    <t>HS05</t>
  </si>
  <si>
    <t>Chính</t>
  </si>
  <si>
    <t>Gỗ lim tròn (Phú Lân)</t>
  </si>
  <si>
    <t>CGN</t>
  </si>
  <si>
    <t>15C-11200</t>
  </si>
  <si>
    <t>15C-13568</t>
  </si>
  <si>
    <t>15C-11732</t>
  </si>
  <si>
    <t>CG00226</t>
  </si>
  <si>
    <t>Trương Văn Ảnh (DDTTBN) 125007901 0977688007</t>
  </si>
  <si>
    <t>Đại Đồng, Thuận Thành, Bắc Ninh</t>
  </si>
  <si>
    <t>HP</t>
  </si>
  <si>
    <t>TT.BN.DKG</t>
  </si>
  <si>
    <t>15C-03426</t>
  </si>
  <si>
    <t>Gỗ lim tròn (Minh)</t>
  </si>
  <si>
    <t>CG00456</t>
  </si>
  <si>
    <t>Chú Bắc (TPTN) 0838517888</t>
  </si>
  <si>
    <t>Hóa Thượng, Đồng Hỷ, Thái Nguyên</t>
  </si>
  <si>
    <t>TP.TN.DKG</t>
  </si>
  <si>
    <t>DKG&lt;-&gt;TP. Thái Nguyên, Thái Nguyên</t>
  </si>
  <si>
    <t>15C-13959</t>
  </si>
  <si>
    <t>HS03</t>
  </si>
  <si>
    <t>Gỗ lim xẻ (Mỹ Đoàn)</t>
  </si>
  <si>
    <t>CG00040</t>
  </si>
  <si>
    <t>Công ty TNHH Gỗ Đại Xuân (PLHNA) 0979668924</t>
  </si>
  <si>
    <t>0700772763</t>
  </si>
  <si>
    <t>Thôn Đỗ Nội, xã Tiên Hải, thành phố Phủ Lý, tỉnh Hà Nam</t>
  </si>
  <si>
    <t>VB.HP.DKG</t>
  </si>
  <si>
    <t>DKG&lt;-&gt;Vĩnh Bảo, Hải Phòng</t>
  </si>
  <si>
    <t>15C-13616</t>
  </si>
  <si>
    <t>Gỗ sến tròn (Đại Xuân)</t>
  </si>
  <si>
    <t>CGL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</si>
</sst>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F2F9B929-762C-44B8-AA21-A0C1BAE7B5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5D1FEDC-DF48-4BC2-A1C0-21450A69A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6423E2E-5DBC-4737-BEE9-D1D3BD8F1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3DA4808-7E1A-480A-BCE7-C3D825B62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2301738-C2BC-4D11-AB92-4CE10CCE7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977088F-5371-43D7-B18F-89CC64580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20.07.24..xlsm" TargetMode="External"/><Relationship Id="rId1" Type="http://schemas.openxmlformats.org/officeDocument/2006/relationships/externalLinkPath" Target="/Dropbox/1.%20Tien_duong_tu_13.08.2021/KH20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652B-FA96-4638-9AD7-1983150CC6C0}">
  <sheetPr codeName="Sheet16">
    <tabColor rgb="FF00B0F0"/>
  </sheetPr>
  <dimension ref="A1:BZ18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45493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SUBTOTAL(9,U11:U111219)</f>
        <v>39</v>
      </c>
      <c r="V9" s="86">
        <f>SUBTOTAL(9,V11:V111219)</f>
        <v>173.37899999999999</v>
      </c>
      <c r="W9" s="85"/>
      <c r="X9" s="87">
        <f>SUBTOTAL(9,X11:X111219)</f>
        <v>75153540</v>
      </c>
      <c r="Y9" s="82"/>
      <c r="Z9" s="82"/>
      <c r="AA9" s="82"/>
      <c r="AB9" s="85">
        <f>SUBTOTAL(9,AB11:AB111219)</f>
        <v>15750000</v>
      </c>
      <c r="AC9" s="88"/>
      <c r="AD9" s="75"/>
      <c r="AE9" s="75"/>
      <c r="AF9" s="75"/>
      <c r="AG9" s="82"/>
      <c r="AH9" s="82"/>
      <c r="AI9" s="86">
        <f>SUBTOTAL(9,AI11:AI111210)</f>
        <v>173.37899999999999</v>
      </c>
      <c r="AJ9" s="85"/>
      <c r="AK9" s="85">
        <f>SUBTOTAL(9,AK11:AK111210)</f>
        <v>75153540</v>
      </c>
      <c r="AL9" s="85"/>
      <c r="AM9" s="85">
        <f>SUBTOTAL(9,AM11:AM111219)</f>
        <v>15750000</v>
      </c>
      <c r="AN9" s="85">
        <f>SUBTOTAL(9,AN11:AN111219)</f>
        <v>15050000</v>
      </c>
      <c r="AO9" s="85">
        <f>SUBTOTAL(9,AO11:AO111219)</f>
        <v>700000</v>
      </c>
      <c r="AP9" s="82"/>
      <c r="AQ9" s="86">
        <f>SUBTOTAL(9,AQ11:AQ111210)</f>
        <v>164.76005000000001</v>
      </c>
      <c r="AR9" s="86"/>
      <c r="AS9" s="85"/>
      <c r="AT9" s="85">
        <f>SUBTOTAL(9,AT11:AT111210)</f>
        <v>60246459.75</v>
      </c>
      <c r="AU9" s="85">
        <f>SUBTOTAL(9,AU11:AU111210)</f>
        <v>14907080.250000002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45493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 t="s">
        <v>116</v>
      </c>
      <c r="K11" s="101" t="s">
        <v>117</v>
      </c>
      <c r="L11" s="102" t="s">
        <v>118</v>
      </c>
      <c r="M11" s="103" t="str">
        <f t="shared" ref="M11:M18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119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Lại Văn Ngân</v>
      </c>
      <c r="P11" s="103" t="str">
        <f t="shared" ref="P11:P18" si="1">RIGHT(H11,2)</f>
        <v>nt</v>
      </c>
      <c r="Q11" s="106" t="str">
        <f t="shared" ref="Q11:Q18" si="2">IF(P11="TC",189,P11)</f>
        <v>nt</v>
      </c>
      <c r="R11" s="103">
        <v>0</v>
      </c>
      <c r="S11" s="103" t="s">
        <v>120</v>
      </c>
      <c r="T11" s="107" t="s">
        <v>121</v>
      </c>
      <c r="U11" s="108"/>
      <c r="V11" s="109">
        <v>1</v>
      </c>
      <c r="W11" s="110">
        <v>5900000</v>
      </c>
      <c r="X11" s="111">
        <f t="shared" ref="X11:X18" si="3">V11*W11</f>
        <v>5900000</v>
      </c>
      <c r="Y11" s="106" t="s">
        <v>122</v>
      </c>
      <c r="Z11" s="106" t="str">
        <f t="shared" ref="Z11:Z18" si="4">IF(Y11="RLL","OK/NO",0)</f>
        <v>OK/NO</v>
      </c>
      <c r="AA11" s="106" t="str">
        <f>LEFT(L11,3)</f>
        <v>DKG</v>
      </c>
      <c r="AB11" s="112">
        <v>1200000</v>
      </c>
      <c r="AC11" s="105" t="s">
        <v>123</v>
      </c>
      <c r="AD11" s="113">
        <f t="shared" ref="AD11:AD18" si="5">A11</f>
        <v>1</v>
      </c>
      <c r="AE11" s="113" t="str">
        <f t="shared" ref="AE11:AE18" si="6">H11</f>
        <v>Cont</v>
      </c>
      <c r="AF11" s="114" t="str">
        <f t="shared" ref="AF11:AF18" si="7">L11</f>
        <v>DKG&lt;-&gt;Thường Tín, Hà Nội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18" si="8">N11</f>
        <v>15C-10812</v>
      </c>
      <c r="AI11" s="109">
        <f t="shared" ref="AI11:AK18" si="9">V11</f>
        <v>1</v>
      </c>
      <c r="AJ11" s="112">
        <f t="shared" si="9"/>
        <v>5900000</v>
      </c>
      <c r="AK11" s="112">
        <f t="shared" si="9"/>
        <v>5900000</v>
      </c>
      <c r="AL11" s="106" t="str">
        <f t="shared" ref="AL11:AM18" si="10">AA11</f>
        <v>DKG</v>
      </c>
      <c r="AM11" s="112">
        <f t="shared" si="10"/>
        <v>1200000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1200000</v>
      </c>
      <c r="AO11" s="112">
        <f t="shared" ref="AO11:AO18" si="11">AM11-AN11</f>
        <v>0</v>
      </c>
      <c r="AP11" s="105"/>
      <c r="AQ11" s="109">
        <f t="shared" ref="AQ11:AQ18" si="12">IF(V11&lt;=1,V11,AI11*95%)</f>
        <v>1</v>
      </c>
      <c r="AR11" s="109"/>
      <c r="AS11" s="112">
        <v>5100000</v>
      </c>
      <c r="AT11" s="112">
        <f t="shared" ref="AT11:AT18" si="13">AQ11*AS11</f>
        <v>5100000</v>
      </c>
      <c r="AU11" s="112">
        <f t="shared" ref="AU11:AU18" si="14">AK11-AT11</f>
        <v>800000</v>
      </c>
      <c r="AV11" s="105" t="str">
        <f t="shared" ref="AV11:AV18" si="15">AC11</f>
        <v>Mỹ Đoàn</v>
      </c>
      <c r="AW11" s="115">
        <f t="shared" ref="AW11:AW18" si="16">IF(AI11-AQ11=0,AQ11,IF(AI11-AQ11&gt;0,AI11-AQ11))</f>
        <v>1</v>
      </c>
      <c r="AX11" s="115"/>
      <c r="AY11" s="116">
        <f t="shared" ref="AY11:AY18" si="17">(AK11-AT11)/AW11</f>
        <v>800000</v>
      </c>
      <c r="AZ11" s="116">
        <f t="shared" ref="AZ11:AZ18" si="18">AW11*AY11</f>
        <v>800000</v>
      </c>
      <c r="BA11" s="116">
        <f t="shared" ref="BA11:BA18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512110</v>
      </c>
      <c r="BC11" s="117">
        <f t="shared" ref="BC11:BC18" si="20">IF(AA11="DKG",511301,IF(AA11="THG",511302,0))</f>
        <v>511301</v>
      </c>
      <c r="BD11" s="117">
        <f t="shared" ref="BD11:BD18" si="21">IF(AA11="DKG",5123,IF(AA11="THG",522,0))</f>
        <v>5123</v>
      </c>
      <c r="BE11" s="117">
        <f t="shared" ref="BE11:BE18" si="22">IF(AP11="Phú","NV018",IF(AP11="Giang","NV006",IF(AP11="Quang","NV024",IF(AP11="Kỳ","NV222",0))))</f>
        <v>0</v>
      </c>
      <c r="BF11" s="117">
        <f t="shared" ref="BF11:BF18" si="23">IF(AG11="CX001",0,331)</f>
        <v>0</v>
      </c>
      <c r="BG11" s="117">
        <f t="shared" ref="BG11:BG18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6121110</v>
      </c>
      <c r="BI11" s="73" t="s">
        <v>124</v>
      </c>
      <c r="BJ11" s="73" t="str">
        <f t="shared" ref="BJ11:BJ18" si="25">CONCATENATE(BI11,N11)</f>
        <v>TDG xe 15C-10812</v>
      </c>
      <c r="BK11" s="118" t="str">
        <f t="shared" ref="BK11:BK18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CG00073</v>
      </c>
      <c r="BN11" s="8" t="str">
        <f>I11</f>
        <v>LH</v>
      </c>
      <c r="BO11" s="8" t="str">
        <f t="shared" ref="BO11:BP11" si="28">+C11</f>
        <v>CG00073</v>
      </c>
      <c r="BP11" s="8" t="str">
        <f t="shared" si="28"/>
        <v>P. XNK - Mỹ Đoàn (các lô) 0913288269</v>
      </c>
      <c r="BQ11" s="8" t="str">
        <f t="shared" ref="BQ11" si="29">+L11</f>
        <v>DKG&lt;-&gt;Thường Tín, Hà Nội</v>
      </c>
      <c r="BS11" s="116">
        <f t="shared" ref="BS11" si="30">+W11</f>
        <v>5900000</v>
      </c>
      <c r="BT11" s="119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5400000</v>
      </c>
      <c r="BU11" s="119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4700000</v>
      </c>
      <c r="BV11" s="8">
        <f>IF(BS11-BT11=500000,BU11+400000,IF(BT11=BS11,BU11,"saiiiiiiiiiiiiiiiii"))</f>
        <v>5100000</v>
      </c>
      <c r="BX11" s="120">
        <f>VLOOKUP(BQ11,[2]gia3!$D$7:$W$256,19,0)</f>
        <v>4600000</v>
      </c>
      <c r="BY11" s="95">
        <f t="shared" ref="BY11:BY18" si="31">IF(BN11="","",IF(BN11="LH",BX11+300000,BX11))</f>
        <v>4900000</v>
      </c>
      <c r="BZ11" s="96">
        <f t="shared" ref="BZ11:BZ18" si="32">+BY11-AS11</f>
        <v>-200000</v>
      </c>
    </row>
    <row r="12" spans="1:78" s="8" customFormat="1" ht="20.100000000000001" customHeight="1" x14ac:dyDescent="0.3">
      <c r="A12" s="97">
        <f>MAX($A$11:A11)+1</f>
        <v>2</v>
      </c>
      <c r="B12" s="98">
        <v>45493</v>
      </c>
      <c r="C12" s="97" t="s">
        <v>125</v>
      </c>
      <c r="D12" s="99" t="s">
        <v>126</v>
      </c>
      <c r="E12" s="100" t="e">
        <v>#N/A</v>
      </c>
      <c r="F12" s="99" t="s">
        <v>127</v>
      </c>
      <c r="G12" s="99"/>
      <c r="H12" s="97" t="s">
        <v>128</v>
      </c>
      <c r="I12" s="97" t="s">
        <v>120</v>
      </c>
      <c r="J12" s="97"/>
      <c r="K12" s="101" t="s">
        <v>129</v>
      </c>
      <c r="L12" s="102" t="s">
        <v>130</v>
      </c>
      <c r="M12" s="103" t="str">
        <f t="shared" si="0"/>
        <v>Hoàng Sơn</v>
      </c>
      <c r="N12" s="104" t="s">
        <v>131</v>
      </c>
      <c r="O12" s="105" t="str">
        <f t="shared" ref="O12:O18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Vũ Đức Chiến</v>
      </c>
      <c r="P12" s="103" t="str">
        <f t="shared" si="1"/>
        <v>HS</v>
      </c>
      <c r="Q12" s="106" t="str">
        <f t="shared" si="2"/>
        <v>HS</v>
      </c>
      <c r="R12" s="103" t="s">
        <v>132</v>
      </c>
      <c r="S12" s="103" t="s">
        <v>133</v>
      </c>
      <c r="T12" s="107" t="s">
        <v>134</v>
      </c>
      <c r="U12" s="108">
        <v>3</v>
      </c>
      <c r="V12" s="109">
        <v>25.18</v>
      </c>
      <c r="W12" s="110">
        <v>400000</v>
      </c>
      <c r="X12" s="111">
        <f t="shared" si="3"/>
        <v>10072000</v>
      </c>
      <c r="Y12" s="106" t="s">
        <v>135</v>
      </c>
      <c r="Z12" s="106">
        <f t="shared" si="4"/>
        <v>0</v>
      </c>
      <c r="AA12" s="106" t="str">
        <f t="shared" ref="AA12:AA18" si="34">LEFT(L12,3)</f>
        <v>DKG</v>
      </c>
      <c r="AB12" s="112">
        <v>2250000</v>
      </c>
      <c r="AC12" s="105" t="s">
        <v>120</v>
      </c>
      <c r="AD12" s="113">
        <f t="shared" si="5"/>
        <v>2</v>
      </c>
      <c r="AE12" s="113" t="str">
        <f t="shared" si="6"/>
        <v>HS</v>
      </c>
      <c r="AF12" s="114" t="str">
        <f t="shared" si="7"/>
        <v>DKG&lt;-&gt;Yên Phong, Bắc Ninh</v>
      </c>
      <c r="AG12" s="106" t="str">
        <f t="shared" ref="AG12:AG18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15C-13368</v>
      </c>
      <c r="AI12" s="109">
        <f t="shared" si="9"/>
        <v>25.18</v>
      </c>
      <c r="AJ12" s="112">
        <f t="shared" si="9"/>
        <v>400000</v>
      </c>
      <c r="AK12" s="112">
        <f t="shared" si="9"/>
        <v>10072000</v>
      </c>
      <c r="AL12" s="106" t="str">
        <f t="shared" si="10"/>
        <v>DKG</v>
      </c>
      <c r="AM12" s="112">
        <f t="shared" si="10"/>
        <v>2250000</v>
      </c>
      <c r="AN12" s="112">
        <f t="shared" ref="AN12:AN18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2150000</v>
      </c>
      <c r="AO12" s="112">
        <f t="shared" si="11"/>
        <v>100000</v>
      </c>
      <c r="AP12" s="105"/>
      <c r="AQ12" s="109">
        <f t="shared" si="12"/>
        <v>23.920999999999999</v>
      </c>
      <c r="AR12" s="109"/>
      <c r="AS12" s="112">
        <f t="shared" ref="AS12:AS18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335000</v>
      </c>
      <c r="AT12" s="112">
        <f t="shared" si="13"/>
        <v>8013535</v>
      </c>
      <c r="AU12" s="112">
        <f t="shared" si="14"/>
        <v>2058465</v>
      </c>
      <c r="AV12" s="105" t="str">
        <f t="shared" si="15"/>
        <v/>
      </c>
      <c r="AW12" s="115">
        <f t="shared" si="16"/>
        <v>1.2590000000000003</v>
      </c>
      <c r="AX12" s="115"/>
      <c r="AY12" s="116">
        <f t="shared" si="17"/>
        <v>1634999.9999999995</v>
      </c>
      <c r="AZ12" s="116">
        <f t="shared" si="18"/>
        <v>2058465</v>
      </c>
      <c r="BA12" s="116">
        <f t="shared" si="19"/>
        <v>0</v>
      </c>
      <c r="BB12" s="117">
        <f t="shared" ref="BB12:BB18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512135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18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6121135</v>
      </c>
      <c r="BI12" s="73" t="s">
        <v>124</v>
      </c>
      <c r="BJ12" s="73" t="str">
        <f t="shared" si="25"/>
        <v>TDG xe 15C-13368</v>
      </c>
      <c r="BK12" s="118" t="str">
        <f t="shared" si="26"/>
        <v>G</v>
      </c>
      <c r="BL12" s="74">
        <f t="shared" ref="BL12:BL18" ca="1" si="40">IF(Y12="CGN",TODAY(),"")</f>
        <v>45494</v>
      </c>
      <c r="BM12" s="8" t="str">
        <f>+C12</f>
        <v>CG00455</v>
      </c>
      <c r="BN12" s="8" t="str">
        <f t="shared" ref="BN12:BN18" si="41">I12</f>
        <v/>
      </c>
      <c r="BO12" s="8" t="str">
        <f>+C12</f>
        <v>CG00455</v>
      </c>
      <c r="BP12" s="8" t="str">
        <f>+D12</f>
        <v>Chiến (YPBN) 0967999998</v>
      </c>
      <c r="BQ12" s="8" t="str">
        <f>+L12</f>
        <v>DKG&lt;-&gt;Yên Phong, Bắc Ninh</v>
      </c>
      <c r="BS12" s="116">
        <f>+W12</f>
        <v>400000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18" si="42">IF(BS12-BT12=500000,BU12+400000,IF(BT12=BS12,BU12,"saiiiiiiiiiiiiiiiii"))</f>
        <v>saiiiiiiiiiiiiiiiii</v>
      </c>
      <c r="BW12" s="8" t="str">
        <f>I12</f>
        <v/>
      </c>
      <c r="BX12" s="120">
        <f>VLOOKUP(BQ12,[2]gia3!$D$7:$W$256,19,0)</f>
        <v>4500000</v>
      </c>
      <c r="BY12" s="95" t="str">
        <f t="shared" si="31"/>
        <v/>
      </c>
      <c r="BZ12" s="96" t="e">
        <f t="shared" si="32"/>
        <v>#VALUE!</v>
      </c>
    </row>
    <row r="13" spans="1:78" s="8" customFormat="1" ht="20.100000000000001" customHeight="1" x14ac:dyDescent="0.3">
      <c r="A13" s="97">
        <f>MAX($A$11:A12)+1</f>
        <v>3</v>
      </c>
      <c r="B13" s="98">
        <v>45493</v>
      </c>
      <c r="C13" s="97" t="s">
        <v>125</v>
      </c>
      <c r="D13" s="99" t="s">
        <v>126</v>
      </c>
      <c r="E13" s="100" t="e">
        <v>#N/A</v>
      </c>
      <c r="F13" s="99" t="s">
        <v>127</v>
      </c>
      <c r="G13" s="99"/>
      <c r="H13" s="97" t="s">
        <v>128</v>
      </c>
      <c r="I13" s="97" t="s">
        <v>120</v>
      </c>
      <c r="J13" s="97"/>
      <c r="K13" s="101" t="s">
        <v>129</v>
      </c>
      <c r="L13" s="102" t="s">
        <v>130</v>
      </c>
      <c r="M13" s="103" t="str">
        <f t="shared" si="0"/>
        <v>Hoàng Sơn</v>
      </c>
      <c r="N13" s="104" t="s">
        <v>136</v>
      </c>
      <c r="O13" s="105" t="str">
        <f t="shared" si="33"/>
        <v>Phạm Văn Thịnh</v>
      </c>
      <c r="P13" s="103" t="str">
        <f t="shared" si="1"/>
        <v>HS</v>
      </c>
      <c r="Q13" s="106" t="str">
        <f t="shared" si="2"/>
        <v>HS</v>
      </c>
      <c r="R13" s="103" t="s">
        <v>132</v>
      </c>
      <c r="S13" s="103" t="s">
        <v>133</v>
      </c>
      <c r="T13" s="107" t="s">
        <v>134</v>
      </c>
      <c r="U13" s="108">
        <v>5</v>
      </c>
      <c r="V13" s="109">
        <v>25.760999999999999</v>
      </c>
      <c r="W13" s="110">
        <v>400000</v>
      </c>
      <c r="X13" s="111">
        <f t="shared" si="3"/>
        <v>10304400</v>
      </c>
      <c r="Y13" s="106" t="s">
        <v>135</v>
      </c>
      <c r="Z13" s="106">
        <f t="shared" si="4"/>
        <v>0</v>
      </c>
      <c r="AA13" s="106" t="str">
        <f t="shared" si="34"/>
        <v>DKG</v>
      </c>
      <c r="AB13" s="112">
        <v>2250000</v>
      </c>
      <c r="AC13" s="105" t="s">
        <v>120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DKG&lt;-&gt;Yên Phong, Bắc Ninh</v>
      </c>
      <c r="AG13" s="106" t="str">
        <f t="shared" si="35"/>
        <v>CX001</v>
      </c>
      <c r="AH13" s="106" t="str">
        <f t="shared" si="8"/>
        <v>15C-11200</v>
      </c>
      <c r="AI13" s="109">
        <f t="shared" si="9"/>
        <v>25.760999999999999</v>
      </c>
      <c r="AJ13" s="112">
        <f t="shared" si="9"/>
        <v>400000</v>
      </c>
      <c r="AK13" s="112">
        <f t="shared" si="9"/>
        <v>10304400</v>
      </c>
      <c r="AL13" s="106" t="str">
        <f t="shared" si="10"/>
        <v>DKG</v>
      </c>
      <c r="AM13" s="112">
        <f t="shared" si="10"/>
        <v>2250000</v>
      </c>
      <c r="AN13" s="112">
        <f t="shared" si="36"/>
        <v>2150000</v>
      </c>
      <c r="AO13" s="112">
        <f t="shared" si="11"/>
        <v>100000</v>
      </c>
      <c r="AP13" s="105"/>
      <c r="AQ13" s="109">
        <f t="shared" si="12"/>
        <v>24.472949999999997</v>
      </c>
      <c r="AR13" s="109"/>
      <c r="AS13" s="112">
        <f t="shared" si="37"/>
        <v>335000</v>
      </c>
      <c r="AT13" s="112">
        <f t="shared" si="13"/>
        <v>8198438.2499999991</v>
      </c>
      <c r="AU13" s="112">
        <f t="shared" si="14"/>
        <v>2105961.7500000009</v>
      </c>
      <c r="AV13" s="105" t="str">
        <f t="shared" si="15"/>
        <v/>
      </c>
      <c r="AW13" s="115">
        <f t="shared" si="16"/>
        <v>1.2880500000000019</v>
      </c>
      <c r="AX13" s="115"/>
      <c r="AY13" s="116">
        <f t="shared" si="17"/>
        <v>1634999.9999999984</v>
      </c>
      <c r="AZ13" s="116">
        <f t="shared" si="18"/>
        <v>2105961.7500000009</v>
      </c>
      <c r="BA13" s="116">
        <f t="shared" si="19"/>
        <v>0</v>
      </c>
      <c r="BB13" s="117">
        <f t="shared" si="38"/>
        <v>512111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 t="shared" si="39"/>
        <v>6121111</v>
      </c>
      <c r="BI13" s="73" t="s">
        <v>124</v>
      </c>
      <c r="BJ13" s="73" t="str">
        <f t="shared" si="25"/>
        <v>TDG xe 15C-11200</v>
      </c>
      <c r="BK13" s="118" t="str">
        <f t="shared" si="26"/>
        <v>G</v>
      </c>
      <c r="BL13" s="74">
        <f t="shared" ca="1" si="40"/>
        <v>45494</v>
      </c>
      <c r="BM13" s="8" t="str">
        <f t="shared" ref="BM13:BM18" si="43">+C13</f>
        <v>CG00455</v>
      </c>
      <c r="BN13" s="8" t="str">
        <f t="shared" si="41"/>
        <v/>
      </c>
      <c r="BO13" s="8" t="str">
        <f t="shared" ref="BO13:BP18" si="44">+C13</f>
        <v>CG00455</v>
      </c>
      <c r="BP13" s="8" t="str">
        <f t="shared" si="44"/>
        <v>Chiến (YPBN) 0967999998</v>
      </c>
      <c r="BQ13" s="8" t="str">
        <f t="shared" ref="BQ13:BQ18" si="45">+L13</f>
        <v>DKG&lt;-&gt;Yên Phong, Bắc Ninh</v>
      </c>
      <c r="BS13" s="116">
        <f t="shared" ref="BS13:BS18" si="46">+W13</f>
        <v>400000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>
        <f>VLOOKUP(BQ13,[2]gia3!$D$7:$W$256,19,0)</f>
        <v>4500000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45493</v>
      </c>
      <c r="C14" s="97" t="s">
        <v>125</v>
      </c>
      <c r="D14" s="99" t="s">
        <v>126</v>
      </c>
      <c r="E14" s="100" t="e">
        <v>#N/A</v>
      </c>
      <c r="F14" s="99" t="s">
        <v>127</v>
      </c>
      <c r="G14" s="99"/>
      <c r="H14" s="97" t="s">
        <v>128</v>
      </c>
      <c r="I14" s="97" t="s">
        <v>120</v>
      </c>
      <c r="J14" s="97"/>
      <c r="K14" s="101" t="s">
        <v>129</v>
      </c>
      <c r="L14" s="102" t="s">
        <v>130</v>
      </c>
      <c r="M14" s="103" t="str">
        <f t="shared" si="0"/>
        <v>Hoàng Sơn</v>
      </c>
      <c r="N14" s="104" t="s">
        <v>137</v>
      </c>
      <c r="O14" s="105" t="str">
        <f t="shared" si="33"/>
        <v>Trần Quốc Đại</v>
      </c>
      <c r="P14" s="103" t="str">
        <f t="shared" si="1"/>
        <v>HS</v>
      </c>
      <c r="Q14" s="106" t="str">
        <f t="shared" si="2"/>
        <v>HS</v>
      </c>
      <c r="R14" s="103" t="s">
        <v>132</v>
      </c>
      <c r="S14" s="103" t="s">
        <v>133</v>
      </c>
      <c r="T14" s="107" t="s">
        <v>134</v>
      </c>
      <c r="U14" s="108">
        <v>5</v>
      </c>
      <c r="V14" s="109">
        <v>25.372</v>
      </c>
      <c r="W14" s="110">
        <v>400000</v>
      </c>
      <c r="X14" s="111">
        <f t="shared" si="3"/>
        <v>10148800</v>
      </c>
      <c r="Y14" s="106" t="s">
        <v>135</v>
      </c>
      <c r="Z14" s="106">
        <f t="shared" si="4"/>
        <v>0</v>
      </c>
      <c r="AA14" s="106" t="str">
        <f t="shared" si="34"/>
        <v>DKG</v>
      </c>
      <c r="AB14" s="112">
        <v>2250000</v>
      </c>
      <c r="AC14" s="105" t="s">
        <v>120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DKG&lt;-&gt;Yên Phong, Bắc Ninh</v>
      </c>
      <c r="AG14" s="106" t="str">
        <f t="shared" si="35"/>
        <v>CX001</v>
      </c>
      <c r="AH14" s="106" t="str">
        <f t="shared" si="8"/>
        <v>15C-13568</v>
      </c>
      <c r="AI14" s="109">
        <f t="shared" si="9"/>
        <v>25.372</v>
      </c>
      <c r="AJ14" s="112">
        <f t="shared" si="9"/>
        <v>400000</v>
      </c>
      <c r="AK14" s="112">
        <f t="shared" si="9"/>
        <v>10148800</v>
      </c>
      <c r="AL14" s="106" t="str">
        <f t="shared" si="10"/>
        <v>DKG</v>
      </c>
      <c r="AM14" s="112">
        <f t="shared" si="10"/>
        <v>2250000</v>
      </c>
      <c r="AN14" s="112">
        <f t="shared" si="36"/>
        <v>2150000</v>
      </c>
      <c r="AO14" s="112">
        <f t="shared" si="11"/>
        <v>100000</v>
      </c>
      <c r="AP14" s="105"/>
      <c r="AQ14" s="109">
        <f t="shared" si="12"/>
        <v>24.103399999999997</v>
      </c>
      <c r="AR14" s="109"/>
      <c r="AS14" s="112">
        <f t="shared" si="37"/>
        <v>335000</v>
      </c>
      <c r="AT14" s="112">
        <f t="shared" si="13"/>
        <v>8074638.9999999991</v>
      </c>
      <c r="AU14" s="112">
        <f t="shared" si="14"/>
        <v>2074161.0000000009</v>
      </c>
      <c r="AV14" s="105" t="str">
        <f t="shared" si="15"/>
        <v/>
      </c>
      <c r="AW14" s="115">
        <f t="shared" si="16"/>
        <v>1.2686000000000028</v>
      </c>
      <c r="AX14" s="115"/>
      <c r="AY14" s="116">
        <f t="shared" si="17"/>
        <v>1634999.999999997</v>
      </c>
      <c r="AZ14" s="116">
        <f t="shared" si="18"/>
        <v>2074161.0000000007</v>
      </c>
      <c r="BA14" s="116">
        <f t="shared" si="19"/>
        <v>0</v>
      </c>
      <c r="BB14" s="117">
        <f t="shared" si="38"/>
        <v>512136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9"/>
        <v>6121136</v>
      </c>
      <c r="BI14" s="73" t="s">
        <v>124</v>
      </c>
      <c r="BJ14" s="73" t="str">
        <f t="shared" si="25"/>
        <v>TDG xe 15C-13568</v>
      </c>
      <c r="BK14" s="118" t="str">
        <f t="shared" si="26"/>
        <v>G</v>
      </c>
      <c r="BL14" s="74">
        <f t="shared" ca="1" si="40"/>
        <v>45494</v>
      </c>
      <c r="BM14" s="8" t="str">
        <f t="shared" si="43"/>
        <v>CG00455</v>
      </c>
      <c r="BN14" s="8" t="str">
        <f t="shared" si="41"/>
        <v/>
      </c>
      <c r="BO14" s="8" t="str">
        <f t="shared" si="44"/>
        <v>CG00455</v>
      </c>
      <c r="BP14" s="8" t="str">
        <f t="shared" si="44"/>
        <v>Chiến (YPBN) 0967999998</v>
      </c>
      <c r="BQ14" s="8" t="str">
        <f t="shared" si="45"/>
        <v>DKG&lt;-&gt;Yên Phong, Bắc Ninh</v>
      </c>
      <c r="BS14" s="116">
        <f t="shared" si="46"/>
        <v>400000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2"/>
        <v>saiiiiiiiiiiiiiiiii</v>
      </c>
      <c r="BX14" s="120">
        <f>VLOOKUP(BQ14,[2]gia3!$D$7:$W$256,19,0)</f>
        <v>4500000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45493</v>
      </c>
      <c r="C15" s="97" t="s">
        <v>125</v>
      </c>
      <c r="D15" s="99" t="s">
        <v>126</v>
      </c>
      <c r="E15" s="100" t="e">
        <v>#N/A</v>
      </c>
      <c r="F15" s="99" t="s">
        <v>127</v>
      </c>
      <c r="G15" s="99"/>
      <c r="H15" s="97" t="s">
        <v>128</v>
      </c>
      <c r="I15" s="97" t="s">
        <v>120</v>
      </c>
      <c r="J15" s="97"/>
      <c r="K15" s="101" t="s">
        <v>129</v>
      </c>
      <c r="L15" s="102" t="s">
        <v>130</v>
      </c>
      <c r="M15" s="103" t="str">
        <f t="shared" si="0"/>
        <v>Hoàng Sơn</v>
      </c>
      <c r="N15" s="104" t="s">
        <v>138</v>
      </c>
      <c r="O15" s="105" t="str">
        <f t="shared" si="33"/>
        <v>Bùi Quang Duy</v>
      </c>
      <c r="P15" s="103" t="str">
        <f t="shared" si="1"/>
        <v>HS</v>
      </c>
      <c r="Q15" s="106" t="str">
        <f t="shared" si="2"/>
        <v>HS</v>
      </c>
      <c r="R15" s="103" t="s">
        <v>132</v>
      </c>
      <c r="S15" s="103" t="s">
        <v>133</v>
      </c>
      <c r="T15" s="107" t="s">
        <v>134</v>
      </c>
      <c r="U15" s="108">
        <v>5</v>
      </c>
      <c r="V15" s="109">
        <v>25.655000000000001</v>
      </c>
      <c r="W15" s="110">
        <v>400000</v>
      </c>
      <c r="X15" s="111">
        <f t="shared" si="3"/>
        <v>10262000</v>
      </c>
      <c r="Y15" s="106" t="s">
        <v>135</v>
      </c>
      <c r="Z15" s="106">
        <f t="shared" si="4"/>
        <v>0</v>
      </c>
      <c r="AA15" s="106" t="str">
        <f t="shared" si="34"/>
        <v>DKG</v>
      </c>
      <c r="AB15" s="112">
        <v>2250000</v>
      </c>
      <c r="AC15" s="105" t="s">
        <v>120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DKG&lt;-&gt;Yên Phong, Bắc Ninh</v>
      </c>
      <c r="AG15" s="106" t="str">
        <f t="shared" si="35"/>
        <v>CX001</v>
      </c>
      <c r="AH15" s="106" t="str">
        <f t="shared" si="8"/>
        <v>15C-11732</v>
      </c>
      <c r="AI15" s="109">
        <f t="shared" si="9"/>
        <v>25.655000000000001</v>
      </c>
      <c r="AJ15" s="112">
        <f t="shared" si="9"/>
        <v>400000</v>
      </c>
      <c r="AK15" s="112">
        <f t="shared" si="9"/>
        <v>10262000</v>
      </c>
      <c r="AL15" s="106" t="str">
        <f t="shared" si="10"/>
        <v>DKG</v>
      </c>
      <c r="AM15" s="112">
        <f t="shared" si="10"/>
        <v>2250000</v>
      </c>
      <c r="AN15" s="112">
        <f t="shared" si="36"/>
        <v>2150000</v>
      </c>
      <c r="AO15" s="112">
        <f t="shared" si="11"/>
        <v>100000</v>
      </c>
      <c r="AP15" s="105"/>
      <c r="AQ15" s="109">
        <f t="shared" si="12"/>
        <v>24.372250000000001</v>
      </c>
      <c r="AR15" s="109"/>
      <c r="AS15" s="112">
        <f t="shared" si="37"/>
        <v>335000</v>
      </c>
      <c r="AT15" s="112">
        <f t="shared" si="13"/>
        <v>8164703.75</v>
      </c>
      <c r="AU15" s="112">
        <f t="shared" si="14"/>
        <v>2097296.25</v>
      </c>
      <c r="AV15" s="105" t="str">
        <f t="shared" si="15"/>
        <v/>
      </c>
      <c r="AW15" s="115">
        <f t="shared" si="16"/>
        <v>1.2827500000000001</v>
      </c>
      <c r="AX15" s="115"/>
      <c r="AY15" s="116">
        <f t="shared" si="17"/>
        <v>1635000</v>
      </c>
      <c r="AZ15" s="116">
        <f t="shared" si="18"/>
        <v>2097296.25</v>
      </c>
      <c r="BA15" s="116">
        <f t="shared" si="19"/>
        <v>0</v>
      </c>
      <c r="BB15" s="117">
        <f t="shared" si="38"/>
        <v>512131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si="39"/>
        <v>6121131</v>
      </c>
      <c r="BI15" s="73" t="s">
        <v>124</v>
      </c>
      <c r="BJ15" s="73" t="str">
        <f t="shared" si="25"/>
        <v>TDG xe 15C-11732</v>
      </c>
      <c r="BK15" s="118" t="str">
        <f t="shared" si="26"/>
        <v>G</v>
      </c>
      <c r="BL15" s="74">
        <f t="shared" ca="1" si="40"/>
        <v>45494</v>
      </c>
      <c r="BM15" s="8" t="str">
        <f t="shared" si="43"/>
        <v>CG00455</v>
      </c>
      <c r="BN15" s="8" t="str">
        <f t="shared" si="41"/>
        <v/>
      </c>
      <c r="BO15" s="8" t="str">
        <f t="shared" si="44"/>
        <v>CG00455</v>
      </c>
      <c r="BP15" s="8" t="str">
        <f t="shared" si="44"/>
        <v>Chiến (YPBN) 0967999998</v>
      </c>
      <c r="BQ15" s="8" t="str">
        <f t="shared" si="45"/>
        <v>DKG&lt;-&gt;Yên Phong, Bắc Ninh</v>
      </c>
      <c r="BS15" s="116">
        <f t="shared" si="46"/>
        <v>400000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2"/>
        <v>saiiiiiiiiiiiiiiiii</v>
      </c>
      <c r="BX15" s="120">
        <f>VLOOKUP(BQ15,[2]gia3!$D$7:$W$256,19,0)</f>
        <v>4500000</v>
      </c>
      <c r="BY15" s="95" t="str">
        <f t="shared" si="31"/>
        <v/>
      </c>
      <c r="BZ15" s="96" t="e">
        <f t="shared" si="32"/>
        <v>#VALUE!</v>
      </c>
    </row>
    <row r="16" spans="1:78" s="8" customFormat="1" ht="20.100000000000001" customHeight="1" x14ac:dyDescent="0.3">
      <c r="A16" s="97">
        <f>MAX($A$11:A15)+1</f>
        <v>6</v>
      </c>
      <c r="B16" s="98">
        <v>45493</v>
      </c>
      <c r="C16" s="97" t="s">
        <v>139</v>
      </c>
      <c r="D16" s="99" t="s">
        <v>140</v>
      </c>
      <c r="E16" s="100" t="s">
        <v>120</v>
      </c>
      <c r="F16" s="99" t="s">
        <v>141</v>
      </c>
      <c r="G16" s="99"/>
      <c r="H16" s="97" t="s">
        <v>142</v>
      </c>
      <c r="I16" s="97" t="s">
        <v>120</v>
      </c>
      <c r="J16" s="97"/>
      <c r="K16" s="101" t="s">
        <v>143</v>
      </c>
      <c r="L16" s="102" t="s">
        <v>2</v>
      </c>
      <c r="M16" s="103" t="str">
        <f t="shared" si="0"/>
        <v>Hoàng Sơn</v>
      </c>
      <c r="N16" s="104" t="s">
        <v>144</v>
      </c>
      <c r="O16" s="105" t="str">
        <f t="shared" si="33"/>
        <v>Phạm Hoàng Quyết</v>
      </c>
      <c r="P16" s="103" t="str">
        <f t="shared" si="1"/>
        <v>HP</v>
      </c>
      <c r="Q16" s="106" t="str">
        <f t="shared" si="2"/>
        <v>HP</v>
      </c>
      <c r="R16" s="103" t="s">
        <v>132</v>
      </c>
      <c r="S16" s="103" t="s">
        <v>133</v>
      </c>
      <c r="T16" s="107" t="s">
        <v>145</v>
      </c>
      <c r="U16" s="108">
        <v>6</v>
      </c>
      <c r="V16" s="109">
        <v>23.038</v>
      </c>
      <c r="W16" s="110">
        <v>380000</v>
      </c>
      <c r="X16" s="111">
        <f t="shared" si="3"/>
        <v>8754440</v>
      </c>
      <c r="Y16" s="106" t="s">
        <v>135</v>
      </c>
      <c r="Z16" s="106">
        <f t="shared" si="4"/>
        <v>0</v>
      </c>
      <c r="AA16" s="106" t="str">
        <f t="shared" si="34"/>
        <v>DKG</v>
      </c>
      <c r="AB16" s="112">
        <v>1750000</v>
      </c>
      <c r="AC16" s="105" t="s">
        <v>120</v>
      </c>
      <c r="AD16" s="113">
        <f t="shared" si="5"/>
        <v>6</v>
      </c>
      <c r="AE16" s="113" t="str">
        <f t="shared" si="6"/>
        <v>HP</v>
      </c>
      <c r="AF16" s="114" t="str">
        <f t="shared" si="7"/>
        <v>DKG&lt;-&gt;Thuận Thành, Bắc Ninh</v>
      </c>
      <c r="AG16" s="106" t="str">
        <f t="shared" si="35"/>
        <v>CX003</v>
      </c>
      <c r="AH16" s="106" t="str">
        <f t="shared" si="8"/>
        <v>15C-03426</v>
      </c>
      <c r="AI16" s="109">
        <f t="shared" si="9"/>
        <v>23.038</v>
      </c>
      <c r="AJ16" s="112">
        <f t="shared" si="9"/>
        <v>380000</v>
      </c>
      <c r="AK16" s="112">
        <f t="shared" si="9"/>
        <v>8754440</v>
      </c>
      <c r="AL16" s="106" t="str">
        <f t="shared" si="10"/>
        <v>DKG</v>
      </c>
      <c r="AM16" s="112">
        <f t="shared" si="10"/>
        <v>1750000</v>
      </c>
      <c r="AN16" s="112">
        <f t="shared" si="36"/>
        <v>1650000</v>
      </c>
      <c r="AO16" s="112">
        <f t="shared" si="11"/>
        <v>100000</v>
      </c>
      <c r="AP16" s="105"/>
      <c r="AQ16" s="109">
        <f t="shared" si="12"/>
        <v>21.886099999999999</v>
      </c>
      <c r="AR16" s="109"/>
      <c r="AS16" s="112">
        <f t="shared" si="37"/>
        <v>315000</v>
      </c>
      <c r="AT16" s="112">
        <f t="shared" si="13"/>
        <v>6894121.5</v>
      </c>
      <c r="AU16" s="112">
        <f t="shared" si="14"/>
        <v>1860318.5</v>
      </c>
      <c r="AV16" s="105" t="str">
        <f t="shared" si="15"/>
        <v/>
      </c>
      <c r="AW16" s="115">
        <f t="shared" si="16"/>
        <v>1.1519000000000013</v>
      </c>
      <c r="AX16" s="115"/>
      <c r="AY16" s="116">
        <f t="shared" si="17"/>
        <v>1614999.9999999981</v>
      </c>
      <c r="AZ16" s="116">
        <f t="shared" si="18"/>
        <v>1860318.4999999998</v>
      </c>
      <c r="BA16" s="116">
        <f t="shared" si="19"/>
        <v>0</v>
      </c>
      <c r="BB16" s="117">
        <f t="shared" si="38"/>
        <v>51225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331</v>
      </c>
      <c r="BG16" s="117">
        <f t="shared" si="24"/>
        <v>331</v>
      </c>
      <c r="BH16" s="118">
        <f t="shared" si="39"/>
        <v>0</v>
      </c>
      <c r="BI16" s="73" t="s">
        <v>124</v>
      </c>
      <c r="BJ16" s="73" t="str">
        <f t="shared" si="25"/>
        <v>TDG xe 15C-03426</v>
      </c>
      <c r="BK16" s="118" t="str">
        <f t="shared" si="26"/>
        <v>G</v>
      </c>
      <c r="BL16" s="74">
        <f t="shared" ca="1" si="40"/>
        <v>45494</v>
      </c>
      <c r="BM16" s="8" t="str">
        <f t="shared" si="43"/>
        <v>CG00226</v>
      </c>
      <c r="BN16" s="8" t="str">
        <f t="shared" si="41"/>
        <v/>
      </c>
      <c r="BO16" s="8" t="str">
        <f t="shared" si="44"/>
        <v>CG00226</v>
      </c>
      <c r="BP16" s="8" t="str">
        <f t="shared" si="44"/>
        <v>Trương Văn Ảnh (DDTTBN) 125007901 0977688007</v>
      </c>
      <c r="BQ16" s="8" t="str">
        <f t="shared" si="45"/>
        <v>DKG&lt;-&gt;Thuận Thành, Bắc Ninh</v>
      </c>
      <c r="BS16" s="116">
        <f t="shared" si="46"/>
        <v>380000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42"/>
        <v>saiiiiiiiiiiiiiiiii</v>
      </c>
      <c r="BX16" s="120">
        <f>VLOOKUP(BQ16,[2]gia3!$D$7:$W$256,19,0)</f>
        <v>0</v>
      </c>
      <c r="BY16" s="95" t="str">
        <f t="shared" si="31"/>
        <v/>
      </c>
      <c r="BZ16" s="96" t="e">
        <f t="shared" si="32"/>
        <v>#VALUE!</v>
      </c>
    </row>
    <row r="17" spans="1:78" s="8" customFormat="1" ht="20.100000000000001" customHeight="1" x14ac:dyDescent="0.3">
      <c r="A17" s="97">
        <f>MAX($A$11:A16)+1</f>
        <v>7</v>
      </c>
      <c r="B17" s="98">
        <v>45493</v>
      </c>
      <c r="C17" s="97" t="s">
        <v>146</v>
      </c>
      <c r="D17" s="99" t="s">
        <v>147</v>
      </c>
      <c r="E17" s="100" t="e">
        <v>#N/A</v>
      </c>
      <c r="F17" s="99" t="s">
        <v>148</v>
      </c>
      <c r="G17" s="99"/>
      <c r="H17" s="97" t="s">
        <v>128</v>
      </c>
      <c r="I17" s="97" t="s">
        <v>120</v>
      </c>
      <c r="J17" s="97"/>
      <c r="K17" s="101" t="s">
        <v>149</v>
      </c>
      <c r="L17" s="102" t="s">
        <v>150</v>
      </c>
      <c r="M17" s="103" t="str">
        <f t="shared" si="0"/>
        <v>Hoàng Sơn</v>
      </c>
      <c r="N17" s="104" t="s">
        <v>151</v>
      </c>
      <c r="O17" s="105" t="str">
        <f t="shared" si="33"/>
        <v>Phạm Viết Thành</v>
      </c>
      <c r="P17" s="103" t="str">
        <f t="shared" si="1"/>
        <v>HS</v>
      </c>
      <c r="Q17" s="106" t="str">
        <f t="shared" si="2"/>
        <v>HS</v>
      </c>
      <c r="R17" s="103" t="s">
        <v>152</v>
      </c>
      <c r="S17" s="103" t="s">
        <v>133</v>
      </c>
      <c r="T17" s="107" t="s">
        <v>153</v>
      </c>
      <c r="U17" s="108">
        <v>13</v>
      </c>
      <c r="V17" s="109">
        <v>22</v>
      </c>
      <c r="W17" s="110">
        <v>550000</v>
      </c>
      <c r="X17" s="111">
        <f t="shared" si="3"/>
        <v>12100000</v>
      </c>
      <c r="Y17" s="106" t="s">
        <v>135</v>
      </c>
      <c r="Z17" s="106">
        <f t="shared" si="4"/>
        <v>0</v>
      </c>
      <c r="AA17" s="106" t="str">
        <f t="shared" si="34"/>
        <v>DKG</v>
      </c>
      <c r="AB17" s="112">
        <v>2700000</v>
      </c>
      <c r="AC17" s="105" t="s">
        <v>120</v>
      </c>
      <c r="AD17" s="113">
        <f t="shared" si="5"/>
        <v>7</v>
      </c>
      <c r="AE17" s="113" t="str">
        <f t="shared" si="6"/>
        <v>HS</v>
      </c>
      <c r="AF17" s="114" t="str">
        <f t="shared" si="7"/>
        <v>DKG&lt;-&gt;TP. Thái Nguyên, Thái Nguyên</v>
      </c>
      <c r="AG17" s="106" t="str">
        <f t="shared" si="35"/>
        <v>CX001</v>
      </c>
      <c r="AH17" s="106" t="str">
        <f t="shared" si="8"/>
        <v>15C-13959</v>
      </c>
      <c r="AI17" s="109">
        <f t="shared" si="9"/>
        <v>22</v>
      </c>
      <c r="AJ17" s="112">
        <f t="shared" si="9"/>
        <v>550000</v>
      </c>
      <c r="AK17" s="112">
        <f t="shared" si="9"/>
        <v>12100000</v>
      </c>
      <c r="AL17" s="106" t="str">
        <f t="shared" si="10"/>
        <v>DKG</v>
      </c>
      <c r="AM17" s="112">
        <f t="shared" si="10"/>
        <v>2700000</v>
      </c>
      <c r="AN17" s="112">
        <f t="shared" si="36"/>
        <v>2600000</v>
      </c>
      <c r="AO17" s="112">
        <f t="shared" si="11"/>
        <v>100000</v>
      </c>
      <c r="AP17" s="105"/>
      <c r="AQ17" s="109">
        <f t="shared" si="12"/>
        <v>20.9</v>
      </c>
      <c r="AR17" s="109"/>
      <c r="AS17" s="112">
        <f t="shared" si="37"/>
        <v>485000</v>
      </c>
      <c r="AT17" s="112">
        <f t="shared" si="13"/>
        <v>10136500</v>
      </c>
      <c r="AU17" s="112">
        <f t="shared" si="14"/>
        <v>1963500</v>
      </c>
      <c r="AV17" s="105" t="str">
        <f t="shared" si="15"/>
        <v/>
      </c>
      <c r="AW17" s="115">
        <f t="shared" si="16"/>
        <v>1.1000000000000014</v>
      </c>
      <c r="AX17" s="115"/>
      <c r="AY17" s="116">
        <f t="shared" si="17"/>
        <v>1784999.9999999977</v>
      </c>
      <c r="AZ17" s="116">
        <f t="shared" si="18"/>
        <v>1963500</v>
      </c>
      <c r="BA17" s="116">
        <f t="shared" si="19"/>
        <v>0</v>
      </c>
      <c r="BB17" s="117">
        <f t="shared" si="38"/>
        <v>512137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39"/>
        <v>6121137</v>
      </c>
      <c r="BI17" s="73" t="s">
        <v>124</v>
      </c>
      <c r="BJ17" s="73" t="str">
        <f t="shared" si="25"/>
        <v>TDG xe 15C-13959</v>
      </c>
      <c r="BK17" s="118" t="str">
        <f t="shared" si="26"/>
        <v>G</v>
      </c>
      <c r="BL17" s="74">
        <f t="shared" ca="1" si="40"/>
        <v>45494</v>
      </c>
      <c r="BM17" s="8" t="str">
        <f t="shared" si="43"/>
        <v>CG00456</v>
      </c>
      <c r="BN17" s="8" t="str">
        <f t="shared" si="41"/>
        <v/>
      </c>
      <c r="BO17" s="8" t="str">
        <f t="shared" si="44"/>
        <v>CG00456</v>
      </c>
      <c r="BP17" s="8" t="str">
        <f t="shared" si="44"/>
        <v>Chú Bắc (TPTN) 0838517888</v>
      </c>
      <c r="BQ17" s="8" t="str">
        <f t="shared" si="45"/>
        <v>DKG&lt;-&gt;TP. Thái Nguyên, Thái Nguyên</v>
      </c>
      <c r="BS17" s="116">
        <f t="shared" si="46"/>
        <v>550000</v>
      </c>
      <c r="BT17" s="119" t="b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0</v>
      </c>
      <c r="BU17" s="119" t="b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0</v>
      </c>
      <c r="BV17" s="8" t="str">
        <f t="shared" si="42"/>
        <v>saiiiiiiiiiiiiiiiii</v>
      </c>
      <c r="BX17" s="120" t="e">
        <f>VLOOKUP(BQ17,[2]gia3!$D$7:$W$256,19,0)</f>
        <v>#N/A</v>
      </c>
      <c r="BY17" s="95" t="str">
        <f t="shared" si="31"/>
        <v/>
      </c>
      <c r="BZ17" s="96" t="e">
        <f t="shared" si="32"/>
        <v>#VALUE!</v>
      </c>
    </row>
    <row r="18" spans="1:78" s="8" customFormat="1" ht="20.100000000000001" customHeight="1" x14ac:dyDescent="0.3">
      <c r="A18" s="97">
        <f>MAX($A$11:A17)+1</f>
        <v>8</v>
      </c>
      <c r="B18" s="98">
        <v>45493</v>
      </c>
      <c r="C18" s="97" t="s">
        <v>154</v>
      </c>
      <c r="D18" s="99" t="s">
        <v>155</v>
      </c>
      <c r="E18" s="100" t="s">
        <v>156</v>
      </c>
      <c r="F18" s="99" t="s">
        <v>157</v>
      </c>
      <c r="G18" s="99"/>
      <c r="H18" s="97" t="s">
        <v>128</v>
      </c>
      <c r="I18" s="97" t="s">
        <v>120</v>
      </c>
      <c r="J18" s="97"/>
      <c r="K18" s="101" t="s">
        <v>158</v>
      </c>
      <c r="L18" s="102" t="s">
        <v>159</v>
      </c>
      <c r="M18" s="103" t="str">
        <f t="shared" si="0"/>
        <v>Hoàng Sơn</v>
      </c>
      <c r="N18" s="104" t="s">
        <v>160</v>
      </c>
      <c r="O18" s="105" t="str">
        <f t="shared" si="33"/>
        <v>Đặng Thanh Sơn</v>
      </c>
      <c r="P18" s="103" t="str">
        <f t="shared" si="1"/>
        <v>HS</v>
      </c>
      <c r="Q18" s="106" t="str">
        <f t="shared" si="2"/>
        <v>HS</v>
      </c>
      <c r="R18" s="103" t="s">
        <v>132</v>
      </c>
      <c r="S18" s="103" t="s">
        <v>133</v>
      </c>
      <c r="T18" s="107" t="s">
        <v>161</v>
      </c>
      <c r="U18" s="108">
        <v>2</v>
      </c>
      <c r="V18" s="109">
        <v>25.373000000000001</v>
      </c>
      <c r="W18" s="110">
        <v>300000</v>
      </c>
      <c r="X18" s="111">
        <f t="shared" si="3"/>
        <v>7611900</v>
      </c>
      <c r="Y18" s="106" t="s">
        <v>162</v>
      </c>
      <c r="Z18" s="106">
        <f t="shared" si="4"/>
        <v>0</v>
      </c>
      <c r="AA18" s="106" t="str">
        <f t="shared" si="34"/>
        <v>DKG</v>
      </c>
      <c r="AB18" s="112">
        <v>1100000</v>
      </c>
      <c r="AC18" s="105" t="s">
        <v>120</v>
      </c>
      <c r="AD18" s="113">
        <f t="shared" si="5"/>
        <v>8</v>
      </c>
      <c r="AE18" s="113" t="str">
        <f t="shared" si="6"/>
        <v>HS</v>
      </c>
      <c r="AF18" s="114" t="str">
        <f t="shared" si="7"/>
        <v>DKG&lt;-&gt;Vĩnh Bảo, Hải Phòng</v>
      </c>
      <c r="AG18" s="106" t="str">
        <f t="shared" si="35"/>
        <v>CX001</v>
      </c>
      <c r="AH18" s="106" t="str">
        <f t="shared" si="8"/>
        <v>15C-13616</v>
      </c>
      <c r="AI18" s="109">
        <f t="shared" si="9"/>
        <v>25.373000000000001</v>
      </c>
      <c r="AJ18" s="112">
        <f t="shared" si="9"/>
        <v>300000</v>
      </c>
      <c r="AK18" s="112">
        <f t="shared" si="9"/>
        <v>7611900</v>
      </c>
      <c r="AL18" s="106" t="str">
        <f t="shared" si="10"/>
        <v>DKG</v>
      </c>
      <c r="AM18" s="112">
        <f t="shared" si="10"/>
        <v>1100000</v>
      </c>
      <c r="AN18" s="112">
        <f t="shared" si="36"/>
        <v>1000000</v>
      </c>
      <c r="AO18" s="112">
        <f t="shared" si="11"/>
        <v>100000</v>
      </c>
      <c r="AP18" s="105"/>
      <c r="AQ18" s="109">
        <f t="shared" si="12"/>
        <v>24.10435</v>
      </c>
      <c r="AR18" s="109"/>
      <c r="AS18" s="112">
        <f t="shared" si="37"/>
        <v>235000</v>
      </c>
      <c r="AT18" s="112">
        <f t="shared" si="13"/>
        <v>5664522.25</v>
      </c>
      <c r="AU18" s="112">
        <f t="shared" si="14"/>
        <v>1947377.75</v>
      </c>
      <c r="AV18" s="105" t="str">
        <f t="shared" si="15"/>
        <v/>
      </c>
      <c r="AW18" s="115">
        <f t="shared" si="16"/>
        <v>1.2686500000000009</v>
      </c>
      <c r="AX18" s="115"/>
      <c r="AY18" s="116">
        <f t="shared" si="17"/>
        <v>1534999.9999999988</v>
      </c>
      <c r="AZ18" s="116">
        <f t="shared" si="18"/>
        <v>1947377.75</v>
      </c>
      <c r="BA18" s="116">
        <f t="shared" si="19"/>
        <v>0</v>
      </c>
      <c r="BB18" s="117">
        <f t="shared" si="38"/>
        <v>512117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0</v>
      </c>
      <c r="BG18" s="117">
        <f t="shared" si="24"/>
        <v>15401</v>
      </c>
      <c r="BH18" s="118">
        <f t="shared" si="39"/>
        <v>6121117</v>
      </c>
      <c r="BI18" s="73" t="s">
        <v>124</v>
      </c>
      <c r="BJ18" s="73" t="str">
        <f t="shared" si="25"/>
        <v>TDG xe 15C-13616</v>
      </c>
      <c r="BK18" s="118" t="str">
        <f t="shared" si="26"/>
        <v>G</v>
      </c>
      <c r="BL18" s="74" t="str">
        <f t="shared" ca="1" si="40"/>
        <v/>
      </c>
      <c r="BM18" s="8" t="str">
        <f t="shared" si="43"/>
        <v>CG00040</v>
      </c>
      <c r="BN18" s="8" t="str">
        <f t="shared" si="41"/>
        <v/>
      </c>
      <c r="BO18" s="8" t="str">
        <f t="shared" si="44"/>
        <v>CG00040</v>
      </c>
      <c r="BP18" s="8" t="str">
        <f t="shared" si="44"/>
        <v>Công ty TNHH Gỗ Đại Xuân (PLHNA) 0979668924</v>
      </c>
      <c r="BQ18" s="8" t="str">
        <f t="shared" si="45"/>
        <v>DKG&lt;-&gt;Vĩnh Bảo, Hải Phòng</v>
      </c>
      <c r="BS18" s="116">
        <f t="shared" si="46"/>
        <v>300000</v>
      </c>
      <c r="BT18" s="119" t="b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0</v>
      </c>
      <c r="BU18" s="119" t="b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0</v>
      </c>
      <c r="BV18" s="8" t="str">
        <f t="shared" si="42"/>
        <v>saiiiiiiiiiiiiiiiii</v>
      </c>
      <c r="BX18" s="120">
        <f>VLOOKUP(BQ18,[2]gia3!$D$7:$W$256,19,0)</f>
        <v>2800000</v>
      </c>
      <c r="BY18" s="95" t="str">
        <f t="shared" si="31"/>
        <v/>
      </c>
      <c r="BZ18" s="96" t="e">
        <f t="shared" si="32"/>
        <v>#VALUE!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2024-07-21T09:15:57Z</dcterms:created>
  <dcterms:modified xsi:type="dcterms:W3CDTF">2024-07-21T09:16:02Z</dcterms:modified>
</cp:coreProperties>
</file>