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744C6FD4-1A1D-4264-91A4-F7FF0D168316}" xr6:coauthVersionLast="47" xr6:coauthVersionMax="47" xr10:uidLastSave="{00000000-0000-0000-0000-000000000000}"/>
  <bookViews>
    <workbookView xWindow="-108" yWindow="-108" windowWidth="23256" windowHeight="12456" xr2:uid="{37995375-34EC-491B-8FDD-CFB3EA982179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9" i="1" l="1"/>
  <c r="BQ29" i="1"/>
  <c r="BX29" i="1" s="1"/>
  <c r="BP29" i="1"/>
  <c r="BO29" i="1"/>
  <c r="BN29" i="1"/>
  <c r="BY29" i="1" s="1"/>
  <c r="BM29" i="1"/>
  <c r="BU29" i="1" s="1"/>
  <c r="BL29" i="1"/>
  <c r="BJ29" i="1"/>
  <c r="BE29" i="1"/>
  <c r="BC29" i="1"/>
  <c r="BB29" i="1"/>
  <c r="AV29" i="1"/>
  <c r="AQ29" i="1"/>
  <c r="AM29" i="1"/>
  <c r="AL29" i="1"/>
  <c r="AK29" i="1"/>
  <c r="AJ29" i="1"/>
  <c r="AI29" i="1"/>
  <c r="AW29" i="1" s="1"/>
  <c r="AH29" i="1"/>
  <c r="AG29" i="1"/>
  <c r="BH29" i="1" s="1"/>
  <c r="AF29" i="1"/>
  <c r="AE29" i="1"/>
  <c r="AA29" i="1"/>
  <c r="BK29" i="1" s="1"/>
  <c r="Z29" i="1"/>
  <c r="X29" i="1"/>
  <c r="P29" i="1"/>
  <c r="Q29" i="1" s="1"/>
  <c r="O29" i="1"/>
  <c r="M29" i="1"/>
  <c r="BT28" i="1"/>
  <c r="BS28" i="1"/>
  <c r="BV28" i="1" s="1"/>
  <c r="BQ28" i="1"/>
  <c r="BX28" i="1" s="1"/>
  <c r="BP28" i="1"/>
  <c r="BO28" i="1"/>
  <c r="BN28" i="1"/>
  <c r="BY28" i="1" s="1"/>
  <c r="BM28" i="1"/>
  <c r="BL28" i="1"/>
  <c r="BJ28" i="1"/>
  <c r="BF28" i="1"/>
  <c r="BE28" i="1"/>
  <c r="BC28" i="1"/>
  <c r="AV28" i="1"/>
  <c r="AQ28" i="1"/>
  <c r="AN28" i="1"/>
  <c r="AO28" i="1" s="1"/>
  <c r="AM28" i="1"/>
  <c r="AJ28" i="1"/>
  <c r="AI28" i="1"/>
  <c r="AW28" i="1" s="1"/>
  <c r="AH28" i="1"/>
  <c r="AG28" i="1"/>
  <c r="BB28" i="1" s="1"/>
  <c r="AF28" i="1"/>
  <c r="AE28" i="1"/>
  <c r="AA28" i="1"/>
  <c r="AL28" i="1" s="1"/>
  <c r="Z28" i="1"/>
  <c r="X28" i="1"/>
  <c r="Q28" i="1"/>
  <c r="P28" i="1"/>
  <c r="O28" i="1"/>
  <c r="M28" i="1"/>
  <c r="BX27" i="1"/>
  <c r="BU27" i="1"/>
  <c r="BT27" i="1"/>
  <c r="BV27" i="1" s="1"/>
  <c r="BS27" i="1"/>
  <c r="BQ27" i="1"/>
  <c r="BP27" i="1"/>
  <c r="BO27" i="1"/>
  <c r="BN27" i="1"/>
  <c r="BY27" i="1" s="1"/>
  <c r="BM27" i="1"/>
  <c r="BL27" i="1"/>
  <c r="BJ27" i="1"/>
  <c r="BG27" i="1"/>
  <c r="BF27" i="1"/>
  <c r="BE27" i="1"/>
  <c r="AV27" i="1"/>
  <c r="AM27" i="1"/>
  <c r="AL27" i="1"/>
  <c r="AJ27" i="1"/>
  <c r="AI27" i="1"/>
  <c r="AQ27" i="1" s="1"/>
  <c r="AH27" i="1"/>
  <c r="AG27" i="1"/>
  <c r="BB27" i="1" s="1"/>
  <c r="AF27" i="1"/>
  <c r="AE27" i="1"/>
  <c r="AA27" i="1"/>
  <c r="BD27" i="1" s="1"/>
  <c r="Z27" i="1"/>
  <c r="X27" i="1"/>
  <c r="Q27" i="1"/>
  <c r="P27" i="1"/>
  <c r="O27" i="1"/>
  <c r="M27" i="1"/>
  <c r="BY26" i="1"/>
  <c r="BX26" i="1"/>
  <c r="BS26" i="1"/>
  <c r="BQ26" i="1"/>
  <c r="BP26" i="1"/>
  <c r="BO26" i="1"/>
  <c r="BN26" i="1"/>
  <c r="BM26" i="1"/>
  <c r="BU26" i="1" s="1"/>
  <c r="BL26" i="1"/>
  <c r="BK26" i="1"/>
  <c r="BJ26" i="1"/>
  <c r="BE26" i="1"/>
  <c r="BB26" i="1"/>
  <c r="AV26" i="1"/>
  <c r="AM26" i="1"/>
  <c r="AL26" i="1"/>
  <c r="AK26" i="1"/>
  <c r="AJ26" i="1"/>
  <c r="AI26" i="1"/>
  <c r="AQ26" i="1" s="1"/>
  <c r="AH26" i="1"/>
  <c r="AG26" i="1"/>
  <c r="BH26" i="1" s="1"/>
  <c r="AF26" i="1"/>
  <c r="AE26" i="1"/>
  <c r="AA26" i="1"/>
  <c r="Z26" i="1"/>
  <c r="X26" i="1"/>
  <c r="P26" i="1"/>
  <c r="Q26" i="1" s="1"/>
  <c r="O26" i="1"/>
  <c r="M26" i="1"/>
  <c r="BS25" i="1"/>
  <c r="BQ25" i="1"/>
  <c r="BX25" i="1" s="1"/>
  <c r="BP25" i="1"/>
  <c r="BO25" i="1"/>
  <c r="BN25" i="1"/>
  <c r="BY25" i="1" s="1"/>
  <c r="BM25" i="1"/>
  <c r="BU25" i="1" s="1"/>
  <c r="BL25" i="1"/>
  <c r="BJ25" i="1"/>
  <c r="BE25" i="1"/>
  <c r="BC25" i="1"/>
  <c r="BB25" i="1"/>
  <c r="AV25" i="1"/>
  <c r="AQ25" i="1"/>
  <c r="AN25" i="1"/>
  <c r="AM25" i="1"/>
  <c r="AO25" i="1" s="1"/>
  <c r="AL25" i="1"/>
  <c r="AK25" i="1"/>
  <c r="AJ25" i="1"/>
  <c r="AI25" i="1"/>
  <c r="AW25" i="1" s="1"/>
  <c r="AH25" i="1"/>
  <c r="AG25" i="1"/>
  <c r="BH25" i="1" s="1"/>
  <c r="AF25" i="1"/>
  <c r="AE25" i="1"/>
  <c r="AA25" i="1"/>
  <c r="BK25" i="1" s="1"/>
  <c r="Z25" i="1"/>
  <c r="X25" i="1"/>
  <c r="P25" i="1"/>
  <c r="Q25" i="1" s="1"/>
  <c r="O25" i="1"/>
  <c r="M25" i="1"/>
  <c r="BU24" i="1"/>
  <c r="BT24" i="1"/>
  <c r="BS24" i="1"/>
  <c r="BV24" i="1" s="1"/>
  <c r="BQ24" i="1"/>
  <c r="BX24" i="1" s="1"/>
  <c r="BP24" i="1"/>
  <c r="BO24" i="1"/>
  <c r="BN24" i="1"/>
  <c r="BY24" i="1" s="1"/>
  <c r="BM24" i="1"/>
  <c r="BL24" i="1"/>
  <c r="BJ24" i="1"/>
  <c r="BF24" i="1"/>
  <c r="BE24" i="1"/>
  <c r="BC24" i="1"/>
  <c r="AV24" i="1"/>
  <c r="AQ24" i="1"/>
  <c r="AN24" i="1"/>
  <c r="AO24" i="1" s="1"/>
  <c r="AM24" i="1"/>
  <c r="AJ24" i="1"/>
  <c r="AI24" i="1"/>
  <c r="AW24" i="1" s="1"/>
  <c r="AH24" i="1"/>
  <c r="AG24" i="1"/>
  <c r="BB24" i="1" s="1"/>
  <c r="AF24" i="1"/>
  <c r="AE24" i="1"/>
  <c r="AA24" i="1"/>
  <c r="AL24" i="1" s="1"/>
  <c r="Z24" i="1"/>
  <c r="X24" i="1"/>
  <c r="AK24" i="1" s="1"/>
  <c r="Q24" i="1"/>
  <c r="P24" i="1"/>
  <c r="O24" i="1"/>
  <c r="M24" i="1"/>
  <c r="BY23" i="1"/>
  <c r="BX23" i="1"/>
  <c r="BU23" i="1"/>
  <c r="BT23" i="1"/>
  <c r="BV23" i="1" s="1"/>
  <c r="BS23" i="1"/>
  <c r="BQ23" i="1"/>
  <c r="BP23" i="1"/>
  <c r="BO23" i="1"/>
  <c r="BN23" i="1"/>
  <c r="BM23" i="1"/>
  <c r="BL23" i="1"/>
  <c r="BK23" i="1"/>
  <c r="BJ23" i="1"/>
  <c r="BG23" i="1"/>
  <c r="BF23" i="1"/>
  <c r="BE23" i="1"/>
  <c r="AV23" i="1"/>
  <c r="AM23" i="1"/>
  <c r="AL23" i="1"/>
  <c r="AJ23" i="1"/>
  <c r="AI23" i="1"/>
  <c r="AQ23" i="1" s="1"/>
  <c r="AH23" i="1"/>
  <c r="AG23" i="1"/>
  <c r="BB23" i="1" s="1"/>
  <c r="AF23" i="1"/>
  <c r="AE23" i="1"/>
  <c r="AA23" i="1"/>
  <c r="BD23" i="1" s="1"/>
  <c r="Z23" i="1"/>
  <c r="X23" i="1"/>
  <c r="Q23" i="1"/>
  <c r="P23" i="1"/>
  <c r="O23" i="1"/>
  <c r="M23" i="1"/>
  <c r="BY22" i="1"/>
  <c r="BX22" i="1"/>
  <c r="BS22" i="1"/>
  <c r="BQ22" i="1"/>
  <c r="BP22" i="1"/>
  <c r="BO22" i="1"/>
  <c r="BN22" i="1"/>
  <c r="BM22" i="1"/>
  <c r="BU22" i="1" s="1"/>
  <c r="BL22" i="1"/>
  <c r="BK22" i="1"/>
  <c r="BJ22" i="1"/>
  <c r="BE22" i="1"/>
  <c r="BB22" i="1"/>
  <c r="AV22" i="1"/>
  <c r="AM22" i="1"/>
  <c r="AL22" i="1"/>
  <c r="AK22" i="1"/>
  <c r="AJ22" i="1"/>
  <c r="AI22" i="1"/>
  <c r="AQ22" i="1" s="1"/>
  <c r="AH22" i="1"/>
  <c r="AG22" i="1"/>
  <c r="BH22" i="1" s="1"/>
  <c r="AF22" i="1"/>
  <c r="AE22" i="1"/>
  <c r="AA22" i="1"/>
  <c r="Z22" i="1"/>
  <c r="X22" i="1"/>
  <c r="P22" i="1"/>
  <c r="Q22" i="1" s="1"/>
  <c r="O22" i="1"/>
  <c r="M22" i="1"/>
  <c r="BS21" i="1"/>
  <c r="BQ21" i="1"/>
  <c r="BX21" i="1" s="1"/>
  <c r="BP21" i="1"/>
  <c r="BO21" i="1"/>
  <c r="BN21" i="1"/>
  <c r="BY21" i="1" s="1"/>
  <c r="BM21" i="1"/>
  <c r="BU21" i="1" s="1"/>
  <c r="BL21" i="1"/>
  <c r="BJ21" i="1"/>
  <c r="BE21" i="1"/>
  <c r="BC21" i="1"/>
  <c r="BB21" i="1"/>
  <c r="AV21" i="1"/>
  <c r="AQ21" i="1"/>
  <c r="AM21" i="1"/>
  <c r="AN21" i="1" s="1"/>
  <c r="AL21" i="1"/>
  <c r="AK21" i="1"/>
  <c r="AJ21" i="1"/>
  <c r="AI21" i="1"/>
  <c r="AW21" i="1" s="1"/>
  <c r="AH21" i="1"/>
  <c r="AG21" i="1"/>
  <c r="BH21" i="1" s="1"/>
  <c r="AF21" i="1"/>
  <c r="AE21" i="1"/>
  <c r="AA21" i="1"/>
  <c r="BK21" i="1" s="1"/>
  <c r="Z21" i="1"/>
  <c r="X21" i="1"/>
  <c r="P21" i="1"/>
  <c r="Q21" i="1" s="1"/>
  <c r="O21" i="1"/>
  <c r="M21" i="1"/>
  <c r="BU20" i="1"/>
  <c r="BT20" i="1"/>
  <c r="BS20" i="1"/>
  <c r="BV20" i="1" s="1"/>
  <c r="BQ20" i="1"/>
  <c r="BX20" i="1" s="1"/>
  <c r="BP20" i="1"/>
  <c r="BO20" i="1"/>
  <c r="BN20" i="1"/>
  <c r="BY20" i="1" s="1"/>
  <c r="BM20" i="1"/>
  <c r="BL20" i="1"/>
  <c r="BJ20" i="1"/>
  <c r="BF20" i="1"/>
  <c r="BE20" i="1"/>
  <c r="BC20" i="1"/>
  <c r="AV20" i="1"/>
  <c r="AQ20" i="1"/>
  <c r="AN20" i="1"/>
  <c r="AO20" i="1" s="1"/>
  <c r="AM20" i="1"/>
  <c r="AJ20" i="1"/>
  <c r="AI20" i="1"/>
  <c r="AW20" i="1" s="1"/>
  <c r="AH20" i="1"/>
  <c r="AG20" i="1"/>
  <c r="BB20" i="1" s="1"/>
  <c r="AF20" i="1"/>
  <c r="AE20" i="1"/>
  <c r="AA20" i="1"/>
  <c r="AL20" i="1" s="1"/>
  <c r="Z20" i="1"/>
  <c r="X20" i="1"/>
  <c r="Q20" i="1"/>
  <c r="P20" i="1"/>
  <c r="O20" i="1"/>
  <c r="M20" i="1"/>
  <c r="BY19" i="1"/>
  <c r="BX19" i="1"/>
  <c r="BU19" i="1"/>
  <c r="BT19" i="1"/>
  <c r="BV19" i="1" s="1"/>
  <c r="BS19" i="1"/>
  <c r="BQ19" i="1"/>
  <c r="BP19" i="1"/>
  <c r="BO19" i="1"/>
  <c r="BN19" i="1"/>
  <c r="BM19" i="1"/>
  <c r="BL19" i="1"/>
  <c r="BK19" i="1"/>
  <c r="BJ19" i="1"/>
  <c r="BG19" i="1"/>
  <c r="BF19" i="1"/>
  <c r="BE19" i="1"/>
  <c r="AV19" i="1"/>
  <c r="AS19" i="1"/>
  <c r="BZ19" i="1" s="1"/>
  <c r="AM19" i="1"/>
  <c r="AJ19" i="1"/>
  <c r="AI19" i="1"/>
  <c r="AQ19" i="1" s="1"/>
  <c r="AT19" i="1" s="1"/>
  <c r="AH19" i="1"/>
  <c r="AG19" i="1"/>
  <c r="BB19" i="1" s="1"/>
  <c r="AF19" i="1"/>
  <c r="AE19" i="1"/>
  <c r="AD19" i="1"/>
  <c r="AA19" i="1"/>
  <c r="BD19" i="1" s="1"/>
  <c r="Z19" i="1"/>
  <c r="X19" i="1"/>
  <c r="Q19" i="1"/>
  <c r="P19" i="1"/>
  <c r="O19" i="1"/>
  <c r="M19" i="1"/>
  <c r="BY18" i="1"/>
  <c r="BX18" i="1"/>
  <c r="BS18" i="1"/>
  <c r="BQ18" i="1"/>
  <c r="BP18" i="1"/>
  <c r="BO18" i="1"/>
  <c r="BN18" i="1"/>
  <c r="BM18" i="1"/>
  <c r="BU18" i="1" s="1"/>
  <c r="BL18" i="1"/>
  <c r="BK18" i="1"/>
  <c r="BJ18" i="1"/>
  <c r="BE18" i="1"/>
  <c r="AV18" i="1"/>
  <c r="AO18" i="1"/>
  <c r="AN18" i="1"/>
  <c r="AM18" i="1"/>
  <c r="AL18" i="1"/>
  <c r="AK18" i="1"/>
  <c r="AJ18" i="1"/>
  <c r="AI18" i="1"/>
  <c r="AQ18" i="1" s="1"/>
  <c r="AH18" i="1"/>
  <c r="AG18" i="1"/>
  <c r="BG18" i="1" s="1"/>
  <c r="AF18" i="1"/>
  <c r="AE18" i="1"/>
  <c r="AA18" i="1"/>
  <c r="Z18" i="1"/>
  <c r="X18" i="1"/>
  <c r="Q18" i="1"/>
  <c r="P18" i="1"/>
  <c r="O18" i="1"/>
  <c r="M18" i="1"/>
  <c r="BS17" i="1"/>
  <c r="BQ17" i="1"/>
  <c r="BX17" i="1" s="1"/>
  <c r="BP17" i="1"/>
  <c r="BO17" i="1"/>
  <c r="BN17" i="1"/>
  <c r="BY17" i="1" s="1"/>
  <c r="BM17" i="1"/>
  <c r="BU17" i="1" s="1"/>
  <c r="BL17" i="1"/>
  <c r="BJ17" i="1"/>
  <c r="BG17" i="1"/>
  <c r="BF17" i="1"/>
  <c r="BE17" i="1"/>
  <c r="BB17" i="1"/>
  <c r="AV17" i="1"/>
  <c r="AM17" i="1"/>
  <c r="AL17" i="1"/>
  <c r="AK17" i="1"/>
  <c r="AJ17" i="1"/>
  <c r="AI17" i="1"/>
  <c r="AH17" i="1"/>
  <c r="AG17" i="1"/>
  <c r="BH17" i="1" s="1"/>
  <c r="AF17" i="1"/>
  <c r="AE17" i="1"/>
  <c r="AA17" i="1"/>
  <c r="BK17" i="1" s="1"/>
  <c r="Z17" i="1"/>
  <c r="X17" i="1"/>
  <c r="P17" i="1"/>
  <c r="Q17" i="1" s="1"/>
  <c r="O17" i="1"/>
  <c r="M17" i="1"/>
  <c r="BY16" i="1"/>
  <c r="BU16" i="1"/>
  <c r="BT16" i="1"/>
  <c r="BS16" i="1"/>
  <c r="BV16" i="1" s="1"/>
  <c r="BQ16" i="1"/>
  <c r="BX16" i="1" s="1"/>
  <c r="BP16" i="1"/>
  <c r="BO16" i="1"/>
  <c r="BN16" i="1"/>
  <c r="BM16" i="1"/>
  <c r="BL16" i="1"/>
  <c r="BJ16" i="1"/>
  <c r="BG16" i="1"/>
  <c r="BF16" i="1"/>
  <c r="BE16" i="1"/>
  <c r="BC16" i="1"/>
  <c r="BB16" i="1"/>
  <c r="AV16" i="1"/>
  <c r="AQ16" i="1"/>
  <c r="AM16" i="1"/>
  <c r="AJ16" i="1"/>
  <c r="AI16" i="1"/>
  <c r="AW16" i="1" s="1"/>
  <c r="AH16" i="1"/>
  <c r="AG16" i="1"/>
  <c r="BH16" i="1" s="1"/>
  <c r="AF16" i="1"/>
  <c r="AE16" i="1"/>
  <c r="AA16" i="1"/>
  <c r="AL16" i="1" s="1"/>
  <c r="Z16" i="1"/>
  <c r="X16" i="1"/>
  <c r="Q16" i="1"/>
  <c r="P16" i="1"/>
  <c r="O16" i="1"/>
  <c r="M16" i="1"/>
  <c r="BY15" i="1"/>
  <c r="BX15" i="1"/>
  <c r="BU15" i="1"/>
  <c r="BT15" i="1"/>
  <c r="BS15" i="1"/>
  <c r="BV15" i="1" s="1"/>
  <c r="BQ15" i="1"/>
  <c r="BP15" i="1"/>
  <c r="BO15" i="1"/>
  <c r="BN15" i="1"/>
  <c r="BM15" i="1"/>
  <c r="BL15" i="1"/>
  <c r="BK15" i="1"/>
  <c r="BJ15" i="1"/>
  <c r="BG15" i="1"/>
  <c r="BF15" i="1"/>
  <c r="BE15" i="1"/>
  <c r="AV15" i="1"/>
  <c r="AQ15" i="1"/>
  <c r="AM15" i="1"/>
  <c r="AN15" i="1" s="1"/>
  <c r="AO15" i="1" s="1"/>
  <c r="AL15" i="1"/>
  <c r="AJ15" i="1"/>
  <c r="AI15" i="1"/>
  <c r="AW15" i="1" s="1"/>
  <c r="AH15" i="1"/>
  <c r="AG15" i="1"/>
  <c r="BB15" i="1" s="1"/>
  <c r="AF15" i="1"/>
  <c r="AE15" i="1"/>
  <c r="AA15" i="1"/>
  <c r="BD15" i="1" s="1"/>
  <c r="Z15" i="1"/>
  <c r="X15" i="1"/>
  <c r="AK15" i="1" s="1"/>
  <c r="Q15" i="1"/>
  <c r="P15" i="1"/>
  <c r="O15" i="1"/>
  <c r="M15" i="1"/>
  <c r="BY14" i="1"/>
  <c r="BX14" i="1"/>
  <c r="BS14" i="1"/>
  <c r="BQ14" i="1"/>
  <c r="BP14" i="1"/>
  <c r="BO14" i="1"/>
  <c r="BN14" i="1"/>
  <c r="BM14" i="1"/>
  <c r="BU14" i="1" s="1"/>
  <c r="BL14" i="1"/>
  <c r="BK14" i="1"/>
  <c r="BJ14" i="1"/>
  <c r="BE14" i="1"/>
  <c r="AV14" i="1"/>
  <c r="AO14" i="1"/>
  <c r="AN14" i="1"/>
  <c r="AM14" i="1"/>
  <c r="AL14" i="1"/>
  <c r="AK14" i="1"/>
  <c r="AJ14" i="1"/>
  <c r="AI14" i="1"/>
  <c r="AH14" i="1"/>
  <c r="AG14" i="1"/>
  <c r="BG14" i="1" s="1"/>
  <c r="AF14" i="1"/>
  <c r="AE14" i="1"/>
  <c r="AA14" i="1"/>
  <c r="Z14" i="1"/>
  <c r="X14" i="1"/>
  <c r="P14" i="1"/>
  <c r="Q14" i="1" s="1"/>
  <c r="O14" i="1"/>
  <c r="M14" i="1"/>
  <c r="BS13" i="1"/>
  <c r="BQ13" i="1"/>
  <c r="BX13" i="1" s="1"/>
  <c r="BP13" i="1"/>
  <c r="BO13" i="1"/>
  <c r="BN13" i="1"/>
  <c r="BM13" i="1"/>
  <c r="BU13" i="1" s="1"/>
  <c r="BL13" i="1"/>
  <c r="BK13" i="1"/>
  <c r="BJ13" i="1"/>
  <c r="BG13" i="1"/>
  <c r="BE13" i="1"/>
  <c r="BD13" i="1"/>
  <c r="BC13" i="1"/>
  <c r="BB13" i="1"/>
  <c r="AV13" i="1"/>
  <c r="AT13" i="1"/>
  <c r="AQ13" i="1"/>
  <c r="AM13" i="1"/>
  <c r="AN13" i="1" s="1"/>
  <c r="AL13" i="1"/>
  <c r="AK13" i="1"/>
  <c r="AU13" i="1" s="1"/>
  <c r="AJ13" i="1"/>
  <c r="AI13" i="1"/>
  <c r="AW13" i="1" s="1"/>
  <c r="AH13" i="1"/>
  <c r="AG13" i="1"/>
  <c r="BH13" i="1" s="1"/>
  <c r="AF13" i="1"/>
  <c r="AE13" i="1"/>
  <c r="AA13" i="1"/>
  <c r="Z13" i="1"/>
  <c r="X13" i="1"/>
  <c r="P13" i="1"/>
  <c r="Q13" i="1" s="1"/>
  <c r="O13" i="1"/>
  <c r="M13" i="1"/>
  <c r="BW12" i="1"/>
  <c r="BS12" i="1"/>
  <c r="BQ12" i="1"/>
  <c r="BX12" i="1" s="1"/>
  <c r="BP12" i="1"/>
  <c r="BO12" i="1"/>
  <c r="BN12" i="1"/>
  <c r="BM12" i="1"/>
  <c r="BL12" i="1"/>
  <c r="BJ12" i="1"/>
  <c r="BG12" i="1"/>
  <c r="BF12" i="1"/>
  <c r="BE12" i="1"/>
  <c r="BD12" i="1"/>
  <c r="BC12" i="1"/>
  <c r="BB12" i="1"/>
  <c r="AV12" i="1"/>
  <c r="AQ12" i="1"/>
  <c r="AW12" i="1" s="1"/>
  <c r="AM12" i="1"/>
  <c r="AN12" i="1" s="1"/>
  <c r="AL12" i="1"/>
  <c r="AJ12" i="1"/>
  <c r="AI12" i="1"/>
  <c r="AH12" i="1"/>
  <c r="AG12" i="1"/>
  <c r="BH12" i="1" s="1"/>
  <c r="AF12" i="1"/>
  <c r="AE12" i="1"/>
  <c r="AD12" i="1"/>
  <c r="AA12" i="1"/>
  <c r="BK12" i="1" s="1"/>
  <c r="Z12" i="1"/>
  <c r="X12" i="1"/>
  <c r="Q12" i="1"/>
  <c r="P12" i="1"/>
  <c r="O12" i="1"/>
  <c r="M12" i="1"/>
  <c r="A12" i="1"/>
  <c r="A13" i="1" s="1"/>
  <c r="BS11" i="1"/>
  <c r="BQ11" i="1"/>
  <c r="BX11" i="1" s="1"/>
  <c r="BP11" i="1"/>
  <c r="BO11" i="1"/>
  <c r="BN11" i="1"/>
  <c r="BM11" i="1"/>
  <c r="BL11" i="1"/>
  <c r="BJ11" i="1"/>
  <c r="BG11" i="1"/>
  <c r="BF11" i="1"/>
  <c r="BE11" i="1"/>
  <c r="BD11" i="1"/>
  <c r="AV11" i="1"/>
  <c r="AQ11" i="1"/>
  <c r="AN11" i="1"/>
  <c r="AM11" i="1"/>
  <c r="AK11" i="1"/>
  <c r="AJ11" i="1"/>
  <c r="AI11" i="1"/>
  <c r="AW11" i="1" s="1"/>
  <c r="AH11" i="1"/>
  <c r="AG11" i="1"/>
  <c r="BB11" i="1" s="1"/>
  <c r="AF11" i="1"/>
  <c r="AE11" i="1"/>
  <c r="AD11" i="1"/>
  <c r="AA11" i="1"/>
  <c r="BC11" i="1" s="1"/>
  <c r="Z11" i="1"/>
  <c r="X11" i="1"/>
  <c r="P11" i="1"/>
  <c r="Q11" i="1" s="1"/>
  <c r="O11" i="1"/>
  <c r="M11" i="1"/>
  <c r="AB9" i="1"/>
  <c r="V9" i="1"/>
  <c r="U9" i="1"/>
  <c r="AI4" i="1"/>
  <c r="BY13" i="1" l="1"/>
  <c r="BZ13" i="1" s="1"/>
  <c r="BY11" i="1"/>
  <c r="BZ11" i="1" s="1"/>
  <c r="AY13" i="1"/>
  <c r="AZ13" i="1" s="1"/>
  <c r="BA13" i="1" s="1"/>
  <c r="AS14" i="1"/>
  <c r="BZ14" i="1" s="1"/>
  <c r="AD13" i="1"/>
  <c r="A14" i="1"/>
  <c r="AD14" i="1" s="1"/>
  <c r="BY12" i="1"/>
  <c r="BZ12" i="1" s="1"/>
  <c r="AW22" i="1"/>
  <c r="BD24" i="1"/>
  <c r="AW26" i="1"/>
  <c r="BD28" i="1"/>
  <c r="BH23" i="1"/>
  <c r="BH27" i="1"/>
  <c r="BH18" i="1"/>
  <c r="AN29" i="1"/>
  <c r="AO29" i="1" s="1"/>
  <c r="AN17" i="1"/>
  <c r="AO17" i="1" s="1"/>
  <c r="BC17" i="1"/>
  <c r="AW19" i="1"/>
  <c r="BG20" i="1"/>
  <c r="AO21" i="1"/>
  <c r="BD21" i="1"/>
  <c r="AW23" i="1"/>
  <c r="BG24" i="1"/>
  <c r="BD25" i="1"/>
  <c r="AW27" i="1"/>
  <c r="BK27" i="1"/>
  <c r="BG28" i="1"/>
  <c r="BU28" i="1"/>
  <c r="BD29" i="1"/>
  <c r="BH14" i="1"/>
  <c r="BD20" i="1"/>
  <c r="BT11" i="1"/>
  <c r="BV11" i="1" s="1"/>
  <c r="BU11" i="1"/>
  <c r="BH11" i="1"/>
  <c r="AT12" i="1"/>
  <c r="BD17" i="1"/>
  <c r="BH24" i="1"/>
  <c r="BH28" i="1"/>
  <c r="AO11" i="1"/>
  <c r="AW18" i="1"/>
  <c r="BH19" i="1"/>
  <c r="AT11" i="1"/>
  <c r="AY11" i="1" s="1"/>
  <c r="AZ11" i="1" s="1"/>
  <c r="AO12" i="1"/>
  <c r="BH15" i="1"/>
  <c r="BH20" i="1"/>
  <c r="BK11" i="1"/>
  <c r="AO13" i="1"/>
  <c r="BB14" i="1"/>
  <c r="AQ17" i="1"/>
  <c r="BB18" i="1"/>
  <c r="AK19" i="1"/>
  <c r="BF21" i="1"/>
  <c r="BT21" i="1"/>
  <c r="BV21" i="1" s="1"/>
  <c r="AN22" i="1"/>
  <c r="AO22" i="1" s="1"/>
  <c r="BC22" i="1"/>
  <c r="AK23" i="1"/>
  <c r="BF25" i="1"/>
  <c r="BT25" i="1"/>
  <c r="BV25" i="1" s="1"/>
  <c r="AN26" i="1"/>
  <c r="AO26" i="1" s="1"/>
  <c r="BC26" i="1"/>
  <c r="AK27" i="1"/>
  <c r="BF29" i="1"/>
  <c r="BT29" i="1"/>
  <c r="BV29" i="1" s="1"/>
  <c r="BU12" i="1"/>
  <c r="BF13" i="1"/>
  <c r="BT13" i="1"/>
  <c r="BV13" i="1" s="1"/>
  <c r="BC14" i="1"/>
  <c r="BT17" i="1"/>
  <c r="BV17" i="1" s="1"/>
  <c r="BC18" i="1"/>
  <c r="AL19" i="1"/>
  <c r="BK20" i="1"/>
  <c r="BG21" i="1"/>
  <c r="BD22" i="1"/>
  <c r="BK24" i="1"/>
  <c r="BG25" i="1"/>
  <c r="BD26" i="1"/>
  <c r="BK28" i="1"/>
  <c r="BG29" i="1"/>
  <c r="BT12" i="1"/>
  <c r="BV12" i="1" s="1"/>
  <c r="AQ14" i="1"/>
  <c r="AT14" i="1" s="1"/>
  <c r="AN19" i="1"/>
  <c r="AO19" i="1" s="1"/>
  <c r="BC19" i="1"/>
  <c r="AK20" i="1"/>
  <c r="BF22" i="1"/>
  <c r="BT22" i="1"/>
  <c r="BV22" i="1" s="1"/>
  <c r="AN23" i="1"/>
  <c r="AO23" i="1" s="1"/>
  <c r="BC23" i="1"/>
  <c r="BF26" i="1"/>
  <c r="BT26" i="1"/>
  <c r="BV26" i="1" s="1"/>
  <c r="AN27" i="1"/>
  <c r="AO27" i="1" s="1"/>
  <c r="BC27" i="1"/>
  <c r="AK28" i="1"/>
  <c r="AM9" i="1"/>
  <c r="AN16" i="1"/>
  <c r="AO16" i="1" s="1"/>
  <c r="BD16" i="1"/>
  <c r="BD14" i="1"/>
  <c r="BK16" i="1"/>
  <c r="BD18" i="1"/>
  <c r="AL11" i="1"/>
  <c r="BF14" i="1"/>
  <c r="BT14" i="1"/>
  <c r="BV14" i="1" s="1"/>
  <c r="BC15" i="1"/>
  <c r="AK16" i="1"/>
  <c r="BF18" i="1"/>
  <c r="BT18" i="1"/>
  <c r="BV18" i="1" s="1"/>
  <c r="BG22" i="1"/>
  <c r="BG26" i="1"/>
  <c r="X9" i="1"/>
  <c r="AI9" i="1"/>
  <c r="AK12" i="1"/>
  <c r="AZ19" i="1" l="1"/>
  <c r="BA19" i="1" s="1"/>
  <c r="AN9" i="1"/>
  <c r="AY14" i="1"/>
  <c r="AU14" i="1"/>
  <c r="AO9" i="1"/>
  <c r="AU19" i="1"/>
  <c r="AY19" i="1"/>
  <c r="AQ9" i="1"/>
  <c r="AW17" i="1"/>
  <c r="AW14" i="1"/>
  <c r="A15" i="1"/>
  <c r="AY12" i="1"/>
  <c r="AZ12" i="1" s="1"/>
  <c r="BA12" i="1" s="1"/>
  <c r="AK9" i="1"/>
  <c r="AU12" i="1"/>
  <c r="AU11" i="1"/>
  <c r="BA11" i="1"/>
  <c r="AS15" i="1" l="1"/>
  <c r="AD15" i="1"/>
  <c r="A16" i="1"/>
  <c r="AZ14" i="1"/>
  <c r="BA14" i="1" s="1"/>
  <c r="AD16" i="1" l="1"/>
  <c r="AS16" i="1"/>
  <c r="AT15" i="1"/>
  <c r="BZ15" i="1"/>
  <c r="A17" i="1"/>
  <c r="BZ16" i="1" l="1"/>
  <c r="AT16" i="1"/>
  <c r="AD17" i="1"/>
  <c r="AS17" i="1"/>
  <c r="AY15" i="1"/>
  <c r="AZ15" i="1" s="1"/>
  <c r="BA15" i="1" s="1"/>
  <c r="AU15" i="1"/>
  <c r="A18" i="1"/>
  <c r="AD18" i="1" l="1"/>
  <c r="AS18" i="1"/>
  <c r="A20" i="1"/>
  <c r="BZ17" i="1"/>
  <c r="AT17" i="1"/>
  <c r="AY16" i="1"/>
  <c r="AZ16" i="1" s="1"/>
  <c r="BA16" i="1" s="1"/>
  <c r="AU16" i="1"/>
  <c r="AD20" i="1" l="1"/>
  <c r="AS20" i="1"/>
  <c r="A21" i="1"/>
  <c r="AY17" i="1"/>
  <c r="AZ17" i="1" s="1"/>
  <c r="BA17" i="1" s="1"/>
  <c r="AU17" i="1"/>
  <c r="AT18" i="1"/>
  <c r="BZ18" i="1"/>
  <c r="AD21" i="1" l="1"/>
  <c r="AS21" i="1"/>
  <c r="A22" i="1"/>
  <c r="BZ20" i="1"/>
  <c r="AT20" i="1"/>
  <c r="AY18" i="1"/>
  <c r="AZ18" i="1" s="1"/>
  <c r="BA18" i="1" s="1"/>
  <c r="AU18" i="1"/>
  <c r="AY20" i="1" l="1"/>
  <c r="AZ20" i="1" s="1"/>
  <c r="BA20" i="1" s="1"/>
  <c r="AU20" i="1"/>
  <c r="BZ21" i="1"/>
  <c r="AT21" i="1"/>
  <c r="AD22" i="1"/>
  <c r="AS22" i="1"/>
  <c r="A23" i="1"/>
  <c r="AT22" i="1" l="1"/>
  <c r="BZ22" i="1"/>
  <c r="AD23" i="1"/>
  <c r="AS23" i="1"/>
  <c r="A24" i="1"/>
  <c r="AY21" i="1"/>
  <c r="AZ21" i="1" s="1"/>
  <c r="BA21" i="1" s="1"/>
  <c r="AU21" i="1"/>
  <c r="AD24" i="1" l="1"/>
  <c r="AS24" i="1"/>
  <c r="A25" i="1"/>
  <c r="BZ23" i="1"/>
  <c r="AT23" i="1"/>
  <c r="AY22" i="1"/>
  <c r="AZ22" i="1" s="1"/>
  <c r="BA22" i="1"/>
  <c r="AU22" i="1"/>
  <c r="AT24" i="1" l="1"/>
  <c r="BZ24" i="1"/>
  <c r="AY23" i="1"/>
  <c r="AZ23" i="1" s="1"/>
  <c r="BA23" i="1" s="1"/>
  <c r="AU23" i="1"/>
  <c r="AD25" i="1"/>
  <c r="AS25" i="1"/>
  <c r="A26" i="1"/>
  <c r="AD26" i="1" l="1"/>
  <c r="AS26" i="1"/>
  <c r="A27" i="1"/>
  <c r="AT25" i="1"/>
  <c r="BZ25" i="1"/>
  <c r="AU24" i="1"/>
  <c r="AY24" i="1"/>
  <c r="AZ24" i="1" s="1"/>
  <c r="BA24" i="1" s="1"/>
  <c r="AY25" i="1" l="1"/>
  <c r="AZ25" i="1" s="1"/>
  <c r="BA25" i="1" s="1"/>
  <c r="AU25" i="1"/>
  <c r="AD27" i="1"/>
  <c r="AS27" i="1"/>
  <c r="A28" i="1"/>
  <c r="AT26" i="1"/>
  <c r="BZ26" i="1"/>
  <c r="AT27" i="1" l="1"/>
  <c r="BZ27" i="1"/>
  <c r="AU26" i="1"/>
  <c r="AY26" i="1"/>
  <c r="AZ26" i="1" s="1"/>
  <c r="BA26" i="1"/>
  <c r="AS28" i="1"/>
  <c r="AD28" i="1"/>
  <c r="A29" i="1"/>
  <c r="AD29" i="1" l="1"/>
  <c r="AS29" i="1"/>
  <c r="BZ28" i="1"/>
  <c r="AT28" i="1"/>
  <c r="AY27" i="1"/>
  <c r="AZ27" i="1" s="1"/>
  <c r="BA27" i="1" s="1"/>
  <c r="AU27" i="1"/>
  <c r="AY28" i="1" l="1"/>
  <c r="AZ28" i="1" s="1"/>
  <c r="BA28" i="1" s="1"/>
  <c r="AU28" i="1"/>
  <c r="BZ29" i="1"/>
  <c r="AT29" i="1"/>
  <c r="AU29" i="1" l="1"/>
  <c r="AU9" i="1" s="1"/>
  <c r="AY29" i="1"/>
  <c r="AZ29" i="1" s="1"/>
  <c r="BA29" i="1" s="1"/>
  <c r="AT9" i="1"/>
</calcChain>
</file>

<file path=xl/sharedStrings.xml><?xml version="1.0" encoding="utf-8"?>
<sst xmlns="http://schemas.openxmlformats.org/spreadsheetml/2006/main" count="415" uniqueCount="208">
  <si>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</si>
  <si>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</si>
  <si>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</si>
  <si>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</si>
  <si>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</si>
  <si>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</si>
  <si>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</si>
  <si>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</si>
  <si>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</si>
  <si>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</si>
  <si>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</si>
  <si>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</si>
  <si>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</si>
  <si>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</si>
  <si>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</si>
  <si>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</si>
  <si>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</si>
  <si>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</si>
  <si>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</si>
  <si>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</si>
  <si>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</si>
  <si>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</si>
  <si>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</si>
  <si>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</si>
  <si>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</si>
  <si>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</si>
  <si>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</si>
  <si>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</si>
  <si>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</si>
  <si>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</si>
  <si>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</si>
  <si>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</si>
  <si>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</si>
  <si>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</si>
  <si>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</si>
  <si>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</si>
  <si>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</si>
  <si>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</si>
  <si>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</si>
  <si>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</si>
  <si>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</si>
  <si>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</si>
  <si>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</si>
  <si>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</si>
  <si>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</si>
  <si>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</si>
  <si>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</si>
  <si>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</si>
  <si>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</si>
  <si>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</si>
  <si>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</si>
  <si>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</si>
  <si>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</si>
  <si>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</si>
  <si>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</si>
  <si>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</si>
  <si>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</si>
  <si>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</si>
  <si>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</si>
  <si>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</si>
  <si>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</si>
  <si>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</si>
  <si>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</si>
  <si>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</si>
  <si>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</si>
  <si>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</si>
  <si>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</si>
  <si>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</si>
  <si>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</si>
  <si>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</si>
  <si>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</si>
  <si>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</si>
  <si>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</si>
  <si>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</si>
  <si>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</si>
  <si>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</si>
  <si>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</si>
  <si>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</si>
  <si>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</si>
  <si>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</si>
  <si>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</si>
  <si>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</si>
  <si>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</si>
  <si>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</si>
  <si>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</si>
  <si>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</si>
  <si>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</si>
  <si>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</si>
  <si>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</si>
  <si>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</si>
  <si>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</si>
  <si>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</si>
  <si>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</si>
  <si>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</si>
  <si>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</si>
  <si>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</si>
  <si>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</si>
  <si>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</si>
  <si>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</si>
  <si>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</si>
  <si>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</si>
  <si>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</si>
  <si>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</si>
  <si>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</si>
  <si>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</si>
  <si>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</si>
  <si>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</si>
  <si>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</si>
  <si>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</si>
  <si>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</si>
  <si>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CG00073</t>
  </si>
  <si>
    <t>P. XNK - Mỹ Đoàn (các lô) 0913288269</t>
  </si>
  <si>
    <t>0500414591</t>
  </si>
  <si>
    <t>Mỹ Đoàn, Hà Nội</t>
  </si>
  <si>
    <t>Cont</t>
  </si>
  <si>
    <t>LH</t>
  </si>
  <si>
    <t>MEDU2538045</t>
  </si>
  <si>
    <t>TP.BG.DKG</t>
  </si>
  <si>
    <t>DKG&lt;-&gt;TP. Bắc Giang</t>
  </si>
  <si>
    <t>15C-13368</t>
  </si>
  <si>
    <t/>
  </si>
  <si>
    <t xml:space="preserve">06x20' </t>
  </si>
  <si>
    <t>RLL</t>
  </si>
  <si>
    <t>Mỹ Đoàn</t>
  </si>
  <si>
    <t xml:space="preserve">TDG xe </t>
  </si>
  <si>
    <t>MEDU2528793</t>
  </si>
  <si>
    <t>TTI.HN.DKG</t>
  </si>
  <si>
    <t>DKG&lt;-&gt;Thường Tín, Hà Nội</t>
  </si>
  <si>
    <t>15C-13568</t>
  </si>
  <si>
    <t xml:space="preserve">08x20' </t>
  </si>
  <si>
    <t>TGBU2644815</t>
  </si>
  <si>
    <t>15C-03426</t>
  </si>
  <si>
    <t>CG00254</t>
  </si>
  <si>
    <t>Công ty CP Phú Lân (PXHN) 0963336999</t>
  </si>
  <si>
    <t>0104473265</t>
  </si>
  <si>
    <t>Thôn Văn Hội, Xã Đại Thắng, Huyện Phú Xuyên, Thành phố Hà Nội</t>
  </si>
  <si>
    <t>HS</t>
  </si>
  <si>
    <t>TP.ND.DKG</t>
  </si>
  <si>
    <t>DKG&lt;-&gt;TP. Nam Định, Nam Định</t>
  </si>
  <si>
    <t>15C-13840</t>
  </si>
  <si>
    <t>HS05</t>
  </si>
  <si>
    <t>Chính</t>
  </si>
  <si>
    <t>Gỗ sến tròn (Phú Lân)</t>
  </si>
  <si>
    <t>CGL</t>
  </si>
  <si>
    <t>CG00378</t>
  </si>
  <si>
    <t>Đoàn (CLND) 0975552099</t>
  </si>
  <si>
    <t>Cổ Lễ, Nam Định</t>
  </si>
  <si>
    <t>NT.ND.DKG</t>
  </si>
  <si>
    <t>DKG&lt;-&gt;Nam Trực, Nam Định</t>
  </si>
  <si>
    <t>15C-13616</t>
  </si>
  <si>
    <t>Gỗ lim tròn (Đại Lợi)</t>
  </si>
  <si>
    <t>CGN</t>
  </si>
  <si>
    <t>15C-12832</t>
  </si>
  <si>
    <t>CG00087</t>
  </si>
  <si>
    <t>Vụ (HDHN) 0984092268</t>
  </si>
  <si>
    <t>Hà Đông, Hà Nội</t>
  </si>
  <si>
    <t>HD.HN.DKG</t>
  </si>
  <si>
    <t>15C-13969</t>
  </si>
  <si>
    <t>Gỗ lim tròn (Lesson)</t>
  </si>
  <si>
    <t>15C-13958</t>
  </si>
  <si>
    <t>CG00453</t>
  </si>
  <si>
    <t>Nguyễn Bá Tuyến (HDHN) 0969618689</t>
  </si>
  <si>
    <t>Gỗ sến tròn (Mỹ Đoàn)</t>
  </si>
  <si>
    <t>ghép</t>
  </si>
  <si>
    <t>CG00102</t>
  </si>
  <si>
    <t>Công ty TNHH Hoàng Anh Tiến (TPTH) Tiến 0977999000</t>
  </si>
  <si>
    <t>2802051531</t>
  </si>
  <si>
    <t>Hoằng Cát, Hoằng Hoá, Thanh Hoá</t>
  </si>
  <si>
    <t>HH.TH.DKG</t>
  </si>
  <si>
    <t>DKG&lt;-&gt;Hoằng Hóa, Thanh Hoá</t>
  </si>
  <si>
    <t>15C-15237</t>
  </si>
  <si>
    <t>Gỗ Ekop tròn (Mỹ Đoàn)</t>
  </si>
  <si>
    <t>CG00055</t>
  </si>
  <si>
    <t>Công ty TNHH Thương mại Đại Lợi (YMHY) 0984883883</t>
  </si>
  <si>
    <t>0900220978</t>
  </si>
  <si>
    <t>Quảng Uyên, xã Minh Châu, huyện Yên Mỹ, tỉnh Hưng Yên</t>
  </si>
  <si>
    <t>KS.NB.DKG</t>
  </si>
  <si>
    <t>15C-13036</t>
  </si>
  <si>
    <t>Gỗ lim xẻ (Đại Lợi)</t>
  </si>
  <si>
    <t>CG00454</t>
  </si>
  <si>
    <t>Hòa (BGHD) 0866561655</t>
  </si>
  <si>
    <t>Bình Giang, Hải Dương</t>
  </si>
  <si>
    <t>BG.HD.DKG</t>
  </si>
  <si>
    <t>DKG&lt;-&gt;Bình Giang, Hải Dương</t>
  </si>
  <si>
    <t>15C-11856</t>
  </si>
  <si>
    <t>Gỗ Azobe tròn (Mỹ Đoàn)</t>
  </si>
  <si>
    <t>CG00013</t>
  </si>
  <si>
    <t>Công ty TNHH Sản xuất và Thương mại Đức Tín (HDHN) 0913010067</t>
  </si>
  <si>
    <t>0500556797</t>
  </si>
  <si>
    <t>Tổ dân phố Trung Bình, Phường Dương Nội, Quận Hà Đông, Hà Nội</t>
  </si>
  <si>
    <t>HH.ND.DKG</t>
  </si>
  <si>
    <t>DKG&lt;-&gt;Hải Hậu, Nam Định</t>
  </si>
  <si>
    <t>15C-11486</t>
  </si>
  <si>
    <t>Gỗ Padouk tròn (Phú Lân)</t>
  </si>
  <si>
    <t>15C-10812</t>
  </si>
  <si>
    <t>15C-01889</t>
  </si>
  <si>
    <t>CG00287</t>
  </si>
  <si>
    <t>Nguyễn Việt Hân (HVHHND) 162880908 0985579389</t>
  </si>
  <si>
    <t>Hải Vân, Hải Hậu, Nam Định</t>
  </si>
  <si>
    <t>15C-03470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</si>
  <si>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</si>
  <si>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</si>
  <si>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</si>
  <si>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</si>
  <si>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</si>
  <si>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DKG&lt;-&gt;Bãi Namtraco</t>
  </si>
  <si>
    <t>HS03</t>
  </si>
  <si>
    <t>Gỗ xẻ (Trí Dũng)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</si>
</sst>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2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3" fontId="5" fillId="2" borderId="13" xfId="0" applyNumberFormat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7" xfId="2" xr:uid="{A8CE8FAB-8B9C-40E7-B442-7D23D20D8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E5FA4C-4C97-4FCA-89AA-7AA210A6F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CDB469E-59F3-46FB-AB02-C8D843BEE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1E47356-0912-405E-97B8-5C8EBEAF5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B3DF856-4AF0-408D-911E-3FBD4CAB9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E47A4A1-1B49-47A8-A2BC-A47A97D66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8.07.24..xlsm" TargetMode="External"/><Relationship Id="rId1" Type="http://schemas.openxmlformats.org/officeDocument/2006/relationships/externalLinkPath" Target="/Dropbox/1.%20Tien_duong_tu_13.08.2021/KH18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8FF4-D5FA-4402-BA0E-46A0BE35FCD2}">
  <sheetPr codeName="Sheet16">
    <tabColor rgb="FF00B0F0"/>
  </sheetPr>
  <dimension ref="A1:BZ29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45491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SUBTOTAL(9,U11:U111230)</f>
        <v>115</v>
      </c>
      <c r="V9" s="86">
        <f>SUBTOTAL(9,V11:V111230)</f>
        <v>402.1</v>
      </c>
      <c r="W9" s="85"/>
      <c r="X9" s="87">
        <f>SUBTOTAL(9,X11:X111230)</f>
        <v>174096040</v>
      </c>
      <c r="Y9" s="82"/>
      <c r="Z9" s="82"/>
      <c r="AA9" s="82"/>
      <c r="AB9" s="85">
        <f>SUBTOTAL(9,AB11:AB111230)</f>
        <v>34500000</v>
      </c>
      <c r="AC9" s="88"/>
      <c r="AD9" s="75"/>
      <c r="AE9" s="75"/>
      <c r="AF9" s="75"/>
      <c r="AG9" s="82"/>
      <c r="AH9" s="82"/>
      <c r="AI9" s="86">
        <f>SUBTOTAL(9,AI11:AI111221)</f>
        <v>402.1</v>
      </c>
      <c r="AJ9" s="85"/>
      <c r="AK9" s="85">
        <f>SUBTOTAL(9,AK11:AK111221)</f>
        <v>174096040</v>
      </c>
      <c r="AL9" s="85"/>
      <c r="AM9" s="85">
        <f>SUBTOTAL(9,AM11:AM111230)</f>
        <v>34500000</v>
      </c>
      <c r="AN9" s="85">
        <f>SUBTOTAL(9,AN11:AN111230)</f>
        <v>33300000</v>
      </c>
      <c r="AO9" s="85">
        <f>SUBTOTAL(9,AO11:AO111230)</f>
        <v>1200000</v>
      </c>
      <c r="AP9" s="82"/>
      <c r="AQ9" s="86">
        <f>SUBTOTAL(9,AQ11:AQ111221)</f>
        <v>382.1450000000001</v>
      </c>
      <c r="AR9" s="86"/>
      <c r="AS9" s="85"/>
      <c r="AT9" s="85">
        <f>SUBTOTAL(9,AT11:AT111221)</f>
        <v>133127563</v>
      </c>
      <c r="AU9" s="85">
        <f>SUBTOTAL(9,AU11:AU111221)</f>
        <v>40968477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45491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115</v>
      </c>
      <c r="J11" s="97" t="s">
        <v>116</v>
      </c>
      <c r="K11" s="101" t="s">
        <v>117</v>
      </c>
      <c r="L11" s="102" t="s">
        <v>118</v>
      </c>
      <c r="M11" s="103" t="str">
        <f t="shared" ref="M11:M29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119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Vũ Đức Chiến</v>
      </c>
      <c r="P11" s="103" t="str">
        <f t="shared" ref="P11:P29" si="1">RIGHT(H11,2)</f>
        <v>nt</v>
      </c>
      <c r="Q11" s="106" t="str">
        <f t="shared" ref="Q11:Q29" si="2">IF(P11="TC",189,P11)</f>
        <v>nt</v>
      </c>
      <c r="R11" s="103">
        <v>0</v>
      </c>
      <c r="S11" s="103" t="s">
        <v>120</v>
      </c>
      <c r="T11" s="107" t="s">
        <v>121</v>
      </c>
      <c r="U11" s="108"/>
      <c r="V11" s="109">
        <v>1</v>
      </c>
      <c r="W11" s="110">
        <v>5800000</v>
      </c>
      <c r="X11" s="111">
        <f t="shared" ref="X11:X29" si="3">V11*W11</f>
        <v>5800000</v>
      </c>
      <c r="Y11" s="106" t="s">
        <v>122</v>
      </c>
      <c r="Z11" s="106" t="str">
        <f t="shared" ref="Z11:Z29" si="4">IF(Y11="RLL","OK/NO",0)</f>
        <v>OK/NO</v>
      </c>
      <c r="AA11" s="106" t="str">
        <f>LEFT(L11,3)</f>
        <v>DKG</v>
      </c>
      <c r="AB11" s="112">
        <v>1250000</v>
      </c>
      <c r="AC11" s="105" t="s">
        <v>123</v>
      </c>
      <c r="AD11" s="113">
        <f t="shared" ref="AD11:AD29" si="5">A11</f>
        <v>1</v>
      </c>
      <c r="AE11" s="113" t="str">
        <f t="shared" ref="AE11:AE29" si="6">H11</f>
        <v>Cont</v>
      </c>
      <c r="AF11" s="114" t="str">
        <f t="shared" ref="AF11:AF29" si="7">L11</f>
        <v>DKG&lt;-&gt;TP. Bắc Giang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29" si="8">N11</f>
        <v>15C-13368</v>
      </c>
      <c r="AI11" s="109">
        <f t="shared" ref="AI11:AK26" si="9">V11</f>
        <v>1</v>
      </c>
      <c r="AJ11" s="112">
        <f t="shared" si="9"/>
        <v>5800000</v>
      </c>
      <c r="AK11" s="112">
        <f t="shared" si="9"/>
        <v>5800000</v>
      </c>
      <c r="AL11" s="106" t="str">
        <f t="shared" ref="AL11:AM26" si="10">AA11</f>
        <v>DKG</v>
      </c>
      <c r="AM11" s="112">
        <f t="shared" si="10"/>
        <v>1250000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1250000</v>
      </c>
      <c r="AO11" s="112">
        <f t="shared" ref="AO11:AO29" si="11">AM11-AN11</f>
        <v>0</v>
      </c>
      <c r="AP11" s="105"/>
      <c r="AQ11" s="109">
        <f t="shared" ref="AQ11:AQ29" si="12">IF(V11&lt;=1,V11,AI11*95%)</f>
        <v>1</v>
      </c>
      <c r="AR11" s="109"/>
      <c r="AS11" s="112">
        <v>5350000</v>
      </c>
      <c r="AT11" s="112">
        <f t="shared" ref="AT11:AT29" si="13">AQ11*AS11</f>
        <v>5350000</v>
      </c>
      <c r="AU11" s="112">
        <f t="shared" ref="AU11:AU29" si="14">AK11-AT11</f>
        <v>450000</v>
      </c>
      <c r="AV11" s="105" t="str">
        <f t="shared" ref="AV11:AV29" si="15">AC11</f>
        <v>Mỹ Đoàn</v>
      </c>
      <c r="AW11" s="115">
        <f t="shared" ref="AW11:AW29" si="16">IF(AI11-AQ11=0,AQ11,IF(AI11-AQ11&gt;0,AI11-AQ11))</f>
        <v>1</v>
      </c>
      <c r="AX11" s="115"/>
      <c r="AY11" s="116">
        <f t="shared" ref="AY11:AY29" si="17">(AK11-AT11)/AW11</f>
        <v>450000</v>
      </c>
      <c r="AZ11" s="116">
        <f t="shared" ref="AZ11:AZ29" si="18">AW11*AY11</f>
        <v>450000</v>
      </c>
      <c r="BA11" s="116">
        <f t="shared" ref="BA11:BA29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512135</v>
      </c>
      <c r="BC11" s="117">
        <f t="shared" ref="BC11:BC29" si="20">IF(AA11="DKG",511301,IF(AA11="THG",511302,0))</f>
        <v>511301</v>
      </c>
      <c r="BD11" s="117">
        <f t="shared" ref="BD11:BD29" si="21">IF(AA11="DKG",5123,IF(AA11="THG",522,0))</f>
        <v>5123</v>
      </c>
      <c r="BE11" s="117">
        <f t="shared" ref="BE11:BE29" si="22">IF(AP11="Phú","NV018",IF(AP11="Giang","NV006",IF(AP11="Quang","NV024",IF(AP11="Kỳ","NV222",0))))</f>
        <v>0</v>
      </c>
      <c r="BF11" s="117">
        <f t="shared" ref="BF11:BF29" si="23">IF(AG11="CX001",0,331)</f>
        <v>0</v>
      </c>
      <c r="BG11" s="117">
        <f t="shared" ref="BG11:BG29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6121135</v>
      </c>
      <c r="BI11" s="73" t="s">
        <v>124</v>
      </c>
      <c r="BJ11" s="73" t="str">
        <f t="shared" ref="BJ11:BJ29" si="25">CONCATENATE(BI11,N11)</f>
        <v>TDG xe 15C-13368</v>
      </c>
      <c r="BK11" s="118" t="str">
        <f t="shared" ref="BK11:BK29" si="26">IF(AA11="THG","T",IF(AA11="DKG","G",0))</f>
        <v>G</v>
      </c>
      <c r="BL11" s="74" t="str">
        <f ca="1">IF(Y11="CGN",TODAY(),"")</f>
        <v/>
      </c>
      <c r="BM11" s="8" t="str">
        <f t="shared" ref="BM11" si="27">+C11</f>
        <v>CG00073</v>
      </c>
      <c r="BN11" s="8" t="str">
        <f>I11</f>
        <v>LH</v>
      </c>
      <c r="BO11" s="8" t="str">
        <f t="shared" ref="BO11:BP11" si="28">+C11</f>
        <v>CG00073</v>
      </c>
      <c r="BP11" s="8" t="str">
        <f t="shared" si="28"/>
        <v>P. XNK - Mỹ Đoàn (các lô) 0913288269</v>
      </c>
      <c r="BQ11" s="8" t="str">
        <f t="shared" ref="BQ11" si="29">+L11</f>
        <v>DKG&lt;-&gt;TP. Bắc Giang</v>
      </c>
      <c r="BS11" s="116">
        <f t="shared" ref="BS11" si="30">+W11</f>
        <v>5800000</v>
      </c>
      <c r="BT11" s="119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5300000</v>
      </c>
      <c r="BU11" s="119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4950000</v>
      </c>
      <c r="BV11" s="8">
        <f>IF(BS11-BT11=500000,BU11+400000,IF(BT11=BS11,BU11,"saiiiiiiiiiiiiiiiii"))</f>
        <v>5350000</v>
      </c>
      <c r="BX11" s="120">
        <f>VLOOKUP(BQ11,[2]gia3!$D$7:$W$256,19,0)</f>
        <v>0</v>
      </c>
      <c r="BY11" s="95">
        <f t="shared" ref="BY11:BY29" si="31">IF(BN11="","",IF(BN11="LH",BX11+300000,BX11))</f>
        <v>300000</v>
      </c>
      <c r="BZ11" s="96">
        <f t="shared" ref="BZ11:BZ29" si="32">+BY11-AS11</f>
        <v>-5050000</v>
      </c>
    </row>
    <row r="12" spans="1:78" s="8" customFormat="1" ht="20.100000000000001" customHeight="1" x14ac:dyDescent="0.3">
      <c r="A12" s="97">
        <f>MAX($A$11:A11)+1</f>
        <v>2</v>
      </c>
      <c r="B12" s="98">
        <v>45491</v>
      </c>
      <c r="C12" s="97" t="s">
        <v>110</v>
      </c>
      <c r="D12" s="99" t="s">
        <v>111</v>
      </c>
      <c r="E12" s="100" t="s">
        <v>112</v>
      </c>
      <c r="F12" s="99" t="s">
        <v>113</v>
      </c>
      <c r="G12" s="99"/>
      <c r="H12" s="97" t="s">
        <v>114</v>
      </c>
      <c r="I12" s="97" t="s">
        <v>115</v>
      </c>
      <c r="J12" s="97" t="s">
        <v>125</v>
      </c>
      <c r="K12" s="101" t="s">
        <v>126</v>
      </c>
      <c r="L12" s="102" t="s">
        <v>127</v>
      </c>
      <c r="M12" s="103" t="str">
        <f t="shared" si="0"/>
        <v>Hoàng Sơn</v>
      </c>
      <c r="N12" s="104" t="s">
        <v>128</v>
      </c>
      <c r="O12" s="105" t="str">
        <f t="shared" ref="O12:O29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Trần Quốc Đại</v>
      </c>
      <c r="P12" s="103" t="str">
        <f t="shared" si="1"/>
        <v>nt</v>
      </c>
      <c r="Q12" s="106" t="str">
        <f t="shared" si="2"/>
        <v>nt</v>
      </c>
      <c r="R12" s="103">
        <v>0</v>
      </c>
      <c r="S12" s="103" t="s">
        <v>120</v>
      </c>
      <c r="T12" s="107" t="s">
        <v>129</v>
      </c>
      <c r="U12" s="108"/>
      <c r="V12" s="109">
        <v>1</v>
      </c>
      <c r="W12" s="110">
        <v>5900000</v>
      </c>
      <c r="X12" s="111">
        <f t="shared" si="3"/>
        <v>5900000</v>
      </c>
      <c r="Y12" s="106" t="s">
        <v>122</v>
      </c>
      <c r="Z12" s="106" t="str">
        <f t="shared" si="4"/>
        <v>OK/NO</v>
      </c>
      <c r="AA12" s="106" t="str">
        <f t="shared" ref="AA12:AA29" si="34">LEFT(L12,3)</f>
        <v>DKG</v>
      </c>
      <c r="AB12" s="112">
        <v>1200000</v>
      </c>
      <c r="AC12" s="105" t="s">
        <v>123</v>
      </c>
      <c r="AD12" s="113">
        <f t="shared" si="5"/>
        <v>2</v>
      </c>
      <c r="AE12" s="113" t="str">
        <f t="shared" si="6"/>
        <v>Cont</v>
      </c>
      <c r="AF12" s="114" t="str">
        <f t="shared" si="7"/>
        <v>DKG&lt;-&gt;Thường Tín, Hà Nội</v>
      </c>
      <c r="AG12" s="106" t="str">
        <f t="shared" ref="AG12:AG29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15C-13568</v>
      </c>
      <c r="AI12" s="109">
        <f t="shared" si="9"/>
        <v>1</v>
      </c>
      <c r="AJ12" s="112">
        <f t="shared" si="9"/>
        <v>5900000</v>
      </c>
      <c r="AK12" s="112">
        <f t="shared" si="9"/>
        <v>5900000</v>
      </c>
      <c r="AL12" s="106" t="str">
        <f t="shared" si="10"/>
        <v>DKG</v>
      </c>
      <c r="AM12" s="112">
        <f t="shared" si="10"/>
        <v>1200000</v>
      </c>
      <c r="AN12" s="112">
        <f t="shared" ref="AN12:AN29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1200000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v>5100000</v>
      </c>
      <c r="AT12" s="112">
        <f t="shared" si="13"/>
        <v>5100000</v>
      </c>
      <c r="AU12" s="112">
        <f t="shared" si="14"/>
        <v>800000</v>
      </c>
      <c r="AV12" s="105" t="str">
        <f t="shared" si="15"/>
        <v>Mỹ Đoàn</v>
      </c>
      <c r="AW12" s="115">
        <f t="shared" si="16"/>
        <v>1</v>
      </c>
      <c r="AX12" s="115"/>
      <c r="AY12" s="116">
        <f t="shared" si="17"/>
        <v>800000</v>
      </c>
      <c r="AZ12" s="116">
        <f t="shared" si="18"/>
        <v>800000</v>
      </c>
      <c r="BA12" s="116">
        <f t="shared" si="19"/>
        <v>0</v>
      </c>
      <c r="BB12" s="117">
        <f t="shared" ref="BB12:BB29" si="37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512136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29" si="38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6121136</v>
      </c>
      <c r="BI12" s="73" t="s">
        <v>124</v>
      </c>
      <c r="BJ12" s="73" t="str">
        <f t="shared" si="25"/>
        <v>TDG xe 15C-13568</v>
      </c>
      <c r="BK12" s="118" t="str">
        <f t="shared" si="26"/>
        <v>G</v>
      </c>
      <c r="BL12" s="74" t="str">
        <f t="shared" ref="BL12:BL29" ca="1" si="39">IF(Y12="CGN",TODAY(),"")</f>
        <v/>
      </c>
      <c r="BM12" s="8" t="str">
        <f>+C12</f>
        <v>CG00073</v>
      </c>
      <c r="BN12" s="8" t="str">
        <f t="shared" ref="BN12:BN29" si="40">I12</f>
        <v>LH</v>
      </c>
      <c r="BO12" s="8" t="str">
        <f>+C12</f>
        <v>CG00073</v>
      </c>
      <c r="BP12" s="8" t="str">
        <f>+D12</f>
        <v>P. XNK - Mỹ Đoàn (các lô) 0913288269</v>
      </c>
      <c r="BQ12" s="8" t="str">
        <f>+L12</f>
        <v>DKG&lt;-&gt;Thường Tín, Hà Nội</v>
      </c>
      <c r="BS12" s="116">
        <f>+W12</f>
        <v>5900000</v>
      </c>
      <c r="BT12" s="119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5400000</v>
      </c>
      <c r="BU12" s="119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4700000</v>
      </c>
      <c r="BV12" s="8">
        <f t="shared" ref="BV12:BV29" si="41">IF(BS12-BT12=500000,BU12+400000,IF(BT12=BS12,BU12,"saiiiiiiiiiiiiiiiii"))</f>
        <v>5100000</v>
      </c>
      <c r="BW12" s="8" t="str">
        <f>I12</f>
        <v>LH</v>
      </c>
      <c r="BX12" s="120">
        <f>VLOOKUP(BQ12,[2]gia3!$D$7:$W$256,19,0)</f>
        <v>4600000</v>
      </c>
      <c r="BY12" s="95">
        <f t="shared" si="31"/>
        <v>4900000</v>
      </c>
      <c r="BZ12" s="96">
        <f t="shared" si="32"/>
        <v>-200000</v>
      </c>
    </row>
    <row r="13" spans="1:78" s="8" customFormat="1" ht="20.100000000000001" customHeight="1" x14ac:dyDescent="0.3">
      <c r="A13" s="97">
        <f>MAX($A$11:A12)+1</f>
        <v>3</v>
      </c>
      <c r="B13" s="98">
        <v>45491</v>
      </c>
      <c r="C13" s="97" t="s">
        <v>110</v>
      </c>
      <c r="D13" s="99" t="s">
        <v>111</v>
      </c>
      <c r="E13" s="100" t="s">
        <v>112</v>
      </c>
      <c r="F13" s="99" t="s">
        <v>113</v>
      </c>
      <c r="G13" s="99"/>
      <c r="H13" s="97" t="s">
        <v>114</v>
      </c>
      <c r="I13" s="97" t="s">
        <v>115</v>
      </c>
      <c r="J13" s="97" t="s">
        <v>130</v>
      </c>
      <c r="K13" s="101" t="s">
        <v>126</v>
      </c>
      <c r="L13" s="102" t="s">
        <v>127</v>
      </c>
      <c r="M13" s="103" t="str">
        <f t="shared" si="0"/>
        <v>Hoàng Sơn</v>
      </c>
      <c r="N13" s="104" t="s">
        <v>131</v>
      </c>
      <c r="O13" s="105" t="str">
        <f t="shared" si="33"/>
        <v>Phạm Hoàng Quyết</v>
      </c>
      <c r="P13" s="103" t="str">
        <f t="shared" si="1"/>
        <v>nt</v>
      </c>
      <c r="Q13" s="106" t="str">
        <f t="shared" si="2"/>
        <v>nt</v>
      </c>
      <c r="R13" s="103">
        <v>0</v>
      </c>
      <c r="S13" s="103" t="s">
        <v>120</v>
      </c>
      <c r="T13" s="107" t="s">
        <v>129</v>
      </c>
      <c r="U13" s="108"/>
      <c r="V13" s="109">
        <v>1</v>
      </c>
      <c r="W13" s="110">
        <v>5900000</v>
      </c>
      <c r="X13" s="111">
        <f t="shared" si="3"/>
        <v>5900000</v>
      </c>
      <c r="Y13" s="106" t="s">
        <v>122</v>
      </c>
      <c r="Z13" s="106" t="str">
        <f t="shared" si="4"/>
        <v>OK/NO</v>
      </c>
      <c r="AA13" s="106" t="str">
        <f t="shared" si="34"/>
        <v>DKG</v>
      </c>
      <c r="AB13" s="112">
        <v>1200000</v>
      </c>
      <c r="AC13" s="105" t="s">
        <v>123</v>
      </c>
      <c r="AD13" s="113">
        <f t="shared" si="5"/>
        <v>3</v>
      </c>
      <c r="AE13" s="113" t="str">
        <f t="shared" si="6"/>
        <v>Cont</v>
      </c>
      <c r="AF13" s="114" t="str">
        <f t="shared" si="7"/>
        <v>DKG&lt;-&gt;Thường Tín, Hà Nội</v>
      </c>
      <c r="AG13" s="106" t="str">
        <f t="shared" si="35"/>
        <v>CX003</v>
      </c>
      <c r="AH13" s="106" t="str">
        <f t="shared" si="8"/>
        <v>15C-03426</v>
      </c>
      <c r="AI13" s="109">
        <f t="shared" si="9"/>
        <v>1</v>
      </c>
      <c r="AJ13" s="112">
        <f t="shared" si="9"/>
        <v>5900000</v>
      </c>
      <c r="AK13" s="112">
        <f t="shared" si="9"/>
        <v>5900000</v>
      </c>
      <c r="AL13" s="106" t="str">
        <f t="shared" si="10"/>
        <v>DKG</v>
      </c>
      <c r="AM13" s="112">
        <f t="shared" si="10"/>
        <v>1200000</v>
      </c>
      <c r="AN13" s="112">
        <f t="shared" si="36"/>
        <v>1200000</v>
      </c>
      <c r="AO13" s="112">
        <f t="shared" si="11"/>
        <v>0</v>
      </c>
      <c r="AP13" s="105"/>
      <c r="AQ13" s="109">
        <f t="shared" si="12"/>
        <v>1</v>
      </c>
      <c r="AR13" s="109"/>
      <c r="AS13" s="112">
        <v>5100000</v>
      </c>
      <c r="AT13" s="112">
        <f t="shared" si="13"/>
        <v>5100000</v>
      </c>
      <c r="AU13" s="112">
        <f t="shared" si="14"/>
        <v>800000</v>
      </c>
      <c r="AV13" s="105" t="str">
        <f t="shared" si="15"/>
        <v>Mỹ Đoàn</v>
      </c>
      <c r="AW13" s="115">
        <f t="shared" si="16"/>
        <v>1</v>
      </c>
      <c r="AX13" s="115"/>
      <c r="AY13" s="116">
        <f t="shared" si="17"/>
        <v>800000</v>
      </c>
      <c r="AZ13" s="116">
        <f t="shared" si="18"/>
        <v>800000</v>
      </c>
      <c r="BA13" s="116">
        <f t="shared" si="19"/>
        <v>0</v>
      </c>
      <c r="BB13" s="117">
        <f t="shared" si="37"/>
        <v>51225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331</v>
      </c>
      <c r="BG13" s="117">
        <f t="shared" si="24"/>
        <v>331</v>
      </c>
      <c r="BH13" s="118">
        <f t="shared" si="38"/>
        <v>0</v>
      </c>
      <c r="BI13" s="73" t="s">
        <v>124</v>
      </c>
      <c r="BJ13" s="73" t="str">
        <f t="shared" si="25"/>
        <v>TDG xe 15C-03426</v>
      </c>
      <c r="BK13" s="118" t="str">
        <f t="shared" si="26"/>
        <v>G</v>
      </c>
      <c r="BL13" s="74" t="str">
        <f t="shared" ca="1" si="39"/>
        <v/>
      </c>
      <c r="BM13" s="8" t="str">
        <f t="shared" ref="BM13:BM29" si="42">+C13</f>
        <v>CG00073</v>
      </c>
      <c r="BN13" s="8" t="str">
        <f t="shared" si="40"/>
        <v>LH</v>
      </c>
      <c r="BO13" s="8" t="str">
        <f t="shared" ref="BO13:BP29" si="43">+C13</f>
        <v>CG00073</v>
      </c>
      <c r="BP13" s="8" t="str">
        <f t="shared" si="43"/>
        <v>P. XNK - Mỹ Đoàn (các lô) 0913288269</v>
      </c>
      <c r="BQ13" s="8" t="str">
        <f t="shared" ref="BQ13:BQ29" si="44">+L13</f>
        <v>DKG&lt;-&gt;Thường Tín, Hà Nội</v>
      </c>
      <c r="BS13" s="116">
        <f t="shared" ref="BS13:BS29" si="45">+W13</f>
        <v>5900000</v>
      </c>
      <c r="BT13" s="119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5400000</v>
      </c>
      <c r="BU13" s="119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4700000</v>
      </c>
      <c r="BV13" s="8">
        <f t="shared" si="41"/>
        <v>5100000</v>
      </c>
      <c r="BX13" s="120">
        <f>VLOOKUP(BQ13,[2]gia3!$D$7:$W$256,19,0)</f>
        <v>4600000</v>
      </c>
      <c r="BY13" s="95">
        <f t="shared" si="31"/>
        <v>4900000</v>
      </c>
      <c r="BZ13" s="96">
        <f t="shared" si="32"/>
        <v>-200000</v>
      </c>
    </row>
    <row r="14" spans="1:78" s="8" customFormat="1" ht="20.100000000000001" customHeight="1" x14ac:dyDescent="0.3">
      <c r="A14" s="97">
        <f>MAX($A$11:A13)+1</f>
        <v>4</v>
      </c>
      <c r="B14" s="98">
        <v>45491</v>
      </c>
      <c r="C14" s="97" t="s">
        <v>132</v>
      </c>
      <c r="D14" s="99" t="s">
        <v>133</v>
      </c>
      <c r="E14" s="100" t="s">
        <v>134</v>
      </c>
      <c r="F14" s="99" t="s">
        <v>135</v>
      </c>
      <c r="G14" s="99"/>
      <c r="H14" s="97" t="s">
        <v>136</v>
      </c>
      <c r="I14" s="97" t="s">
        <v>120</v>
      </c>
      <c r="J14" s="97"/>
      <c r="K14" s="101" t="s">
        <v>137</v>
      </c>
      <c r="L14" s="102" t="s">
        <v>138</v>
      </c>
      <c r="M14" s="103" t="str">
        <f t="shared" si="0"/>
        <v>Hoàng Sơn</v>
      </c>
      <c r="N14" s="104" t="s">
        <v>139</v>
      </c>
      <c r="O14" s="105" t="str">
        <f t="shared" si="33"/>
        <v>Trương Văn Cao</v>
      </c>
      <c r="P14" s="103" t="str">
        <f t="shared" si="1"/>
        <v>HS</v>
      </c>
      <c r="Q14" s="106" t="str">
        <f t="shared" si="2"/>
        <v>HS</v>
      </c>
      <c r="R14" s="103" t="s">
        <v>140</v>
      </c>
      <c r="S14" s="103" t="s">
        <v>141</v>
      </c>
      <c r="T14" s="107" t="s">
        <v>142</v>
      </c>
      <c r="U14" s="108">
        <v>3</v>
      </c>
      <c r="V14" s="109">
        <v>28.323</v>
      </c>
      <c r="W14" s="110">
        <v>400000</v>
      </c>
      <c r="X14" s="111">
        <f t="shared" si="3"/>
        <v>11329200</v>
      </c>
      <c r="Y14" s="106" t="s">
        <v>143</v>
      </c>
      <c r="Z14" s="106">
        <f t="shared" si="4"/>
        <v>0</v>
      </c>
      <c r="AA14" s="106" t="str">
        <f t="shared" si="34"/>
        <v>DKG</v>
      </c>
      <c r="AB14" s="112">
        <v>2250000</v>
      </c>
      <c r="AC14" s="105" t="s">
        <v>120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DKG&lt;-&gt;TP. Nam Định, Nam Định</v>
      </c>
      <c r="AG14" s="106" t="str">
        <f t="shared" si="35"/>
        <v>CX001</v>
      </c>
      <c r="AH14" s="106" t="str">
        <f t="shared" si="8"/>
        <v>15C-13840</v>
      </c>
      <c r="AI14" s="109">
        <f t="shared" si="9"/>
        <v>28.323</v>
      </c>
      <c r="AJ14" s="112">
        <f t="shared" si="9"/>
        <v>400000</v>
      </c>
      <c r="AK14" s="112">
        <f t="shared" si="9"/>
        <v>11329200</v>
      </c>
      <c r="AL14" s="106" t="str">
        <f t="shared" si="10"/>
        <v>DKG</v>
      </c>
      <c r="AM14" s="112">
        <f t="shared" si="10"/>
        <v>2250000</v>
      </c>
      <c r="AN14" s="112">
        <f t="shared" si="36"/>
        <v>2150000</v>
      </c>
      <c r="AO14" s="112">
        <f t="shared" si="11"/>
        <v>100000</v>
      </c>
      <c r="AP14" s="105"/>
      <c r="AQ14" s="109">
        <f t="shared" si="12"/>
        <v>26.906849999999999</v>
      </c>
      <c r="AR14" s="109"/>
      <c r="AS14" s="112">
        <f t="shared" ref="AS14:AS29" si="46">IF(AND(AA14="DKG",H14="Cont",K14="VD.HN.DKG"),4000000/AQ14,IF(AND(AA14="DKG",A14&gt;=1,K14="CLH.HS"),700000,IF(AND(AA14="DKG",A14&gt;=1,K14="CDV.HS"),550000,IF(AND(AA14="DKG",A14&gt;=1,K14="HS.HA"),800000/AQ14,IF(AND(AA14="DKG",A14&gt;=1,K14="CHP.HS"),500000/AQ14,IF(AND(AA14="DKG",A14&gt;=1,K14="KH.DKG"),X14-1000000,IF(AA14="DKG",AJ14-65000,IF(AA14="THG",AJ14,0))))))))</f>
        <v>335000</v>
      </c>
      <c r="AT14" s="112">
        <f t="shared" si="13"/>
        <v>9013794.75</v>
      </c>
      <c r="AU14" s="112">
        <f t="shared" si="14"/>
        <v>2315405.25</v>
      </c>
      <c r="AV14" s="105" t="str">
        <f t="shared" si="15"/>
        <v/>
      </c>
      <c r="AW14" s="115">
        <f t="shared" si="16"/>
        <v>1.4161500000000018</v>
      </c>
      <c r="AX14" s="115"/>
      <c r="AY14" s="116">
        <f t="shared" si="17"/>
        <v>1634999.9999999979</v>
      </c>
      <c r="AZ14" s="116">
        <f t="shared" si="18"/>
        <v>2315405.25</v>
      </c>
      <c r="BA14" s="116">
        <f t="shared" si="19"/>
        <v>0</v>
      </c>
      <c r="BB14" s="117">
        <f t="shared" si="37"/>
        <v>512118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 t="shared" si="38"/>
        <v>6121118</v>
      </c>
      <c r="BI14" s="73" t="s">
        <v>124</v>
      </c>
      <c r="BJ14" s="73" t="str">
        <f t="shared" si="25"/>
        <v>TDG xe 15C-13840</v>
      </c>
      <c r="BK14" s="118" t="str">
        <f t="shared" si="26"/>
        <v>G</v>
      </c>
      <c r="BL14" s="74" t="str">
        <f t="shared" ca="1" si="39"/>
        <v/>
      </c>
      <c r="BM14" s="8" t="str">
        <f t="shared" si="42"/>
        <v>CG00254</v>
      </c>
      <c r="BN14" s="8" t="str">
        <f t="shared" si="40"/>
        <v/>
      </c>
      <c r="BO14" s="8" t="str">
        <f t="shared" si="43"/>
        <v>CG00254</v>
      </c>
      <c r="BP14" s="8" t="str">
        <f t="shared" si="43"/>
        <v>Công ty CP Phú Lân (PXHN) 0963336999</v>
      </c>
      <c r="BQ14" s="8" t="str">
        <f t="shared" si="44"/>
        <v>DKG&lt;-&gt;TP. Nam Định, Nam Định</v>
      </c>
      <c r="BS14" s="116">
        <f t="shared" si="45"/>
        <v>400000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1"/>
        <v>saiiiiiiiiiiiiiiiii</v>
      </c>
      <c r="BX14" s="120" t="e">
        <f>VLOOKUP(BQ14,[2]gia3!$D$7:$W$256,19,0)</f>
        <v>#N/A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45491</v>
      </c>
      <c r="C15" s="97" t="s">
        <v>144</v>
      </c>
      <c r="D15" s="99" t="s">
        <v>145</v>
      </c>
      <c r="E15" s="100" t="s">
        <v>120</v>
      </c>
      <c r="F15" s="99" t="s">
        <v>146</v>
      </c>
      <c r="G15" s="99"/>
      <c r="H15" s="97" t="s">
        <v>136</v>
      </c>
      <c r="I15" s="97" t="s">
        <v>120</v>
      </c>
      <c r="J15" s="97"/>
      <c r="K15" s="101" t="s">
        <v>147</v>
      </c>
      <c r="L15" s="102" t="s">
        <v>148</v>
      </c>
      <c r="M15" s="103" t="str">
        <f t="shared" si="0"/>
        <v>Hoàng Sơn</v>
      </c>
      <c r="N15" s="104" t="s">
        <v>149</v>
      </c>
      <c r="O15" s="105" t="str">
        <f t="shared" si="33"/>
        <v>Đặng Thanh Sơn</v>
      </c>
      <c r="P15" s="103" t="str">
        <f t="shared" si="1"/>
        <v>HS</v>
      </c>
      <c r="Q15" s="106" t="str">
        <f t="shared" si="2"/>
        <v>HS</v>
      </c>
      <c r="R15" s="103" t="s">
        <v>140</v>
      </c>
      <c r="S15" s="103" t="s">
        <v>141</v>
      </c>
      <c r="T15" s="107" t="s">
        <v>150</v>
      </c>
      <c r="U15" s="108">
        <v>2</v>
      </c>
      <c r="V15" s="109">
        <v>23.399000000000001</v>
      </c>
      <c r="W15" s="110">
        <v>420000</v>
      </c>
      <c r="X15" s="111">
        <f t="shared" si="3"/>
        <v>9827580</v>
      </c>
      <c r="Y15" s="106" t="s">
        <v>151</v>
      </c>
      <c r="Z15" s="106">
        <f t="shared" si="4"/>
        <v>0</v>
      </c>
      <c r="AA15" s="106" t="str">
        <f t="shared" si="34"/>
        <v>DKG</v>
      </c>
      <c r="AB15" s="112">
        <v>2650000</v>
      </c>
      <c r="AC15" s="105" t="s">
        <v>120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DKG&lt;-&gt;Nam Trực, Nam Định</v>
      </c>
      <c r="AG15" s="106" t="str">
        <f t="shared" si="35"/>
        <v>CX001</v>
      </c>
      <c r="AH15" s="106" t="str">
        <f t="shared" si="8"/>
        <v>15C-13616</v>
      </c>
      <c r="AI15" s="109">
        <f t="shared" si="9"/>
        <v>23.399000000000001</v>
      </c>
      <c r="AJ15" s="112">
        <f t="shared" si="9"/>
        <v>420000</v>
      </c>
      <c r="AK15" s="112">
        <f t="shared" si="9"/>
        <v>9827580</v>
      </c>
      <c r="AL15" s="106" t="str">
        <f t="shared" si="10"/>
        <v>DKG</v>
      </c>
      <c r="AM15" s="112">
        <f t="shared" si="10"/>
        <v>2650000</v>
      </c>
      <c r="AN15" s="112">
        <f t="shared" si="36"/>
        <v>2550000</v>
      </c>
      <c r="AO15" s="112">
        <f t="shared" si="11"/>
        <v>100000</v>
      </c>
      <c r="AP15" s="105"/>
      <c r="AQ15" s="109">
        <f t="shared" si="12"/>
        <v>22.229050000000001</v>
      </c>
      <c r="AR15" s="109"/>
      <c r="AS15" s="112">
        <f t="shared" si="46"/>
        <v>355000</v>
      </c>
      <c r="AT15" s="112">
        <f t="shared" si="13"/>
        <v>7891312.75</v>
      </c>
      <c r="AU15" s="112">
        <f t="shared" si="14"/>
        <v>1936267.25</v>
      </c>
      <c r="AV15" s="105" t="str">
        <f t="shared" si="15"/>
        <v/>
      </c>
      <c r="AW15" s="115">
        <f t="shared" si="16"/>
        <v>1.16995</v>
      </c>
      <c r="AX15" s="115"/>
      <c r="AY15" s="116">
        <f t="shared" si="17"/>
        <v>1655000</v>
      </c>
      <c r="AZ15" s="116">
        <f t="shared" si="18"/>
        <v>1936267.25</v>
      </c>
      <c r="BA15" s="116">
        <f t="shared" si="19"/>
        <v>0</v>
      </c>
      <c r="BB15" s="117">
        <f t="shared" si="37"/>
        <v>512117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38"/>
        <v>6121117</v>
      </c>
      <c r="BI15" s="73" t="s">
        <v>124</v>
      </c>
      <c r="BJ15" s="73" t="str">
        <f t="shared" si="25"/>
        <v>TDG xe 15C-13616</v>
      </c>
      <c r="BK15" s="118" t="str">
        <f t="shared" si="26"/>
        <v>G</v>
      </c>
      <c r="BL15" s="74">
        <f t="shared" ca="1" si="39"/>
        <v>45492</v>
      </c>
      <c r="BM15" s="8" t="str">
        <f t="shared" si="42"/>
        <v>CG00378</v>
      </c>
      <c r="BN15" s="8" t="str">
        <f t="shared" si="40"/>
        <v/>
      </c>
      <c r="BO15" s="8" t="str">
        <f t="shared" si="43"/>
        <v>CG00378</v>
      </c>
      <c r="BP15" s="8" t="str">
        <f t="shared" si="43"/>
        <v>Đoàn (CLND) 0975552099</v>
      </c>
      <c r="BQ15" s="8" t="str">
        <f t="shared" si="44"/>
        <v>DKG&lt;-&gt;Nam Trực, Nam Định</v>
      </c>
      <c r="BS15" s="116">
        <f t="shared" si="45"/>
        <v>420000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1"/>
        <v>saiiiiiiiiiiiiiiiii</v>
      </c>
      <c r="BX15" s="120" t="e">
        <f>VLOOKUP(BQ15,[2]gia3!$D$7:$W$256,19,0)</f>
        <v>#N/A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>
        <f>MAX($A$11:A15)+1</f>
        <v>6</v>
      </c>
      <c r="B16" s="98">
        <v>45491</v>
      </c>
      <c r="C16" s="97" t="s">
        <v>144</v>
      </c>
      <c r="D16" s="99" t="s">
        <v>145</v>
      </c>
      <c r="E16" s="100" t="s">
        <v>120</v>
      </c>
      <c r="F16" s="99" t="s">
        <v>146</v>
      </c>
      <c r="G16" s="99"/>
      <c r="H16" s="97" t="s">
        <v>136</v>
      </c>
      <c r="I16" s="97" t="s">
        <v>120</v>
      </c>
      <c r="J16" s="97"/>
      <c r="K16" s="101" t="s">
        <v>147</v>
      </c>
      <c r="L16" s="102" t="s">
        <v>148</v>
      </c>
      <c r="M16" s="103" t="str">
        <f t="shared" si="0"/>
        <v>Hoàng Sơn</v>
      </c>
      <c r="N16" s="104" t="s">
        <v>152</v>
      </c>
      <c r="O16" s="105" t="str">
        <f t="shared" si="33"/>
        <v>Trần Văn Hiển</v>
      </c>
      <c r="P16" s="103" t="str">
        <f t="shared" si="1"/>
        <v>HS</v>
      </c>
      <c r="Q16" s="106" t="str">
        <f t="shared" si="2"/>
        <v>HS</v>
      </c>
      <c r="R16" s="103" t="s">
        <v>140</v>
      </c>
      <c r="S16" s="103" t="s">
        <v>141</v>
      </c>
      <c r="T16" s="107" t="s">
        <v>150</v>
      </c>
      <c r="U16" s="108">
        <v>2</v>
      </c>
      <c r="V16" s="109">
        <v>24.138000000000002</v>
      </c>
      <c r="W16" s="110">
        <v>420000</v>
      </c>
      <c r="X16" s="111">
        <f t="shared" si="3"/>
        <v>10137960</v>
      </c>
      <c r="Y16" s="106" t="s">
        <v>151</v>
      </c>
      <c r="Z16" s="106">
        <f t="shared" si="4"/>
        <v>0</v>
      </c>
      <c r="AA16" s="106" t="str">
        <f t="shared" si="34"/>
        <v>DKG</v>
      </c>
      <c r="AB16" s="112">
        <v>2650000</v>
      </c>
      <c r="AC16" s="105" t="s">
        <v>120</v>
      </c>
      <c r="AD16" s="113">
        <f t="shared" si="5"/>
        <v>6</v>
      </c>
      <c r="AE16" s="113" t="str">
        <f t="shared" si="6"/>
        <v>HS</v>
      </c>
      <c r="AF16" s="114" t="str">
        <f t="shared" si="7"/>
        <v>DKG&lt;-&gt;Nam Trực, Nam Định</v>
      </c>
      <c r="AG16" s="106" t="str">
        <f t="shared" si="35"/>
        <v>CX001</v>
      </c>
      <c r="AH16" s="106" t="str">
        <f t="shared" si="8"/>
        <v>15C-12832</v>
      </c>
      <c r="AI16" s="109">
        <f t="shared" si="9"/>
        <v>24.138000000000002</v>
      </c>
      <c r="AJ16" s="112">
        <f t="shared" si="9"/>
        <v>420000</v>
      </c>
      <c r="AK16" s="112">
        <f t="shared" si="9"/>
        <v>10137960</v>
      </c>
      <c r="AL16" s="106" t="str">
        <f t="shared" si="10"/>
        <v>DKG</v>
      </c>
      <c r="AM16" s="112">
        <f t="shared" si="10"/>
        <v>2650000</v>
      </c>
      <c r="AN16" s="112">
        <f t="shared" si="36"/>
        <v>2550000</v>
      </c>
      <c r="AO16" s="112">
        <f t="shared" si="11"/>
        <v>100000</v>
      </c>
      <c r="AP16" s="105"/>
      <c r="AQ16" s="109">
        <f t="shared" si="12"/>
        <v>22.931100000000001</v>
      </c>
      <c r="AR16" s="109"/>
      <c r="AS16" s="112">
        <f t="shared" si="46"/>
        <v>355000</v>
      </c>
      <c r="AT16" s="112">
        <f t="shared" si="13"/>
        <v>8140540.5</v>
      </c>
      <c r="AU16" s="112">
        <f t="shared" si="14"/>
        <v>1997419.5</v>
      </c>
      <c r="AV16" s="105" t="str">
        <f t="shared" si="15"/>
        <v/>
      </c>
      <c r="AW16" s="115">
        <f t="shared" si="16"/>
        <v>1.206900000000001</v>
      </c>
      <c r="AX16" s="115"/>
      <c r="AY16" s="116">
        <f t="shared" si="17"/>
        <v>1654999.9999999986</v>
      </c>
      <c r="AZ16" s="116">
        <f t="shared" si="18"/>
        <v>1997419.5</v>
      </c>
      <c r="BA16" s="116">
        <f t="shared" si="19"/>
        <v>0</v>
      </c>
      <c r="BB16" s="117">
        <f t="shared" si="37"/>
        <v>512114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38"/>
        <v>6121114</v>
      </c>
      <c r="BI16" s="73" t="s">
        <v>124</v>
      </c>
      <c r="BJ16" s="73" t="str">
        <f t="shared" si="25"/>
        <v>TDG xe 15C-12832</v>
      </c>
      <c r="BK16" s="118" t="str">
        <f t="shared" si="26"/>
        <v>G</v>
      </c>
      <c r="BL16" s="74">
        <f t="shared" ca="1" si="39"/>
        <v>45492</v>
      </c>
      <c r="BM16" s="8" t="str">
        <f t="shared" si="42"/>
        <v>CG00378</v>
      </c>
      <c r="BN16" s="8" t="str">
        <f t="shared" si="40"/>
        <v/>
      </c>
      <c r="BO16" s="8" t="str">
        <f t="shared" si="43"/>
        <v>CG00378</v>
      </c>
      <c r="BP16" s="8" t="str">
        <f t="shared" si="43"/>
        <v>Đoàn (CLND) 0975552099</v>
      </c>
      <c r="BQ16" s="8" t="str">
        <f t="shared" si="44"/>
        <v>DKG&lt;-&gt;Nam Trực, Nam Định</v>
      </c>
      <c r="BS16" s="116">
        <f t="shared" si="45"/>
        <v>420000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1"/>
        <v>saiiiiiiiiiiiiiiiii</v>
      </c>
      <c r="BX16" s="120" t="e">
        <f>VLOOKUP(BQ16,[2]gia3!$D$7:$W$256,19,0)</f>
        <v>#N/A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7</v>
      </c>
      <c r="B17" s="98">
        <v>45491</v>
      </c>
      <c r="C17" s="97" t="s">
        <v>153</v>
      </c>
      <c r="D17" s="99" t="s">
        <v>154</v>
      </c>
      <c r="E17" s="100" t="s">
        <v>120</v>
      </c>
      <c r="F17" s="99" t="s">
        <v>155</v>
      </c>
      <c r="G17" s="99"/>
      <c r="H17" s="97" t="s">
        <v>136</v>
      </c>
      <c r="I17" s="97" t="s">
        <v>120</v>
      </c>
      <c r="J17" s="97"/>
      <c r="K17" s="101" t="s">
        <v>156</v>
      </c>
      <c r="L17" s="102" t="s">
        <v>4</v>
      </c>
      <c r="M17" s="103" t="str">
        <f t="shared" si="0"/>
        <v>Hoàng Sơn</v>
      </c>
      <c r="N17" s="104" t="s">
        <v>157</v>
      </c>
      <c r="O17" s="105" t="str">
        <f t="shared" si="33"/>
        <v>Lê Anh Tân</v>
      </c>
      <c r="P17" s="103" t="str">
        <f t="shared" si="1"/>
        <v>HS</v>
      </c>
      <c r="Q17" s="106" t="str">
        <f t="shared" si="2"/>
        <v>HS</v>
      </c>
      <c r="R17" s="103" t="s">
        <v>140</v>
      </c>
      <c r="S17" s="103" t="s">
        <v>141</v>
      </c>
      <c r="T17" s="107" t="s">
        <v>158</v>
      </c>
      <c r="U17" s="108">
        <v>5</v>
      </c>
      <c r="V17" s="109">
        <v>21.25</v>
      </c>
      <c r="W17" s="110">
        <v>400000</v>
      </c>
      <c r="X17" s="111">
        <f t="shared" si="3"/>
        <v>8500000</v>
      </c>
      <c r="Y17" s="106" t="s">
        <v>151</v>
      </c>
      <c r="Z17" s="106">
        <f t="shared" si="4"/>
        <v>0</v>
      </c>
      <c r="AA17" s="106" t="str">
        <f t="shared" si="34"/>
        <v>DKG</v>
      </c>
      <c r="AB17" s="112">
        <v>2100000</v>
      </c>
      <c r="AC17" s="105" t="s">
        <v>120</v>
      </c>
      <c r="AD17" s="113">
        <f t="shared" si="5"/>
        <v>7</v>
      </c>
      <c r="AE17" s="113" t="str">
        <f t="shared" si="6"/>
        <v>HS</v>
      </c>
      <c r="AF17" s="114" t="str">
        <f t="shared" si="7"/>
        <v>DKG&lt;-&gt;Hà Đông, Hà Nội</v>
      </c>
      <c r="AG17" s="106" t="str">
        <f t="shared" si="35"/>
        <v>CX001</v>
      </c>
      <c r="AH17" s="106" t="str">
        <f t="shared" si="8"/>
        <v>15C-13969</v>
      </c>
      <c r="AI17" s="109">
        <f t="shared" si="9"/>
        <v>21.25</v>
      </c>
      <c r="AJ17" s="112">
        <f t="shared" si="9"/>
        <v>400000</v>
      </c>
      <c r="AK17" s="112">
        <f t="shared" si="9"/>
        <v>8500000</v>
      </c>
      <c r="AL17" s="106" t="str">
        <f t="shared" si="10"/>
        <v>DKG</v>
      </c>
      <c r="AM17" s="112">
        <f t="shared" si="10"/>
        <v>2100000</v>
      </c>
      <c r="AN17" s="112">
        <f t="shared" si="36"/>
        <v>2000000</v>
      </c>
      <c r="AO17" s="112">
        <f t="shared" si="11"/>
        <v>100000</v>
      </c>
      <c r="AP17" s="105"/>
      <c r="AQ17" s="109">
        <f t="shared" si="12"/>
        <v>20.1875</v>
      </c>
      <c r="AR17" s="109"/>
      <c r="AS17" s="112">
        <f t="shared" si="46"/>
        <v>335000</v>
      </c>
      <c r="AT17" s="112">
        <f t="shared" si="13"/>
        <v>6762812.5</v>
      </c>
      <c r="AU17" s="112">
        <f t="shared" si="14"/>
        <v>1737187.5</v>
      </c>
      <c r="AV17" s="105" t="str">
        <f t="shared" si="15"/>
        <v/>
      </c>
      <c r="AW17" s="115">
        <f t="shared" si="16"/>
        <v>1.0625</v>
      </c>
      <c r="AX17" s="115"/>
      <c r="AY17" s="116">
        <f t="shared" si="17"/>
        <v>1635000</v>
      </c>
      <c r="AZ17" s="116">
        <f t="shared" si="18"/>
        <v>1737187.5</v>
      </c>
      <c r="BA17" s="116">
        <f t="shared" si="19"/>
        <v>0</v>
      </c>
      <c r="BB17" s="117">
        <f t="shared" si="37"/>
        <v>512138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38"/>
        <v>6121138</v>
      </c>
      <c r="BI17" s="73" t="s">
        <v>124</v>
      </c>
      <c r="BJ17" s="73" t="str">
        <f t="shared" si="25"/>
        <v>TDG xe 15C-13969</v>
      </c>
      <c r="BK17" s="118" t="str">
        <f t="shared" si="26"/>
        <v>G</v>
      </c>
      <c r="BL17" s="74">
        <f t="shared" ca="1" si="39"/>
        <v>45492</v>
      </c>
      <c r="BM17" s="8" t="str">
        <f t="shared" si="42"/>
        <v>CG00087</v>
      </c>
      <c r="BN17" s="8" t="str">
        <f t="shared" si="40"/>
        <v/>
      </c>
      <c r="BO17" s="8" t="str">
        <f t="shared" si="43"/>
        <v>CG00087</v>
      </c>
      <c r="BP17" s="8" t="str">
        <f t="shared" si="43"/>
        <v>Vụ (HDHN) 0984092268</v>
      </c>
      <c r="BQ17" s="8" t="str">
        <f t="shared" si="44"/>
        <v>DKG&lt;-&gt;Hà Đông, Hà Nội</v>
      </c>
      <c r="BS17" s="116">
        <f t="shared" si="45"/>
        <v>400000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41"/>
        <v>saiiiiiiiiiiiiiiiii</v>
      </c>
      <c r="BX17" s="120">
        <f>VLOOKUP(BQ17,[2]gia3!$D$7:$W$256,19,0)</f>
        <v>4600000</v>
      </c>
      <c r="BY17" s="95" t="str">
        <f t="shared" si="31"/>
        <v/>
      </c>
      <c r="BZ17" s="96" t="e">
        <f t="shared" si="32"/>
        <v>#VALUE!</v>
      </c>
    </row>
    <row r="18" spans="1:78" s="8" customFormat="1" ht="20.100000000000001" customHeight="1" x14ac:dyDescent="0.3">
      <c r="A18" s="97">
        <f>MAX($A$11:A17)+1</f>
        <v>8</v>
      </c>
      <c r="B18" s="98">
        <v>45491</v>
      </c>
      <c r="C18" s="97" t="s">
        <v>153</v>
      </c>
      <c r="D18" s="99" t="s">
        <v>154</v>
      </c>
      <c r="E18" s="100" t="s">
        <v>120</v>
      </c>
      <c r="F18" s="99" t="s">
        <v>155</v>
      </c>
      <c r="G18" s="99"/>
      <c r="H18" s="97" t="s">
        <v>136</v>
      </c>
      <c r="I18" s="97" t="s">
        <v>120</v>
      </c>
      <c r="J18" s="97"/>
      <c r="K18" s="101" t="s">
        <v>156</v>
      </c>
      <c r="L18" s="102" t="s">
        <v>4</v>
      </c>
      <c r="M18" s="103" t="str">
        <f t="shared" si="0"/>
        <v>Hoàng Sơn</v>
      </c>
      <c r="N18" s="104" t="s">
        <v>159</v>
      </c>
      <c r="O18" s="105" t="str">
        <f t="shared" si="33"/>
        <v>Vũ Đình Hà</v>
      </c>
      <c r="P18" s="103" t="str">
        <f t="shared" si="1"/>
        <v>HS</v>
      </c>
      <c r="Q18" s="106" t="str">
        <f t="shared" si="2"/>
        <v>HS</v>
      </c>
      <c r="R18" s="103" t="s">
        <v>140</v>
      </c>
      <c r="S18" s="103" t="s">
        <v>141</v>
      </c>
      <c r="T18" s="107" t="s">
        <v>158</v>
      </c>
      <c r="U18" s="108">
        <v>6</v>
      </c>
      <c r="V18" s="109">
        <v>28.381</v>
      </c>
      <c r="W18" s="110">
        <v>400000</v>
      </c>
      <c r="X18" s="111">
        <f t="shared" si="3"/>
        <v>11352400</v>
      </c>
      <c r="Y18" s="106" t="s">
        <v>151</v>
      </c>
      <c r="Z18" s="106">
        <f t="shared" si="4"/>
        <v>0</v>
      </c>
      <c r="AA18" s="106" t="str">
        <f t="shared" si="34"/>
        <v>DKG</v>
      </c>
      <c r="AB18" s="112">
        <v>2100000</v>
      </c>
      <c r="AC18" s="105" t="s">
        <v>120</v>
      </c>
      <c r="AD18" s="113">
        <f t="shared" si="5"/>
        <v>8</v>
      </c>
      <c r="AE18" s="113" t="str">
        <f t="shared" si="6"/>
        <v>HS</v>
      </c>
      <c r="AF18" s="114" t="str">
        <f t="shared" si="7"/>
        <v>DKG&lt;-&gt;Hà Đông, Hà Nội</v>
      </c>
      <c r="AG18" s="106" t="str">
        <f t="shared" si="35"/>
        <v>CX001</v>
      </c>
      <c r="AH18" s="106" t="str">
        <f t="shared" si="8"/>
        <v>15C-13958</v>
      </c>
      <c r="AI18" s="109">
        <f t="shared" si="9"/>
        <v>28.381</v>
      </c>
      <c r="AJ18" s="112">
        <f t="shared" si="9"/>
        <v>400000</v>
      </c>
      <c r="AK18" s="112">
        <f t="shared" si="9"/>
        <v>11352400</v>
      </c>
      <c r="AL18" s="106" t="str">
        <f t="shared" si="10"/>
        <v>DKG</v>
      </c>
      <c r="AM18" s="112">
        <f t="shared" si="10"/>
        <v>2100000</v>
      </c>
      <c r="AN18" s="112">
        <f t="shared" si="36"/>
        <v>2000000</v>
      </c>
      <c r="AO18" s="112">
        <f t="shared" si="11"/>
        <v>100000</v>
      </c>
      <c r="AP18" s="105"/>
      <c r="AQ18" s="109">
        <f t="shared" si="12"/>
        <v>26.961949999999998</v>
      </c>
      <c r="AR18" s="109"/>
      <c r="AS18" s="112">
        <f t="shared" si="46"/>
        <v>335000</v>
      </c>
      <c r="AT18" s="112">
        <f t="shared" si="13"/>
        <v>9032253.25</v>
      </c>
      <c r="AU18" s="112">
        <f t="shared" si="14"/>
        <v>2320146.75</v>
      </c>
      <c r="AV18" s="105" t="str">
        <f t="shared" si="15"/>
        <v/>
      </c>
      <c r="AW18" s="115">
        <f t="shared" si="16"/>
        <v>1.4190500000000021</v>
      </c>
      <c r="AX18" s="115"/>
      <c r="AY18" s="116">
        <f t="shared" si="17"/>
        <v>1634999.9999999974</v>
      </c>
      <c r="AZ18" s="116">
        <f t="shared" si="18"/>
        <v>2320146.75</v>
      </c>
      <c r="BA18" s="116">
        <f t="shared" si="19"/>
        <v>0</v>
      </c>
      <c r="BB18" s="117">
        <f t="shared" si="37"/>
        <v>512139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0</v>
      </c>
      <c r="BG18" s="117">
        <f t="shared" si="24"/>
        <v>15401</v>
      </c>
      <c r="BH18" s="118">
        <f t="shared" si="38"/>
        <v>6121139</v>
      </c>
      <c r="BI18" s="73" t="s">
        <v>124</v>
      </c>
      <c r="BJ18" s="73" t="str">
        <f t="shared" si="25"/>
        <v>TDG xe 15C-13958</v>
      </c>
      <c r="BK18" s="118" t="str">
        <f t="shared" si="26"/>
        <v>G</v>
      </c>
      <c r="BL18" s="74">
        <f t="shared" ca="1" si="39"/>
        <v>45492</v>
      </c>
      <c r="BM18" s="8" t="str">
        <f t="shared" si="42"/>
        <v>CG00087</v>
      </c>
      <c r="BN18" s="8" t="str">
        <f t="shared" si="40"/>
        <v/>
      </c>
      <c r="BO18" s="8" t="str">
        <f t="shared" si="43"/>
        <v>CG00087</v>
      </c>
      <c r="BP18" s="8" t="str">
        <f t="shared" si="43"/>
        <v>Vụ (HDHN) 0984092268</v>
      </c>
      <c r="BQ18" s="8" t="str">
        <f t="shared" si="44"/>
        <v>DKG&lt;-&gt;Hà Đông, Hà Nội</v>
      </c>
      <c r="BS18" s="116">
        <f t="shared" si="45"/>
        <v>400000</v>
      </c>
      <c r="BT18" s="119" t="b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0</v>
      </c>
      <c r="BU18" s="119" t="b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0</v>
      </c>
      <c r="BV18" s="8" t="str">
        <f t="shared" si="41"/>
        <v>saiiiiiiiiiiiiiiiii</v>
      </c>
      <c r="BX18" s="120">
        <f>VLOOKUP(BQ18,[2]gia3!$D$7:$W$256,19,0)</f>
        <v>4600000</v>
      </c>
      <c r="BY18" s="95" t="str">
        <f t="shared" si="31"/>
        <v/>
      </c>
      <c r="BZ18" s="96" t="e">
        <f t="shared" si="32"/>
        <v>#VALUE!</v>
      </c>
    </row>
    <row r="19" spans="1:78" s="8" customFormat="1" ht="20.100000000000001" customHeight="1" x14ac:dyDescent="0.3">
      <c r="A19" s="97"/>
      <c r="B19" s="98">
        <v>45491</v>
      </c>
      <c r="C19" s="97" t="s">
        <v>160</v>
      </c>
      <c r="D19" s="99" t="s">
        <v>161</v>
      </c>
      <c r="E19" s="100" t="s">
        <v>120</v>
      </c>
      <c r="F19" s="99" t="s">
        <v>155</v>
      </c>
      <c r="G19" s="99"/>
      <c r="H19" s="97" t="s">
        <v>136</v>
      </c>
      <c r="I19" s="97" t="s">
        <v>120</v>
      </c>
      <c r="J19" s="97"/>
      <c r="K19" s="101" t="s">
        <v>156</v>
      </c>
      <c r="L19" s="102" t="s">
        <v>4</v>
      </c>
      <c r="M19" s="103" t="str">
        <f t="shared" si="0"/>
        <v>Hoàng Sơn</v>
      </c>
      <c r="N19" s="104" t="s">
        <v>157</v>
      </c>
      <c r="O19" s="105" t="str">
        <f t="shared" si="33"/>
        <v>Lê Anh Tân</v>
      </c>
      <c r="P19" s="103" t="str">
        <f t="shared" si="1"/>
        <v>HS</v>
      </c>
      <c r="Q19" s="106" t="str">
        <f t="shared" si="2"/>
        <v>HS</v>
      </c>
      <c r="R19" s="103" t="s">
        <v>140</v>
      </c>
      <c r="S19" s="103" t="s">
        <v>141</v>
      </c>
      <c r="T19" s="107" t="s">
        <v>162</v>
      </c>
      <c r="U19" s="108">
        <v>1</v>
      </c>
      <c r="V19" s="109">
        <v>10.503</v>
      </c>
      <c r="W19" s="110">
        <v>400000</v>
      </c>
      <c r="X19" s="111">
        <f t="shared" si="3"/>
        <v>4201200</v>
      </c>
      <c r="Y19" s="106" t="s">
        <v>151</v>
      </c>
      <c r="Z19" s="106">
        <f t="shared" si="4"/>
        <v>0</v>
      </c>
      <c r="AA19" s="106" t="str">
        <f t="shared" si="34"/>
        <v>DKG</v>
      </c>
      <c r="AB19" s="112">
        <v>0</v>
      </c>
      <c r="AC19" s="121" t="s">
        <v>163</v>
      </c>
      <c r="AD19" s="113">
        <f t="shared" si="5"/>
        <v>0</v>
      </c>
      <c r="AE19" s="113" t="str">
        <f t="shared" si="6"/>
        <v>HS</v>
      </c>
      <c r="AF19" s="114" t="str">
        <f t="shared" si="7"/>
        <v>DKG&lt;-&gt;Hà Đông, Hà Nội</v>
      </c>
      <c r="AG19" s="106" t="str">
        <f t="shared" si="35"/>
        <v>CX001</v>
      </c>
      <c r="AH19" s="106" t="str">
        <f t="shared" si="8"/>
        <v>15C-13969</v>
      </c>
      <c r="AI19" s="109">
        <f t="shared" si="9"/>
        <v>10.503</v>
      </c>
      <c r="AJ19" s="112">
        <f t="shared" si="9"/>
        <v>400000</v>
      </c>
      <c r="AK19" s="112">
        <f t="shared" si="9"/>
        <v>4201200</v>
      </c>
      <c r="AL19" s="106" t="str">
        <f t="shared" si="10"/>
        <v>DKG</v>
      </c>
      <c r="AM19" s="112">
        <f t="shared" si="10"/>
        <v>0</v>
      </c>
      <c r="AN19" s="112">
        <f t="shared" si="36"/>
        <v>0</v>
      </c>
      <c r="AO19" s="112">
        <f t="shared" si="11"/>
        <v>0</v>
      </c>
      <c r="AP19" s="105"/>
      <c r="AQ19" s="109">
        <f t="shared" si="12"/>
        <v>9.9778500000000001</v>
      </c>
      <c r="AR19" s="109"/>
      <c r="AS19" s="112">
        <f t="shared" si="46"/>
        <v>335000</v>
      </c>
      <c r="AT19" s="112">
        <f t="shared" si="13"/>
        <v>3342579.75</v>
      </c>
      <c r="AU19" s="112">
        <f t="shared" si="14"/>
        <v>858620.25</v>
      </c>
      <c r="AV19" s="105" t="str">
        <f t="shared" si="15"/>
        <v>ghép</v>
      </c>
      <c r="AW19" s="115">
        <f t="shared" si="16"/>
        <v>0.52515000000000001</v>
      </c>
      <c r="AX19" s="115"/>
      <c r="AY19" s="116">
        <f t="shared" si="17"/>
        <v>1635000</v>
      </c>
      <c r="AZ19" s="116">
        <f t="shared" si="18"/>
        <v>858620.25</v>
      </c>
      <c r="BA19" s="116">
        <f t="shared" si="19"/>
        <v>0</v>
      </c>
      <c r="BB19" s="117">
        <f t="shared" si="37"/>
        <v>512138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0</v>
      </c>
      <c r="BG19" s="117">
        <f t="shared" si="24"/>
        <v>15401</v>
      </c>
      <c r="BH19" s="118">
        <f t="shared" si="38"/>
        <v>6121138</v>
      </c>
      <c r="BI19" s="73" t="s">
        <v>124</v>
      </c>
      <c r="BJ19" s="73" t="str">
        <f t="shared" si="25"/>
        <v>TDG xe 15C-13969</v>
      </c>
      <c r="BK19" s="118" t="str">
        <f t="shared" si="26"/>
        <v>G</v>
      </c>
      <c r="BL19" s="74">
        <f t="shared" ca="1" si="39"/>
        <v>45492</v>
      </c>
      <c r="BM19" s="8" t="str">
        <f t="shared" si="42"/>
        <v>CG00453</v>
      </c>
      <c r="BN19" s="8" t="str">
        <f t="shared" si="40"/>
        <v/>
      </c>
      <c r="BO19" s="8" t="str">
        <f t="shared" si="43"/>
        <v>CG00453</v>
      </c>
      <c r="BP19" s="8" t="str">
        <f t="shared" si="43"/>
        <v>Nguyễn Bá Tuyến (HDHN) 0969618689</v>
      </c>
      <c r="BQ19" s="8" t="str">
        <f t="shared" si="44"/>
        <v>DKG&lt;-&gt;Hà Đông, Hà Nội</v>
      </c>
      <c r="BS19" s="116">
        <f t="shared" si="45"/>
        <v>400000</v>
      </c>
      <c r="BT19" s="119" t="b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0</v>
      </c>
      <c r="BU19" s="119" t="b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0</v>
      </c>
      <c r="BV19" s="8" t="str">
        <f t="shared" si="41"/>
        <v>saiiiiiiiiiiiiiiiii</v>
      </c>
      <c r="BX19" s="120">
        <f>VLOOKUP(BQ19,[2]gia3!$D$7:$W$256,19,0)</f>
        <v>4600000</v>
      </c>
      <c r="BY19" s="95" t="str">
        <f t="shared" si="31"/>
        <v/>
      </c>
      <c r="BZ19" s="96" t="e">
        <f t="shared" si="32"/>
        <v>#VALUE!</v>
      </c>
    </row>
    <row r="20" spans="1:78" s="8" customFormat="1" ht="20.100000000000001" customHeight="1" x14ac:dyDescent="0.3">
      <c r="A20" s="97">
        <f>MAX($A$11:A19)+1</f>
        <v>9</v>
      </c>
      <c r="B20" s="98">
        <v>45491</v>
      </c>
      <c r="C20" s="97" t="s">
        <v>164</v>
      </c>
      <c r="D20" s="99" t="s">
        <v>165</v>
      </c>
      <c r="E20" s="100" t="s">
        <v>166</v>
      </c>
      <c r="F20" s="99" t="s">
        <v>167</v>
      </c>
      <c r="G20" s="99"/>
      <c r="H20" s="97" t="s">
        <v>136</v>
      </c>
      <c r="I20" s="97" t="s">
        <v>120</v>
      </c>
      <c r="J20" s="97"/>
      <c r="K20" s="101" t="s">
        <v>168</v>
      </c>
      <c r="L20" s="102" t="s">
        <v>169</v>
      </c>
      <c r="M20" s="103" t="str">
        <f t="shared" si="0"/>
        <v>Hoàng Sơn</v>
      </c>
      <c r="N20" s="104" t="s">
        <v>170</v>
      </c>
      <c r="O20" s="105" t="str">
        <f t="shared" si="33"/>
        <v>Lưu Xuân Thành</v>
      </c>
      <c r="P20" s="103" t="str">
        <f t="shared" si="1"/>
        <v>HS</v>
      </c>
      <c r="Q20" s="106" t="str">
        <f t="shared" si="2"/>
        <v>HS</v>
      </c>
      <c r="R20" s="103" t="s">
        <v>140</v>
      </c>
      <c r="S20" s="103" t="s">
        <v>141</v>
      </c>
      <c r="T20" s="107" t="s">
        <v>171</v>
      </c>
      <c r="U20" s="108">
        <v>1</v>
      </c>
      <c r="V20" s="109">
        <v>22</v>
      </c>
      <c r="W20" s="110">
        <v>550000</v>
      </c>
      <c r="X20" s="111">
        <f t="shared" si="3"/>
        <v>12100000</v>
      </c>
      <c r="Y20" s="106" t="s">
        <v>151</v>
      </c>
      <c r="Z20" s="106">
        <f t="shared" si="4"/>
        <v>0</v>
      </c>
      <c r="AA20" s="106" t="str">
        <f t="shared" si="34"/>
        <v>DKG</v>
      </c>
      <c r="AB20" s="112">
        <v>4000000</v>
      </c>
      <c r="AC20" s="105" t="s">
        <v>120</v>
      </c>
      <c r="AD20" s="113">
        <f t="shared" si="5"/>
        <v>9</v>
      </c>
      <c r="AE20" s="113" t="str">
        <f t="shared" si="6"/>
        <v>HS</v>
      </c>
      <c r="AF20" s="114" t="str">
        <f t="shared" si="7"/>
        <v>DKG&lt;-&gt;Hoằng Hóa, Thanh Hoá</v>
      </c>
      <c r="AG20" s="106" t="str">
        <f t="shared" si="35"/>
        <v>CX001</v>
      </c>
      <c r="AH20" s="106" t="str">
        <f t="shared" si="8"/>
        <v>15C-15237</v>
      </c>
      <c r="AI20" s="109">
        <f t="shared" si="9"/>
        <v>22</v>
      </c>
      <c r="AJ20" s="112">
        <f t="shared" si="9"/>
        <v>550000</v>
      </c>
      <c r="AK20" s="112">
        <f t="shared" si="9"/>
        <v>12100000</v>
      </c>
      <c r="AL20" s="106" t="str">
        <f t="shared" si="10"/>
        <v>DKG</v>
      </c>
      <c r="AM20" s="112">
        <f t="shared" si="10"/>
        <v>4000000</v>
      </c>
      <c r="AN20" s="112">
        <f t="shared" si="36"/>
        <v>3900000</v>
      </c>
      <c r="AO20" s="112">
        <f t="shared" si="11"/>
        <v>100000</v>
      </c>
      <c r="AP20" s="105"/>
      <c r="AQ20" s="109">
        <f t="shared" si="12"/>
        <v>20.9</v>
      </c>
      <c r="AR20" s="109"/>
      <c r="AS20" s="112">
        <f t="shared" si="46"/>
        <v>485000</v>
      </c>
      <c r="AT20" s="112">
        <f t="shared" si="13"/>
        <v>10136500</v>
      </c>
      <c r="AU20" s="112">
        <f t="shared" si="14"/>
        <v>1963500</v>
      </c>
      <c r="AV20" s="105" t="str">
        <f t="shared" si="15"/>
        <v/>
      </c>
      <c r="AW20" s="115">
        <f t="shared" si="16"/>
        <v>1.1000000000000014</v>
      </c>
      <c r="AX20" s="115"/>
      <c r="AY20" s="116">
        <f t="shared" si="17"/>
        <v>1784999.9999999977</v>
      </c>
      <c r="AZ20" s="116">
        <f t="shared" si="18"/>
        <v>1963500</v>
      </c>
      <c r="BA20" s="116">
        <f t="shared" si="19"/>
        <v>0</v>
      </c>
      <c r="BB20" s="117">
        <f t="shared" si="37"/>
        <v>512119</v>
      </c>
      <c r="BC20" s="117">
        <f t="shared" si="20"/>
        <v>511301</v>
      </c>
      <c r="BD20" s="117">
        <f t="shared" si="21"/>
        <v>5123</v>
      </c>
      <c r="BE20" s="117">
        <f t="shared" si="22"/>
        <v>0</v>
      </c>
      <c r="BF20" s="117">
        <f t="shared" si="23"/>
        <v>0</v>
      </c>
      <c r="BG20" s="117">
        <f t="shared" si="24"/>
        <v>15401</v>
      </c>
      <c r="BH20" s="118">
        <f t="shared" si="38"/>
        <v>6121119</v>
      </c>
      <c r="BI20" s="73" t="s">
        <v>124</v>
      </c>
      <c r="BJ20" s="73" t="str">
        <f t="shared" si="25"/>
        <v>TDG xe 15C-15237</v>
      </c>
      <c r="BK20" s="118" t="str">
        <f t="shared" si="26"/>
        <v>G</v>
      </c>
      <c r="BL20" s="74">
        <f t="shared" ca="1" si="39"/>
        <v>45492</v>
      </c>
      <c r="BM20" s="8" t="str">
        <f t="shared" si="42"/>
        <v>CG00102</v>
      </c>
      <c r="BN20" s="8" t="str">
        <f t="shared" si="40"/>
        <v/>
      </c>
      <c r="BO20" s="8" t="str">
        <f t="shared" si="43"/>
        <v>CG00102</v>
      </c>
      <c r="BP20" s="8" t="str">
        <f t="shared" si="43"/>
        <v>Công ty TNHH Hoàng Anh Tiến (TPTH) Tiến 0977999000</v>
      </c>
      <c r="BQ20" s="8" t="str">
        <f t="shared" si="44"/>
        <v>DKG&lt;-&gt;Hoằng Hóa, Thanh Hoá</v>
      </c>
      <c r="BS20" s="116">
        <f t="shared" si="45"/>
        <v>550000</v>
      </c>
      <c r="BT20" s="119" t="b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0</v>
      </c>
      <c r="BU20" s="119" t="b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0</v>
      </c>
      <c r="BV20" s="8" t="str">
        <f t="shared" si="41"/>
        <v>saiiiiiiiiiiiiiiiii</v>
      </c>
      <c r="BX20" s="120" t="e">
        <f>VLOOKUP(BQ20,[2]gia3!$D$7:$W$256,19,0)</f>
        <v>#N/A</v>
      </c>
      <c r="BY20" s="95" t="str">
        <f t="shared" si="31"/>
        <v/>
      </c>
      <c r="BZ20" s="96" t="e">
        <f t="shared" si="32"/>
        <v>#VALUE!</v>
      </c>
    </row>
    <row r="21" spans="1:78" s="8" customFormat="1" ht="20.100000000000001" customHeight="1" x14ac:dyDescent="0.3">
      <c r="A21" s="97">
        <f>MAX($A$11:A20)+1</f>
        <v>10</v>
      </c>
      <c r="B21" s="98">
        <v>45491</v>
      </c>
      <c r="C21" s="97" t="s">
        <v>172</v>
      </c>
      <c r="D21" s="99" t="s">
        <v>173</v>
      </c>
      <c r="E21" s="100" t="s">
        <v>174</v>
      </c>
      <c r="F21" s="99" t="s">
        <v>175</v>
      </c>
      <c r="G21" s="99"/>
      <c r="H21" s="97" t="s">
        <v>136</v>
      </c>
      <c r="I21" s="97" t="s">
        <v>120</v>
      </c>
      <c r="J21" s="97"/>
      <c r="K21" s="101" t="s">
        <v>176</v>
      </c>
      <c r="L21" s="102" t="s">
        <v>15</v>
      </c>
      <c r="M21" s="103" t="str">
        <f t="shared" si="0"/>
        <v>Cậu Mợ</v>
      </c>
      <c r="N21" s="104" t="s">
        <v>177</v>
      </c>
      <c r="O21" s="105" t="str">
        <f t="shared" si="33"/>
        <v>Nguyễn Ngọc Anh</v>
      </c>
      <c r="P21" s="103" t="str">
        <f t="shared" si="1"/>
        <v>HS</v>
      </c>
      <c r="Q21" s="106" t="str">
        <f t="shared" si="2"/>
        <v>HS</v>
      </c>
      <c r="R21" s="103" t="s">
        <v>140</v>
      </c>
      <c r="S21" s="103" t="s">
        <v>141</v>
      </c>
      <c r="T21" s="107" t="s">
        <v>178</v>
      </c>
      <c r="U21" s="108">
        <v>12</v>
      </c>
      <c r="V21" s="109">
        <v>22.364000000000001</v>
      </c>
      <c r="W21" s="110">
        <v>450000</v>
      </c>
      <c r="X21" s="111">
        <f t="shared" si="3"/>
        <v>10063800</v>
      </c>
      <c r="Y21" s="106" t="s">
        <v>143</v>
      </c>
      <c r="Z21" s="106">
        <f t="shared" si="4"/>
        <v>0</v>
      </c>
      <c r="AA21" s="106" t="str">
        <f t="shared" si="34"/>
        <v>DKG</v>
      </c>
      <c r="AB21" s="112">
        <v>2950000</v>
      </c>
      <c r="AC21" s="105" t="s">
        <v>120</v>
      </c>
      <c r="AD21" s="113">
        <f t="shared" si="5"/>
        <v>10</v>
      </c>
      <c r="AE21" s="113" t="str">
        <f t="shared" si="6"/>
        <v>HS</v>
      </c>
      <c r="AF21" s="114" t="str">
        <f t="shared" si="7"/>
        <v>DKG&lt;-&gt;Kim Sơn, Ninh Bình</v>
      </c>
      <c r="AG21" s="106" t="str">
        <f t="shared" si="35"/>
        <v>CX006</v>
      </c>
      <c r="AH21" s="106" t="str">
        <f t="shared" si="8"/>
        <v>15C-13036</v>
      </c>
      <c r="AI21" s="109">
        <f t="shared" si="9"/>
        <v>22.364000000000001</v>
      </c>
      <c r="AJ21" s="112">
        <f t="shared" si="9"/>
        <v>450000</v>
      </c>
      <c r="AK21" s="112">
        <f t="shared" si="9"/>
        <v>10063800</v>
      </c>
      <c r="AL21" s="106" t="str">
        <f t="shared" si="10"/>
        <v>DKG</v>
      </c>
      <c r="AM21" s="112">
        <f t="shared" si="10"/>
        <v>2950000</v>
      </c>
      <c r="AN21" s="112">
        <f t="shared" si="36"/>
        <v>2850000</v>
      </c>
      <c r="AO21" s="112">
        <f t="shared" si="11"/>
        <v>100000</v>
      </c>
      <c r="AP21" s="105"/>
      <c r="AQ21" s="109">
        <f t="shared" si="12"/>
        <v>21.245799999999999</v>
      </c>
      <c r="AR21" s="109"/>
      <c r="AS21" s="112">
        <f t="shared" si="46"/>
        <v>385000</v>
      </c>
      <c r="AT21" s="112">
        <f t="shared" si="13"/>
        <v>8179633</v>
      </c>
      <c r="AU21" s="112">
        <f t="shared" si="14"/>
        <v>1884167</v>
      </c>
      <c r="AV21" s="105" t="str">
        <f t="shared" si="15"/>
        <v/>
      </c>
      <c r="AW21" s="115">
        <f t="shared" si="16"/>
        <v>1.1182000000000016</v>
      </c>
      <c r="AX21" s="115"/>
      <c r="AY21" s="116">
        <f t="shared" si="17"/>
        <v>1684999.9999999974</v>
      </c>
      <c r="AZ21" s="116">
        <f t="shared" si="18"/>
        <v>1884167</v>
      </c>
      <c r="BA21" s="116">
        <f t="shared" si="19"/>
        <v>0</v>
      </c>
      <c r="BB21" s="117">
        <f t="shared" si="37"/>
        <v>51224</v>
      </c>
      <c r="BC21" s="117">
        <f t="shared" si="20"/>
        <v>511301</v>
      </c>
      <c r="BD21" s="117">
        <f t="shared" si="21"/>
        <v>5123</v>
      </c>
      <c r="BE21" s="117">
        <f t="shared" si="22"/>
        <v>0</v>
      </c>
      <c r="BF21" s="117">
        <f t="shared" si="23"/>
        <v>331</v>
      </c>
      <c r="BG21" s="117">
        <f t="shared" si="24"/>
        <v>331</v>
      </c>
      <c r="BH21" s="118">
        <f t="shared" si="38"/>
        <v>0</v>
      </c>
      <c r="BI21" s="73" t="s">
        <v>124</v>
      </c>
      <c r="BJ21" s="73" t="str">
        <f t="shared" si="25"/>
        <v>TDG xe 15C-13036</v>
      </c>
      <c r="BK21" s="118" t="str">
        <f t="shared" si="26"/>
        <v>G</v>
      </c>
      <c r="BL21" s="74" t="str">
        <f t="shared" ca="1" si="39"/>
        <v/>
      </c>
      <c r="BM21" s="8" t="str">
        <f t="shared" si="42"/>
        <v>CG00055</v>
      </c>
      <c r="BN21" s="8" t="str">
        <f t="shared" si="40"/>
        <v/>
      </c>
      <c r="BO21" s="8" t="str">
        <f t="shared" si="43"/>
        <v>CG00055</v>
      </c>
      <c r="BP21" s="8" t="str">
        <f t="shared" si="43"/>
        <v>Công ty TNHH Thương mại Đại Lợi (YMHY) 0984883883</v>
      </c>
      <c r="BQ21" s="8" t="str">
        <f t="shared" si="44"/>
        <v>DKG&lt;-&gt;Kim Sơn, Ninh Bình</v>
      </c>
      <c r="BS21" s="116">
        <f t="shared" si="45"/>
        <v>450000</v>
      </c>
      <c r="BT21" s="119" t="b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0</v>
      </c>
      <c r="BU21" s="119" t="b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0</v>
      </c>
      <c r="BV21" s="8" t="str">
        <f t="shared" si="41"/>
        <v>saiiiiiiiiiiiiiiiii</v>
      </c>
      <c r="BX21" s="120">
        <f>VLOOKUP(BQ21,[2]gia3!$D$7:$W$256,19,0)</f>
        <v>0</v>
      </c>
      <c r="BY21" s="95" t="str">
        <f t="shared" si="31"/>
        <v/>
      </c>
      <c r="BZ21" s="96" t="e">
        <f t="shared" si="32"/>
        <v>#VALUE!</v>
      </c>
    </row>
    <row r="22" spans="1:78" s="8" customFormat="1" ht="20.100000000000001" customHeight="1" x14ac:dyDescent="0.3">
      <c r="A22" s="97">
        <f>MAX($A$11:A21)+1</f>
        <v>11</v>
      </c>
      <c r="B22" s="98">
        <v>45491</v>
      </c>
      <c r="C22" s="97" t="s">
        <v>179</v>
      </c>
      <c r="D22" s="99" t="s">
        <v>180</v>
      </c>
      <c r="E22" s="100" t="e">
        <v>#N/A</v>
      </c>
      <c r="F22" s="99" t="s">
        <v>181</v>
      </c>
      <c r="G22" s="99"/>
      <c r="H22" s="97" t="s">
        <v>136</v>
      </c>
      <c r="I22" s="97" t="s">
        <v>120</v>
      </c>
      <c r="J22" s="97"/>
      <c r="K22" s="101" t="s">
        <v>182</v>
      </c>
      <c r="L22" s="102" t="s">
        <v>183</v>
      </c>
      <c r="M22" s="103" t="str">
        <f t="shared" si="0"/>
        <v>Hoàng Sơn</v>
      </c>
      <c r="N22" s="104" t="s">
        <v>184</v>
      </c>
      <c r="O22" s="105" t="str">
        <f t="shared" si="33"/>
        <v>Đinh Minh Dũng</v>
      </c>
      <c r="P22" s="103" t="str">
        <f t="shared" si="1"/>
        <v>HS</v>
      </c>
      <c r="Q22" s="106" t="str">
        <f t="shared" si="2"/>
        <v>HS</v>
      </c>
      <c r="R22" s="103" t="s">
        <v>140</v>
      </c>
      <c r="S22" s="103" t="s">
        <v>141</v>
      </c>
      <c r="T22" s="107" t="s">
        <v>185</v>
      </c>
      <c r="U22" s="108">
        <v>1</v>
      </c>
      <c r="V22" s="109">
        <v>22</v>
      </c>
      <c r="W22" s="110">
        <v>350000</v>
      </c>
      <c r="X22" s="111">
        <f t="shared" si="3"/>
        <v>7700000</v>
      </c>
      <c r="Y22" s="106" t="s">
        <v>151</v>
      </c>
      <c r="Z22" s="106">
        <f t="shared" si="4"/>
        <v>0</v>
      </c>
      <c r="AA22" s="106" t="str">
        <f t="shared" si="34"/>
        <v>DKG</v>
      </c>
      <c r="AB22" s="112">
        <v>1250000</v>
      </c>
      <c r="AC22" s="105" t="s">
        <v>120</v>
      </c>
      <c r="AD22" s="113">
        <f t="shared" si="5"/>
        <v>11</v>
      </c>
      <c r="AE22" s="113" t="str">
        <f t="shared" si="6"/>
        <v>HS</v>
      </c>
      <c r="AF22" s="114" t="str">
        <f t="shared" si="7"/>
        <v>DKG&lt;-&gt;Bình Giang, Hải Dương</v>
      </c>
      <c r="AG22" s="106" t="str">
        <f t="shared" si="35"/>
        <v>CX001</v>
      </c>
      <c r="AH22" s="106" t="str">
        <f t="shared" si="8"/>
        <v>15C-11856</v>
      </c>
      <c r="AI22" s="109">
        <f t="shared" si="9"/>
        <v>22</v>
      </c>
      <c r="AJ22" s="112">
        <f t="shared" si="9"/>
        <v>350000</v>
      </c>
      <c r="AK22" s="112">
        <f t="shared" si="9"/>
        <v>7700000</v>
      </c>
      <c r="AL22" s="106" t="str">
        <f t="shared" si="10"/>
        <v>DKG</v>
      </c>
      <c r="AM22" s="112">
        <f t="shared" si="10"/>
        <v>1250000</v>
      </c>
      <c r="AN22" s="112">
        <f t="shared" si="36"/>
        <v>1150000</v>
      </c>
      <c r="AO22" s="112">
        <f t="shared" si="11"/>
        <v>100000</v>
      </c>
      <c r="AP22" s="105"/>
      <c r="AQ22" s="109">
        <f t="shared" si="12"/>
        <v>20.9</v>
      </c>
      <c r="AR22" s="109"/>
      <c r="AS22" s="112">
        <f t="shared" si="46"/>
        <v>285000</v>
      </c>
      <c r="AT22" s="112">
        <f t="shared" si="13"/>
        <v>5956500</v>
      </c>
      <c r="AU22" s="112">
        <f t="shared" si="14"/>
        <v>1743500</v>
      </c>
      <c r="AV22" s="105" t="str">
        <f t="shared" si="15"/>
        <v/>
      </c>
      <c r="AW22" s="115">
        <f t="shared" si="16"/>
        <v>1.1000000000000014</v>
      </c>
      <c r="AX22" s="115"/>
      <c r="AY22" s="116">
        <f t="shared" si="17"/>
        <v>1584999.9999999979</v>
      </c>
      <c r="AZ22" s="116">
        <f t="shared" si="18"/>
        <v>1743500</v>
      </c>
      <c r="BA22" s="116">
        <f t="shared" si="19"/>
        <v>0</v>
      </c>
      <c r="BB22" s="117">
        <f t="shared" si="37"/>
        <v>512132</v>
      </c>
      <c r="BC22" s="117">
        <f t="shared" si="20"/>
        <v>511301</v>
      </c>
      <c r="BD22" s="117">
        <f t="shared" si="21"/>
        <v>5123</v>
      </c>
      <c r="BE22" s="117">
        <f t="shared" si="22"/>
        <v>0</v>
      </c>
      <c r="BF22" s="117">
        <f t="shared" si="23"/>
        <v>0</v>
      </c>
      <c r="BG22" s="117">
        <f t="shared" si="24"/>
        <v>15401</v>
      </c>
      <c r="BH22" s="118">
        <f t="shared" si="38"/>
        <v>6121132</v>
      </c>
      <c r="BI22" s="73" t="s">
        <v>124</v>
      </c>
      <c r="BJ22" s="73" t="str">
        <f t="shared" si="25"/>
        <v>TDG xe 15C-11856</v>
      </c>
      <c r="BK22" s="118" t="str">
        <f t="shared" si="26"/>
        <v>G</v>
      </c>
      <c r="BL22" s="74">
        <f t="shared" ca="1" si="39"/>
        <v>45492</v>
      </c>
      <c r="BM22" s="8" t="str">
        <f t="shared" si="42"/>
        <v>CG00454</v>
      </c>
      <c r="BN22" s="8" t="str">
        <f t="shared" si="40"/>
        <v/>
      </c>
      <c r="BO22" s="8" t="str">
        <f t="shared" si="43"/>
        <v>CG00454</v>
      </c>
      <c r="BP22" s="8" t="str">
        <f t="shared" si="43"/>
        <v>Hòa (BGHD) 0866561655</v>
      </c>
      <c r="BQ22" s="8" t="str">
        <f t="shared" si="44"/>
        <v>DKG&lt;-&gt;Bình Giang, Hải Dương</v>
      </c>
      <c r="BS22" s="116">
        <f t="shared" si="45"/>
        <v>350000</v>
      </c>
      <c r="BT22" s="119" t="b">
        <f>IF(OR(BM22="CG00047",BM22="Dong Duong",BM22="CG00073",BM22="CG00078",BM22="CG00045"),VLOOKUP(BQ22,[1]gia3!$D$7:$T$206,4,0),IF(OR(BM22="CG00088",BM22="CG00044",),VLOOKUP(BQ22,[1]gia3!$D$7:$T$206,6,0),IF(BM22="Đinh Gia",VLOOKUP(BQ22,[1]gia3!$D$7:$T$206,8,0),IF(OR(BM22="Greeensky",BM22="CG..."),VLOOKUP(BQ22,[1]gia3!$D$7:$T$206,10,0),IF(OR(BM22="Đại Huu",BM22="Vietj Mỹ"),VLOOKUP(BQ22,[1]gia3!$D$7:$T$206,14,0) )))))</f>
        <v>0</v>
      </c>
      <c r="BU22" s="119" t="b">
        <f>IF(OR(BM22="CG00047",BM22="Dong Duong",BM22="CG00073",BM22="CG00078",BM22="CG00045"),VLOOKUP(BQ22,[1]gia3!$D$7:$T$206,5,0),IF(OR(BM22="CG00088",BM22="CG00044",),VLOOKUP(BQ22,[1]gia3!$D$7:$T$206,7,0),IF(BM22="Đinh Gia",VLOOKUP(BQ22,[1]gia3!$D$7:$T$206,9,0),IF(OR(BM22="Greeensky",BM22="CG..."),VLOOKUP(BQ22,[1]gia3!$D$7:$T$206,11,0),IF(OR(BM22="Đại Huu",BM22="Vietj Mỹ"),VLOOKUP(BQ22,[1]gia3!$D$7:$T$206,15,0) )))))</f>
        <v>0</v>
      </c>
      <c r="BV22" s="8" t="str">
        <f t="shared" si="41"/>
        <v>saiiiiiiiiiiiiiiiii</v>
      </c>
      <c r="BX22" s="120">
        <f>VLOOKUP(BQ22,[2]gia3!$D$7:$W$256,19,0)</f>
        <v>3400000</v>
      </c>
      <c r="BY22" s="95" t="str">
        <f t="shared" si="31"/>
        <v/>
      </c>
      <c r="BZ22" s="96" t="e">
        <f t="shared" si="32"/>
        <v>#VALUE!</v>
      </c>
    </row>
    <row r="23" spans="1:78" s="8" customFormat="1" ht="20.100000000000001" customHeight="1" x14ac:dyDescent="0.3">
      <c r="A23" s="97">
        <f>MAX($A$11:A22)+1</f>
        <v>12</v>
      </c>
      <c r="B23" s="98">
        <v>45491</v>
      </c>
      <c r="C23" s="97" t="s">
        <v>186</v>
      </c>
      <c r="D23" s="99" t="s">
        <v>187</v>
      </c>
      <c r="E23" s="100" t="s">
        <v>188</v>
      </c>
      <c r="F23" s="99" t="s">
        <v>189</v>
      </c>
      <c r="G23" s="99"/>
      <c r="H23" s="97" t="s">
        <v>136</v>
      </c>
      <c r="I23" s="97" t="s">
        <v>120</v>
      </c>
      <c r="J23" s="97"/>
      <c r="K23" s="101" t="s">
        <v>190</v>
      </c>
      <c r="L23" s="102" t="s">
        <v>191</v>
      </c>
      <c r="M23" s="103" t="str">
        <f t="shared" si="0"/>
        <v>Hoàng Sơn</v>
      </c>
      <c r="N23" s="104" t="s">
        <v>192</v>
      </c>
      <c r="O23" s="105" t="str">
        <f t="shared" si="33"/>
        <v>Bùi Đức Thành</v>
      </c>
      <c r="P23" s="103" t="str">
        <f t="shared" si="1"/>
        <v>HS</v>
      </c>
      <c r="Q23" s="106" t="str">
        <f t="shared" si="2"/>
        <v>HS</v>
      </c>
      <c r="R23" s="103" t="s">
        <v>140</v>
      </c>
      <c r="S23" s="103" t="s">
        <v>141</v>
      </c>
      <c r="T23" s="107" t="s">
        <v>193</v>
      </c>
      <c r="U23" s="108">
        <v>6</v>
      </c>
      <c r="V23" s="109">
        <v>32.481999999999999</v>
      </c>
      <c r="W23" s="110">
        <v>450000</v>
      </c>
      <c r="X23" s="111">
        <f t="shared" si="3"/>
        <v>14616900</v>
      </c>
      <c r="Y23" s="106" t="s">
        <v>143</v>
      </c>
      <c r="Z23" s="106">
        <f t="shared" si="4"/>
        <v>0</v>
      </c>
      <c r="AA23" s="106" t="str">
        <f t="shared" si="34"/>
        <v>DKG</v>
      </c>
      <c r="AB23" s="112">
        <v>2650000</v>
      </c>
      <c r="AC23" s="105" t="s">
        <v>120</v>
      </c>
      <c r="AD23" s="113">
        <f t="shared" si="5"/>
        <v>12</v>
      </c>
      <c r="AE23" s="113" t="str">
        <f t="shared" si="6"/>
        <v>HS</v>
      </c>
      <c r="AF23" s="114" t="str">
        <f t="shared" si="7"/>
        <v>DKG&lt;-&gt;Hải Hậu, Nam Định</v>
      </c>
      <c r="AG23" s="106" t="str">
        <f t="shared" si="35"/>
        <v>CX001</v>
      </c>
      <c r="AH23" s="106" t="str">
        <f t="shared" si="8"/>
        <v>15C-11486</v>
      </c>
      <c r="AI23" s="109">
        <f t="shared" si="9"/>
        <v>32.481999999999999</v>
      </c>
      <c r="AJ23" s="112">
        <f t="shared" si="9"/>
        <v>450000</v>
      </c>
      <c r="AK23" s="112">
        <f t="shared" si="9"/>
        <v>14616900</v>
      </c>
      <c r="AL23" s="106" t="str">
        <f t="shared" si="10"/>
        <v>DKG</v>
      </c>
      <c r="AM23" s="112">
        <f t="shared" si="10"/>
        <v>2650000</v>
      </c>
      <c r="AN23" s="112">
        <f t="shared" si="36"/>
        <v>2550000</v>
      </c>
      <c r="AO23" s="112">
        <f t="shared" si="11"/>
        <v>100000</v>
      </c>
      <c r="AP23" s="105"/>
      <c r="AQ23" s="109">
        <f t="shared" si="12"/>
        <v>30.857899999999997</v>
      </c>
      <c r="AR23" s="109"/>
      <c r="AS23" s="112">
        <f t="shared" si="46"/>
        <v>385000</v>
      </c>
      <c r="AT23" s="112">
        <f t="shared" si="13"/>
        <v>11880291.499999998</v>
      </c>
      <c r="AU23" s="112">
        <f t="shared" si="14"/>
        <v>2736608.5000000019</v>
      </c>
      <c r="AV23" s="105" t="str">
        <f t="shared" si="15"/>
        <v/>
      </c>
      <c r="AW23" s="115">
        <f t="shared" si="16"/>
        <v>1.6241000000000021</v>
      </c>
      <c r="AX23" s="115"/>
      <c r="AY23" s="116">
        <f t="shared" si="17"/>
        <v>1684999.9999999991</v>
      </c>
      <c r="AZ23" s="116">
        <f t="shared" si="18"/>
        <v>2736608.5000000019</v>
      </c>
      <c r="BA23" s="116">
        <f t="shared" si="19"/>
        <v>0</v>
      </c>
      <c r="BB23" s="117">
        <f t="shared" si="37"/>
        <v>512112</v>
      </c>
      <c r="BC23" s="117">
        <f t="shared" si="20"/>
        <v>511301</v>
      </c>
      <c r="BD23" s="117">
        <f t="shared" si="21"/>
        <v>5123</v>
      </c>
      <c r="BE23" s="117">
        <f t="shared" si="22"/>
        <v>0</v>
      </c>
      <c r="BF23" s="117">
        <f t="shared" si="23"/>
        <v>0</v>
      </c>
      <c r="BG23" s="117">
        <f t="shared" si="24"/>
        <v>15401</v>
      </c>
      <c r="BH23" s="118">
        <f t="shared" si="38"/>
        <v>6121112</v>
      </c>
      <c r="BI23" s="73" t="s">
        <v>124</v>
      </c>
      <c r="BJ23" s="73" t="str">
        <f t="shared" si="25"/>
        <v>TDG xe 15C-11486</v>
      </c>
      <c r="BK23" s="118" t="str">
        <f t="shared" si="26"/>
        <v>G</v>
      </c>
      <c r="BL23" s="74" t="str">
        <f t="shared" ca="1" si="39"/>
        <v/>
      </c>
      <c r="BM23" s="8" t="str">
        <f t="shared" si="42"/>
        <v>CG00013</v>
      </c>
      <c r="BN23" s="8" t="str">
        <f t="shared" si="40"/>
        <v/>
      </c>
      <c r="BO23" s="8" t="str">
        <f t="shared" si="43"/>
        <v>CG00013</v>
      </c>
      <c r="BP23" s="8" t="str">
        <f t="shared" si="43"/>
        <v>Công ty TNHH Sản xuất và Thương mại Đức Tín (HDHN) 0913010067</v>
      </c>
      <c r="BQ23" s="8" t="str">
        <f t="shared" si="44"/>
        <v>DKG&lt;-&gt;Hải Hậu, Nam Định</v>
      </c>
      <c r="BS23" s="116">
        <f t="shared" si="45"/>
        <v>450000</v>
      </c>
      <c r="BT23" s="119" t="b">
        <f>IF(OR(BM23="CG00047",BM23="Dong Duong",BM23="CG00073",BM23="CG00078",BM23="CG00045"),VLOOKUP(BQ23,[1]gia3!$D$7:$T$206,4,0),IF(OR(BM23="CG00088",BM23="CG00044",),VLOOKUP(BQ23,[1]gia3!$D$7:$T$206,6,0),IF(BM23="Đinh Gia",VLOOKUP(BQ23,[1]gia3!$D$7:$T$206,8,0),IF(OR(BM23="Greeensky",BM23="CG..."),VLOOKUP(BQ23,[1]gia3!$D$7:$T$206,10,0),IF(OR(BM23="Đại Huu",BM23="Vietj Mỹ"),VLOOKUP(BQ23,[1]gia3!$D$7:$T$206,14,0) )))))</f>
        <v>0</v>
      </c>
      <c r="BU23" s="119" t="b">
        <f>IF(OR(BM23="CG00047",BM23="Dong Duong",BM23="CG00073",BM23="CG00078",BM23="CG00045"),VLOOKUP(BQ23,[1]gia3!$D$7:$T$206,5,0),IF(OR(BM23="CG00088",BM23="CG00044",),VLOOKUP(BQ23,[1]gia3!$D$7:$T$206,7,0),IF(BM23="Đinh Gia",VLOOKUP(BQ23,[1]gia3!$D$7:$T$206,9,0),IF(OR(BM23="Greeensky",BM23="CG..."),VLOOKUP(BQ23,[1]gia3!$D$7:$T$206,11,0),IF(OR(BM23="Đại Huu",BM23="Vietj Mỹ"),VLOOKUP(BQ23,[1]gia3!$D$7:$T$206,15,0) )))))</f>
        <v>0</v>
      </c>
      <c r="BV23" s="8" t="str">
        <f t="shared" si="41"/>
        <v>saiiiiiiiiiiiiiiiii</v>
      </c>
      <c r="BX23" s="120">
        <f>VLOOKUP(BQ23,[2]gia3!$D$7:$W$256,19,0)</f>
        <v>4600000</v>
      </c>
      <c r="BY23" s="95" t="str">
        <f t="shared" si="31"/>
        <v/>
      </c>
      <c r="BZ23" s="96" t="e">
        <f t="shared" si="32"/>
        <v>#VALUE!</v>
      </c>
    </row>
    <row r="24" spans="1:78" s="8" customFormat="1" ht="20.100000000000001" customHeight="1" x14ac:dyDescent="0.3">
      <c r="A24" s="97">
        <f>MAX($A$11:A23)+1</f>
        <v>13</v>
      </c>
      <c r="B24" s="98">
        <v>45491</v>
      </c>
      <c r="C24" s="97" t="s">
        <v>186</v>
      </c>
      <c r="D24" s="99" t="s">
        <v>187</v>
      </c>
      <c r="E24" s="100" t="s">
        <v>188</v>
      </c>
      <c r="F24" s="99" t="s">
        <v>189</v>
      </c>
      <c r="G24" s="99"/>
      <c r="H24" s="97" t="s">
        <v>136</v>
      </c>
      <c r="I24" s="97" t="s">
        <v>120</v>
      </c>
      <c r="J24" s="97"/>
      <c r="K24" s="101" t="s">
        <v>190</v>
      </c>
      <c r="L24" s="102" t="s">
        <v>191</v>
      </c>
      <c r="M24" s="103" t="str">
        <f t="shared" si="0"/>
        <v>Hoàng Sơn</v>
      </c>
      <c r="N24" s="104" t="s">
        <v>194</v>
      </c>
      <c r="O24" s="105" t="str">
        <f t="shared" si="33"/>
        <v>Lại Văn Ngân</v>
      </c>
      <c r="P24" s="103" t="str">
        <f t="shared" si="1"/>
        <v>HS</v>
      </c>
      <c r="Q24" s="106" t="str">
        <f t="shared" si="2"/>
        <v>HS</v>
      </c>
      <c r="R24" s="103" t="s">
        <v>140</v>
      </c>
      <c r="S24" s="103" t="s">
        <v>141</v>
      </c>
      <c r="T24" s="107" t="s">
        <v>193</v>
      </c>
      <c r="U24" s="108">
        <v>5</v>
      </c>
      <c r="V24" s="109">
        <v>31.283000000000001</v>
      </c>
      <c r="W24" s="110">
        <v>450000</v>
      </c>
      <c r="X24" s="111">
        <f t="shared" si="3"/>
        <v>14077350</v>
      </c>
      <c r="Y24" s="106" t="s">
        <v>143</v>
      </c>
      <c r="Z24" s="106">
        <f t="shared" si="4"/>
        <v>0</v>
      </c>
      <c r="AA24" s="106" t="str">
        <f t="shared" si="34"/>
        <v>DKG</v>
      </c>
      <c r="AB24" s="112">
        <v>2650000</v>
      </c>
      <c r="AC24" s="105" t="s">
        <v>120</v>
      </c>
      <c r="AD24" s="113">
        <f t="shared" si="5"/>
        <v>13</v>
      </c>
      <c r="AE24" s="113" t="str">
        <f t="shared" si="6"/>
        <v>HS</v>
      </c>
      <c r="AF24" s="114" t="str">
        <f t="shared" si="7"/>
        <v>DKG&lt;-&gt;Hải Hậu, Nam Định</v>
      </c>
      <c r="AG24" s="106" t="str">
        <f t="shared" si="35"/>
        <v>CX001</v>
      </c>
      <c r="AH24" s="106" t="str">
        <f t="shared" si="8"/>
        <v>15C-10812</v>
      </c>
      <c r="AI24" s="109">
        <f t="shared" si="9"/>
        <v>31.283000000000001</v>
      </c>
      <c r="AJ24" s="112">
        <f t="shared" si="9"/>
        <v>450000</v>
      </c>
      <c r="AK24" s="112">
        <f t="shared" si="9"/>
        <v>14077350</v>
      </c>
      <c r="AL24" s="106" t="str">
        <f t="shared" si="10"/>
        <v>DKG</v>
      </c>
      <c r="AM24" s="112">
        <f t="shared" si="10"/>
        <v>2650000</v>
      </c>
      <c r="AN24" s="112">
        <f t="shared" si="36"/>
        <v>2550000</v>
      </c>
      <c r="AO24" s="112">
        <f t="shared" si="11"/>
        <v>100000</v>
      </c>
      <c r="AP24" s="105"/>
      <c r="AQ24" s="109">
        <f t="shared" si="12"/>
        <v>29.71885</v>
      </c>
      <c r="AR24" s="109"/>
      <c r="AS24" s="112">
        <f t="shared" si="46"/>
        <v>385000</v>
      </c>
      <c r="AT24" s="112">
        <f t="shared" si="13"/>
        <v>11441757.25</v>
      </c>
      <c r="AU24" s="112">
        <f t="shared" si="14"/>
        <v>2635592.75</v>
      </c>
      <c r="AV24" s="105" t="str">
        <f t="shared" si="15"/>
        <v/>
      </c>
      <c r="AW24" s="115">
        <f t="shared" si="16"/>
        <v>1.5641500000000015</v>
      </c>
      <c r="AX24" s="115"/>
      <c r="AY24" s="116">
        <f t="shared" si="17"/>
        <v>1684999.9999999984</v>
      </c>
      <c r="AZ24" s="116">
        <f t="shared" si="18"/>
        <v>2635592.75</v>
      </c>
      <c r="BA24" s="116">
        <f t="shared" si="19"/>
        <v>0</v>
      </c>
      <c r="BB24" s="117">
        <f t="shared" si="37"/>
        <v>512110</v>
      </c>
      <c r="BC24" s="117">
        <f t="shared" si="20"/>
        <v>511301</v>
      </c>
      <c r="BD24" s="117">
        <f t="shared" si="21"/>
        <v>5123</v>
      </c>
      <c r="BE24" s="117">
        <f t="shared" si="22"/>
        <v>0</v>
      </c>
      <c r="BF24" s="117">
        <f t="shared" si="23"/>
        <v>0</v>
      </c>
      <c r="BG24" s="117">
        <f t="shared" si="24"/>
        <v>15401</v>
      </c>
      <c r="BH24" s="118">
        <f t="shared" si="38"/>
        <v>6121110</v>
      </c>
      <c r="BI24" s="73" t="s">
        <v>124</v>
      </c>
      <c r="BJ24" s="73" t="str">
        <f t="shared" si="25"/>
        <v>TDG xe 15C-10812</v>
      </c>
      <c r="BK24" s="118" t="str">
        <f t="shared" si="26"/>
        <v>G</v>
      </c>
      <c r="BL24" s="74" t="str">
        <f t="shared" ca="1" si="39"/>
        <v/>
      </c>
      <c r="BM24" s="8" t="str">
        <f t="shared" si="42"/>
        <v>CG00013</v>
      </c>
      <c r="BN24" s="8" t="str">
        <f t="shared" si="40"/>
        <v/>
      </c>
      <c r="BO24" s="8" t="str">
        <f t="shared" si="43"/>
        <v>CG00013</v>
      </c>
      <c r="BP24" s="8" t="str">
        <f t="shared" si="43"/>
        <v>Công ty TNHH Sản xuất và Thương mại Đức Tín (HDHN) 0913010067</v>
      </c>
      <c r="BQ24" s="8" t="str">
        <f t="shared" si="44"/>
        <v>DKG&lt;-&gt;Hải Hậu, Nam Định</v>
      </c>
      <c r="BS24" s="116">
        <f t="shared" si="45"/>
        <v>450000</v>
      </c>
      <c r="BT24" s="119" t="b">
        <f>IF(OR(BM24="CG00047",BM24="Dong Duong",BM24="CG00073",BM24="CG00078",BM24="CG00045"),VLOOKUP(BQ24,[1]gia3!$D$7:$T$206,4,0),IF(OR(BM24="CG00088",BM24="CG00044",),VLOOKUP(BQ24,[1]gia3!$D$7:$T$206,6,0),IF(BM24="Đinh Gia",VLOOKUP(BQ24,[1]gia3!$D$7:$T$206,8,0),IF(OR(BM24="Greeensky",BM24="CG..."),VLOOKUP(BQ24,[1]gia3!$D$7:$T$206,10,0),IF(OR(BM24="Đại Huu",BM24="Vietj Mỹ"),VLOOKUP(BQ24,[1]gia3!$D$7:$T$206,14,0) )))))</f>
        <v>0</v>
      </c>
      <c r="BU24" s="119" t="b">
        <f>IF(OR(BM24="CG00047",BM24="Dong Duong",BM24="CG00073",BM24="CG00078",BM24="CG00045"),VLOOKUP(BQ24,[1]gia3!$D$7:$T$206,5,0),IF(OR(BM24="CG00088",BM24="CG00044",),VLOOKUP(BQ24,[1]gia3!$D$7:$T$206,7,0),IF(BM24="Đinh Gia",VLOOKUP(BQ24,[1]gia3!$D$7:$T$206,9,0),IF(OR(BM24="Greeensky",BM24="CG..."),VLOOKUP(BQ24,[1]gia3!$D$7:$T$206,11,0),IF(OR(BM24="Đại Huu",BM24="Vietj Mỹ"),VLOOKUP(BQ24,[1]gia3!$D$7:$T$206,15,0) )))))</f>
        <v>0</v>
      </c>
      <c r="BV24" s="8" t="str">
        <f t="shared" si="41"/>
        <v>saiiiiiiiiiiiiiiiii</v>
      </c>
      <c r="BX24" s="120">
        <f>VLOOKUP(BQ24,[2]gia3!$D$7:$W$256,19,0)</f>
        <v>4600000</v>
      </c>
      <c r="BY24" s="95" t="str">
        <f t="shared" si="31"/>
        <v/>
      </c>
      <c r="BZ24" s="96" t="e">
        <f t="shared" si="32"/>
        <v>#VALUE!</v>
      </c>
    </row>
    <row r="25" spans="1:78" s="8" customFormat="1" ht="20.100000000000001" customHeight="1" x14ac:dyDescent="0.3">
      <c r="A25" s="97">
        <f>MAX($A$11:A24)+1</f>
        <v>14</v>
      </c>
      <c r="B25" s="98">
        <v>45491</v>
      </c>
      <c r="C25" s="97" t="s">
        <v>186</v>
      </c>
      <c r="D25" s="99" t="s">
        <v>187</v>
      </c>
      <c r="E25" s="100" t="s">
        <v>188</v>
      </c>
      <c r="F25" s="99" t="s">
        <v>189</v>
      </c>
      <c r="G25" s="99"/>
      <c r="H25" s="97" t="s">
        <v>136</v>
      </c>
      <c r="I25" s="97" t="s">
        <v>120</v>
      </c>
      <c r="J25" s="97"/>
      <c r="K25" s="101" t="s">
        <v>190</v>
      </c>
      <c r="L25" s="102" t="s">
        <v>191</v>
      </c>
      <c r="M25" s="103" t="str">
        <f t="shared" si="0"/>
        <v>Yến Tuân</v>
      </c>
      <c r="N25" s="104" t="s">
        <v>195</v>
      </c>
      <c r="O25" s="105" t="str">
        <f t="shared" si="33"/>
        <v>Nguyễn Đắt Đạt</v>
      </c>
      <c r="P25" s="103" t="str">
        <f t="shared" si="1"/>
        <v>HS</v>
      </c>
      <c r="Q25" s="106" t="str">
        <f t="shared" si="2"/>
        <v>HS</v>
      </c>
      <c r="R25" s="103" t="s">
        <v>140</v>
      </c>
      <c r="S25" s="103" t="s">
        <v>141</v>
      </c>
      <c r="T25" s="107" t="s">
        <v>193</v>
      </c>
      <c r="U25" s="108">
        <v>6</v>
      </c>
      <c r="V25" s="109">
        <v>31.846</v>
      </c>
      <c r="W25" s="110">
        <v>450000</v>
      </c>
      <c r="X25" s="111">
        <f t="shared" si="3"/>
        <v>14330700</v>
      </c>
      <c r="Y25" s="106" t="s">
        <v>143</v>
      </c>
      <c r="Z25" s="106">
        <f t="shared" si="4"/>
        <v>0</v>
      </c>
      <c r="AA25" s="106" t="str">
        <f t="shared" si="34"/>
        <v>DKG</v>
      </c>
      <c r="AB25" s="112">
        <v>2650000</v>
      </c>
      <c r="AC25" s="105" t="s">
        <v>120</v>
      </c>
      <c r="AD25" s="113">
        <f t="shared" si="5"/>
        <v>14</v>
      </c>
      <c r="AE25" s="113" t="str">
        <f t="shared" si="6"/>
        <v>HS</v>
      </c>
      <c r="AF25" s="114" t="str">
        <f t="shared" si="7"/>
        <v>DKG&lt;-&gt;Hải Hậu, Nam Định</v>
      </c>
      <c r="AG25" s="106" t="str">
        <f t="shared" si="35"/>
        <v>CX004</v>
      </c>
      <c r="AH25" s="106" t="str">
        <f t="shared" si="8"/>
        <v>15C-01889</v>
      </c>
      <c r="AI25" s="109">
        <f t="shared" si="9"/>
        <v>31.846</v>
      </c>
      <c r="AJ25" s="112">
        <f t="shared" si="9"/>
        <v>450000</v>
      </c>
      <c r="AK25" s="112">
        <f t="shared" si="9"/>
        <v>14330700</v>
      </c>
      <c r="AL25" s="106" t="str">
        <f t="shared" si="10"/>
        <v>DKG</v>
      </c>
      <c r="AM25" s="112">
        <f t="shared" si="10"/>
        <v>2650000</v>
      </c>
      <c r="AN25" s="112">
        <f t="shared" si="36"/>
        <v>2550000</v>
      </c>
      <c r="AO25" s="112">
        <f t="shared" si="11"/>
        <v>100000</v>
      </c>
      <c r="AP25" s="105"/>
      <c r="AQ25" s="109">
        <f t="shared" si="12"/>
        <v>30.253699999999998</v>
      </c>
      <c r="AR25" s="109"/>
      <c r="AS25" s="112">
        <f t="shared" si="46"/>
        <v>385000</v>
      </c>
      <c r="AT25" s="112">
        <f t="shared" si="13"/>
        <v>11647674.5</v>
      </c>
      <c r="AU25" s="112">
        <f t="shared" si="14"/>
        <v>2683025.5</v>
      </c>
      <c r="AV25" s="105" t="str">
        <f t="shared" si="15"/>
        <v/>
      </c>
      <c r="AW25" s="115">
        <f t="shared" si="16"/>
        <v>1.5923000000000016</v>
      </c>
      <c r="AX25" s="115"/>
      <c r="AY25" s="116">
        <f t="shared" si="17"/>
        <v>1684999.9999999984</v>
      </c>
      <c r="AZ25" s="116">
        <f t="shared" si="18"/>
        <v>2683025.5</v>
      </c>
      <c r="BA25" s="116">
        <f t="shared" si="19"/>
        <v>0</v>
      </c>
      <c r="BB25" s="117">
        <f t="shared" si="37"/>
        <v>512221</v>
      </c>
      <c r="BC25" s="117">
        <f t="shared" si="20"/>
        <v>511301</v>
      </c>
      <c r="BD25" s="117">
        <f t="shared" si="21"/>
        <v>5123</v>
      </c>
      <c r="BE25" s="117">
        <f t="shared" si="22"/>
        <v>0</v>
      </c>
      <c r="BF25" s="117">
        <f t="shared" si="23"/>
        <v>331</v>
      </c>
      <c r="BG25" s="117">
        <f t="shared" si="24"/>
        <v>331</v>
      </c>
      <c r="BH25" s="118">
        <f t="shared" si="38"/>
        <v>0</v>
      </c>
      <c r="BI25" s="73" t="s">
        <v>124</v>
      </c>
      <c r="BJ25" s="73" t="str">
        <f t="shared" si="25"/>
        <v>TDG xe 15C-01889</v>
      </c>
      <c r="BK25" s="118" t="str">
        <f t="shared" si="26"/>
        <v>G</v>
      </c>
      <c r="BL25" s="74" t="str">
        <f t="shared" ca="1" si="39"/>
        <v/>
      </c>
      <c r="BM25" s="8" t="str">
        <f t="shared" si="42"/>
        <v>CG00013</v>
      </c>
      <c r="BN25" s="8" t="str">
        <f t="shared" si="40"/>
        <v/>
      </c>
      <c r="BO25" s="8" t="str">
        <f t="shared" si="43"/>
        <v>CG00013</v>
      </c>
      <c r="BP25" s="8" t="str">
        <f t="shared" si="43"/>
        <v>Công ty TNHH Sản xuất và Thương mại Đức Tín (HDHN) 0913010067</v>
      </c>
      <c r="BQ25" s="8" t="str">
        <f t="shared" si="44"/>
        <v>DKG&lt;-&gt;Hải Hậu, Nam Định</v>
      </c>
      <c r="BS25" s="116">
        <f t="shared" si="45"/>
        <v>450000</v>
      </c>
      <c r="BT25" s="119" t="b">
        <f>IF(OR(BM25="CG00047",BM25="Dong Duong",BM25="CG00073",BM25="CG00078",BM25="CG00045"),VLOOKUP(BQ25,[1]gia3!$D$7:$T$206,4,0),IF(OR(BM25="CG00088",BM25="CG00044",),VLOOKUP(BQ25,[1]gia3!$D$7:$T$206,6,0),IF(BM25="Đinh Gia",VLOOKUP(BQ25,[1]gia3!$D$7:$T$206,8,0),IF(OR(BM25="Greeensky",BM25="CG..."),VLOOKUP(BQ25,[1]gia3!$D$7:$T$206,10,0),IF(OR(BM25="Đại Huu",BM25="Vietj Mỹ"),VLOOKUP(BQ25,[1]gia3!$D$7:$T$206,14,0) )))))</f>
        <v>0</v>
      </c>
      <c r="BU25" s="119" t="b">
        <f>IF(OR(BM25="CG00047",BM25="Dong Duong",BM25="CG00073",BM25="CG00078",BM25="CG00045"),VLOOKUP(BQ25,[1]gia3!$D$7:$T$206,5,0),IF(OR(BM25="CG00088",BM25="CG00044",),VLOOKUP(BQ25,[1]gia3!$D$7:$T$206,7,0),IF(BM25="Đinh Gia",VLOOKUP(BQ25,[1]gia3!$D$7:$T$206,9,0),IF(OR(BM25="Greeensky",BM25="CG..."),VLOOKUP(BQ25,[1]gia3!$D$7:$T$206,11,0),IF(OR(BM25="Đại Huu",BM25="Vietj Mỹ"),VLOOKUP(BQ25,[1]gia3!$D$7:$T$206,15,0) )))))</f>
        <v>0</v>
      </c>
      <c r="BV25" s="8" t="str">
        <f t="shared" si="41"/>
        <v>saiiiiiiiiiiiiiiiii</v>
      </c>
      <c r="BX25" s="120">
        <f>VLOOKUP(BQ25,[2]gia3!$D$7:$W$256,19,0)</f>
        <v>4600000</v>
      </c>
      <c r="BY25" s="95" t="str">
        <f t="shared" si="31"/>
        <v/>
      </c>
      <c r="BZ25" s="96" t="e">
        <f t="shared" si="32"/>
        <v>#VALUE!</v>
      </c>
    </row>
    <row r="26" spans="1:78" s="8" customFormat="1" ht="20.100000000000001" customHeight="1" x14ac:dyDescent="0.3">
      <c r="A26" s="97">
        <f>MAX($A$11:A25)+1</f>
        <v>15</v>
      </c>
      <c r="B26" s="98">
        <v>45491</v>
      </c>
      <c r="C26" s="97" t="s">
        <v>196</v>
      </c>
      <c r="D26" s="99" t="s">
        <v>197</v>
      </c>
      <c r="E26" s="100" t="s">
        <v>120</v>
      </c>
      <c r="F26" s="99" t="s">
        <v>198</v>
      </c>
      <c r="G26" s="99"/>
      <c r="H26" s="97" t="s">
        <v>136</v>
      </c>
      <c r="I26" s="97" t="s">
        <v>120</v>
      </c>
      <c r="J26" s="97"/>
      <c r="K26" s="101" t="s">
        <v>190</v>
      </c>
      <c r="L26" s="102" t="s">
        <v>191</v>
      </c>
      <c r="M26" s="103" t="str">
        <f t="shared" si="0"/>
        <v>Hoàng Sơn</v>
      </c>
      <c r="N26" s="104" t="s">
        <v>199</v>
      </c>
      <c r="O26" s="105" t="str">
        <f t="shared" si="33"/>
        <v>Ngô Quang Hưng</v>
      </c>
      <c r="P26" s="103" t="str">
        <f t="shared" si="1"/>
        <v>HS</v>
      </c>
      <c r="Q26" s="106" t="str">
        <f t="shared" si="2"/>
        <v>HS</v>
      </c>
      <c r="R26" s="103" t="s">
        <v>140</v>
      </c>
      <c r="S26" s="103" t="s">
        <v>141</v>
      </c>
      <c r="T26" s="107" t="s">
        <v>158</v>
      </c>
      <c r="U26" s="108">
        <v>5</v>
      </c>
      <c r="V26" s="109">
        <v>32.131</v>
      </c>
      <c r="W26" s="110">
        <v>450000</v>
      </c>
      <c r="X26" s="111">
        <f t="shared" si="3"/>
        <v>14458950</v>
      </c>
      <c r="Y26" s="106" t="s">
        <v>151</v>
      </c>
      <c r="Z26" s="106">
        <f t="shared" si="4"/>
        <v>0</v>
      </c>
      <c r="AA26" s="106" t="str">
        <f t="shared" si="34"/>
        <v>DKG</v>
      </c>
      <c r="AB26" s="112">
        <v>2650000</v>
      </c>
      <c r="AC26" s="105" t="s">
        <v>120</v>
      </c>
      <c r="AD26" s="113">
        <f t="shared" si="5"/>
        <v>15</v>
      </c>
      <c r="AE26" s="113" t="str">
        <f t="shared" si="6"/>
        <v>HS</v>
      </c>
      <c r="AF26" s="114" t="str">
        <f t="shared" si="7"/>
        <v>DKG&lt;-&gt;Hải Hậu, Nam Định</v>
      </c>
      <c r="AG26" s="106" t="str">
        <f t="shared" si="35"/>
        <v>CX002</v>
      </c>
      <c r="AH26" s="106" t="str">
        <f t="shared" si="8"/>
        <v>15C-03470</v>
      </c>
      <c r="AI26" s="109">
        <f t="shared" si="9"/>
        <v>32.131</v>
      </c>
      <c r="AJ26" s="112">
        <f t="shared" si="9"/>
        <v>450000</v>
      </c>
      <c r="AK26" s="112">
        <f t="shared" si="9"/>
        <v>14458950</v>
      </c>
      <c r="AL26" s="106" t="str">
        <f t="shared" si="10"/>
        <v>DKG</v>
      </c>
      <c r="AM26" s="112">
        <f t="shared" si="10"/>
        <v>2650000</v>
      </c>
      <c r="AN26" s="112">
        <f t="shared" si="36"/>
        <v>2550000</v>
      </c>
      <c r="AO26" s="112">
        <f t="shared" si="11"/>
        <v>100000</v>
      </c>
      <c r="AP26" s="105"/>
      <c r="AQ26" s="109">
        <f t="shared" si="12"/>
        <v>30.524449999999998</v>
      </c>
      <c r="AR26" s="109"/>
      <c r="AS26" s="112">
        <f t="shared" si="46"/>
        <v>385000</v>
      </c>
      <c r="AT26" s="112">
        <f t="shared" si="13"/>
        <v>11751913.25</v>
      </c>
      <c r="AU26" s="112">
        <f t="shared" si="14"/>
        <v>2707036.75</v>
      </c>
      <c r="AV26" s="105" t="str">
        <f t="shared" si="15"/>
        <v/>
      </c>
      <c r="AW26" s="115">
        <f t="shared" si="16"/>
        <v>1.6065500000000021</v>
      </c>
      <c r="AX26" s="115"/>
      <c r="AY26" s="116">
        <f t="shared" si="17"/>
        <v>1684999.9999999977</v>
      </c>
      <c r="AZ26" s="116">
        <f t="shared" si="18"/>
        <v>2707036.75</v>
      </c>
      <c r="BA26" s="116">
        <f t="shared" si="19"/>
        <v>0</v>
      </c>
      <c r="BB26" s="117">
        <f t="shared" si="37"/>
        <v>512212</v>
      </c>
      <c r="BC26" s="117">
        <f t="shared" si="20"/>
        <v>511301</v>
      </c>
      <c r="BD26" s="117">
        <f t="shared" si="21"/>
        <v>5123</v>
      </c>
      <c r="BE26" s="117">
        <f t="shared" si="22"/>
        <v>0</v>
      </c>
      <c r="BF26" s="117">
        <f t="shared" si="23"/>
        <v>331</v>
      </c>
      <c r="BG26" s="117">
        <f t="shared" si="24"/>
        <v>331</v>
      </c>
      <c r="BH26" s="118">
        <f t="shared" si="38"/>
        <v>0</v>
      </c>
      <c r="BI26" s="73" t="s">
        <v>124</v>
      </c>
      <c r="BJ26" s="73" t="str">
        <f t="shared" si="25"/>
        <v>TDG xe 15C-03470</v>
      </c>
      <c r="BK26" s="118" t="str">
        <f t="shared" si="26"/>
        <v>G</v>
      </c>
      <c r="BL26" s="74">
        <f t="shared" ca="1" si="39"/>
        <v>45492</v>
      </c>
      <c r="BM26" s="8" t="str">
        <f t="shared" si="42"/>
        <v>CG00287</v>
      </c>
      <c r="BN26" s="8" t="str">
        <f t="shared" si="40"/>
        <v/>
      </c>
      <c r="BO26" s="8" t="str">
        <f t="shared" si="43"/>
        <v>CG00287</v>
      </c>
      <c r="BP26" s="8" t="str">
        <f t="shared" si="43"/>
        <v>Nguyễn Việt Hân (HVHHND) 162880908 0985579389</v>
      </c>
      <c r="BQ26" s="8" t="str">
        <f t="shared" si="44"/>
        <v>DKG&lt;-&gt;Hải Hậu, Nam Định</v>
      </c>
      <c r="BS26" s="116">
        <f t="shared" si="45"/>
        <v>450000</v>
      </c>
      <c r="BT26" s="119" t="b">
        <f>IF(OR(BM26="CG00047",BM26="Dong Duong",BM26="CG00073",BM26="CG00078",BM26="CG00045"),VLOOKUP(BQ26,[1]gia3!$D$7:$T$206,4,0),IF(OR(BM26="CG00088",BM26="CG00044",),VLOOKUP(BQ26,[1]gia3!$D$7:$T$206,6,0),IF(BM26="Đinh Gia",VLOOKUP(BQ26,[1]gia3!$D$7:$T$206,8,0),IF(OR(BM26="Greeensky",BM26="CG..."),VLOOKUP(BQ26,[1]gia3!$D$7:$T$206,10,0),IF(OR(BM26="Đại Huu",BM26="Vietj Mỹ"),VLOOKUP(BQ26,[1]gia3!$D$7:$T$206,14,0) )))))</f>
        <v>0</v>
      </c>
      <c r="BU26" s="119" t="b">
        <f>IF(OR(BM26="CG00047",BM26="Dong Duong",BM26="CG00073",BM26="CG00078",BM26="CG00045"),VLOOKUP(BQ26,[1]gia3!$D$7:$T$206,5,0),IF(OR(BM26="CG00088",BM26="CG00044",),VLOOKUP(BQ26,[1]gia3!$D$7:$T$206,7,0),IF(BM26="Đinh Gia",VLOOKUP(BQ26,[1]gia3!$D$7:$T$206,9,0),IF(OR(BM26="Greeensky",BM26="CG..."),VLOOKUP(BQ26,[1]gia3!$D$7:$T$206,11,0),IF(OR(BM26="Đại Huu",BM26="Vietj Mỹ"),VLOOKUP(BQ26,[1]gia3!$D$7:$T$206,15,0) )))))</f>
        <v>0</v>
      </c>
      <c r="BV26" s="8" t="str">
        <f t="shared" si="41"/>
        <v>saiiiiiiiiiiiiiiiii</v>
      </c>
      <c r="BX26" s="120">
        <f>VLOOKUP(BQ26,[2]gia3!$D$7:$W$256,19,0)</f>
        <v>4600000</v>
      </c>
      <c r="BY26" s="95" t="str">
        <f t="shared" si="31"/>
        <v/>
      </c>
      <c r="BZ26" s="96" t="e">
        <f t="shared" si="32"/>
        <v>#VALUE!</v>
      </c>
    </row>
    <row r="27" spans="1:78" s="8" customFormat="1" ht="20.100000000000001" customHeight="1" x14ac:dyDescent="0.3">
      <c r="A27" s="97">
        <f>MAX($A$11:A26)+1</f>
        <v>16</v>
      </c>
      <c r="B27" s="98">
        <v>45491</v>
      </c>
      <c r="C27" s="97" t="s">
        <v>200</v>
      </c>
      <c r="D27" s="99" t="s">
        <v>201</v>
      </c>
      <c r="E27" s="100" t="s">
        <v>202</v>
      </c>
      <c r="F27" s="99" t="s">
        <v>203</v>
      </c>
      <c r="G27" s="99"/>
      <c r="H27" s="97" t="s">
        <v>136</v>
      </c>
      <c r="I27" s="97" t="s">
        <v>120</v>
      </c>
      <c r="J27" s="97"/>
      <c r="K27" s="101" t="s">
        <v>204</v>
      </c>
      <c r="L27" s="102" t="s">
        <v>205</v>
      </c>
      <c r="M27" s="103" t="str">
        <f t="shared" si="0"/>
        <v>Hoàng Sơn</v>
      </c>
      <c r="N27" s="104" t="s">
        <v>149</v>
      </c>
      <c r="O27" s="105" t="str">
        <f t="shared" si="33"/>
        <v>Đặng Thanh Sơn</v>
      </c>
      <c r="P27" s="103" t="str">
        <f t="shared" si="1"/>
        <v>HS</v>
      </c>
      <c r="Q27" s="106" t="str">
        <f t="shared" si="2"/>
        <v>HS</v>
      </c>
      <c r="R27" s="103" t="s">
        <v>206</v>
      </c>
      <c r="S27" s="103" t="s">
        <v>141</v>
      </c>
      <c r="T27" s="107" t="s">
        <v>207</v>
      </c>
      <c r="U27" s="108">
        <v>22</v>
      </c>
      <c r="V27" s="109">
        <v>23</v>
      </c>
      <c r="W27" s="110">
        <v>200000</v>
      </c>
      <c r="X27" s="111">
        <f t="shared" si="3"/>
        <v>4600000</v>
      </c>
      <c r="Y27" s="106" t="s">
        <v>122</v>
      </c>
      <c r="Z27" s="106" t="str">
        <f t="shared" si="4"/>
        <v>OK/NO</v>
      </c>
      <c r="AA27" s="106" t="str">
        <f t="shared" si="34"/>
        <v>DKG</v>
      </c>
      <c r="AB27" s="112">
        <v>100000</v>
      </c>
      <c r="AC27" s="105" t="s">
        <v>120</v>
      </c>
      <c r="AD27" s="113">
        <f t="shared" si="5"/>
        <v>16</v>
      </c>
      <c r="AE27" s="113" t="str">
        <f t="shared" si="6"/>
        <v>HS</v>
      </c>
      <c r="AF27" s="114" t="str">
        <f t="shared" si="7"/>
        <v>DKG&lt;-&gt;Bãi Namtraco</v>
      </c>
      <c r="AG27" s="106" t="str">
        <f t="shared" si="35"/>
        <v>CX001</v>
      </c>
      <c r="AH27" s="106" t="str">
        <f t="shared" si="8"/>
        <v>15C-13616</v>
      </c>
      <c r="AI27" s="109">
        <f t="shared" ref="AI27:AK35" si="47">V27</f>
        <v>23</v>
      </c>
      <c r="AJ27" s="112">
        <f t="shared" si="47"/>
        <v>200000</v>
      </c>
      <c r="AK27" s="112">
        <f t="shared" si="47"/>
        <v>4600000</v>
      </c>
      <c r="AL27" s="106" t="str">
        <f t="shared" ref="AL27:AM35" si="48">AA27</f>
        <v>DKG</v>
      </c>
      <c r="AM27" s="112">
        <f t="shared" si="48"/>
        <v>100000</v>
      </c>
      <c r="AN27" s="112">
        <f t="shared" si="36"/>
        <v>100000</v>
      </c>
      <c r="AO27" s="112">
        <f t="shared" si="11"/>
        <v>0</v>
      </c>
      <c r="AP27" s="105"/>
      <c r="AQ27" s="109">
        <f t="shared" si="12"/>
        <v>21.849999999999998</v>
      </c>
      <c r="AR27" s="109"/>
      <c r="AS27" s="112">
        <f t="shared" si="46"/>
        <v>36613.272311212815</v>
      </c>
      <c r="AT27" s="112">
        <f t="shared" si="13"/>
        <v>799999.99999999988</v>
      </c>
      <c r="AU27" s="112">
        <f t="shared" si="14"/>
        <v>3800000</v>
      </c>
      <c r="AV27" s="105" t="str">
        <f t="shared" si="15"/>
        <v/>
      </c>
      <c r="AW27" s="115">
        <f t="shared" si="16"/>
        <v>1.1500000000000021</v>
      </c>
      <c r="AX27" s="115"/>
      <c r="AY27" s="116">
        <f t="shared" si="17"/>
        <v>3304347.8260869505</v>
      </c>
      <c r="AZ27" s="116">
        <f t="shared" si="18"/>
        <v>3800000</v>
      </c>
      <c r="BA27" s="116">
        <f t="shared" si="19"/>
        <v>0</v>
      </c>
      <c r="BB27" s="117">
        <f t="shared" si="37"/>
        <v>512117</v>
      </c>
      <c r="BC27" s="117">
        <f t="shared" si="20"/>
        <v>511301</v>
      </c>
      <c r="BD27" s="117">
        <f t="shared" si="21"/>
        <v>5123</v>
      </c>
      <c r="BE27" s="117">
        <f t="shared" si="22"/>
        <v>0</v>
      </c>
      <c r="BF27" s="117">
        <f t="shared" si="23"/>
        <v>0</v>
      </c>
      <c r="BG27" s="117">
        <f t="shared" si="24"/>
        <v>15401</v>
      </c>
      <c r="BH27" s="118">
        <f t="shared" si="38"/>
        <v>6121117</v>
      </c>
      <c r="BI27" s="73" t="s">
        <v>124</v>
      </c>
      <c r="BJ27" s="73" t="str">
        <f t="shared" si="25"/>
        <v>TDG xe 15C-13616</v>
      </c>
      <c r="BK27" s="118" t="str">
        <f t="shared" si="26"/>
        <v>G</v>
      </c>
      <c r="BL27" s="74" t="str">
        <f t="shared" ca="1" si="39"/>
        <v/>
      </c>
      <c r="BM27" s="8" t="str">
        <f t="shared" si="42"/>
        <v>CG00044</v>
      </c>
      <c r="BN27" s="8" t="str">
        <f t="shared" si="40"/>
        <v/>
      </c>
      <c r="BO27" s="8" t="str">
        <f t="shared" si="43"/>
        <v>CG00044</v>
      </c>
      <c r="BP27" s="8" t="str">
        <f t="shared" si="43"/>
        <v>Công ty TNHH Thương mại và Sản xuất Trí Dũng (QOHN) 0905557788</v>
      </c>
      <c r="BQ27" s="8" t="str">
        <f t="shared" si="44"/>
        <v>DKG&lt;-&gt;Bãi Namtraco</v>
      </c>
      <c r="BS27" s="116">
        <f t="shared" si="45"/>
        <v>200000</v>
      </c>
      <c r="BT27" s="119" t="e">
        <f>IF(OR(BM27="CG00047",BM27="Dong Duong",BM27="CG00073",BM27="CG00078",BM27="CG00045"),VLOOKUP(BQ27,[1]gia3!$D$7:$T$206,4,0),IF(OR(BM27="CG00088",BM27="CG00044",),VLOOKUP(BQ27,[1]gia3!$D$7:$T$206,6,0),IF(BM27="Đinh Gia",VLOOKUP(BQ27,[1]gia3!$D$7:$T$206,8,0),IF(OR(BM27="Greeensky",BM27="CG..."),VLOOKUP(BQ27,[1]gia3!$D$7:$T$206,10,0),IF(OR(BM27="Đại Huu",BM27="Vietj Mỹ"),VLOOKUP(BQ27,[1]gia3!$D$7:$T$206,14,0) )))))</f>
        <v>#N/A</v>
      </c>
      <c r="BU27" s="119" t="e">
        <f>IF(OR(BM27="CG00047",BM27="Dong Duong",BM27="CG00073",BM27="CG00078",BM27="CG00045"),VLOOKUP(BQ27,[1]gia3!$D$7:$T$206,5,0),IF(OR(BM27="CG00088",BM27="CG00044",),VLOOKUP(BQ27,[1]gia3!$D$7:$T$206,7,0),IF(BM27="Đinh Gia",VLOOKUP(BQ27,[1]gia3!$D$7:$T$206,9,0),IF(OR(BM27="Greeensky",BM27="CG..."),VLOOKUP(BQ27,[1]gia3!$D$7:$T$206,11,0),IF(OR(BM27="Đại Huu",BM27="Vietj Mỹ"),VLOOKUP(BQ27,[1]gia3!$D$7:$T$206,15,0) )))))</f>
        <v>#N/A</v>
      </c>
      <c r="BV27" s="8" t="e">
        <f t="shared" si="41"/>
        <v>#N/A</v>
      </c>
      <c r="BX27" s="120" t="e">
        <f>VLOOKUP(BQ27,[2]gia3!$D$7:$W$256,19,0)</f>
        <v>#N/A</v>
      </c>
      <c r="BY27" s="95" t="str">
        <f t="shared" si="31"/>
        <v/>
      </c>
      <c r="BZ27" s="96" t="e">
        <f t="shared" si="32"/>
        <v>#VALUE!</v>
      </c>
    </row>
    <row r="28" spans="1:78" s="8" customFormat="1" ht="20.100000000000001" customHeight="1" x14ac:dyDescent="0.3">
      <c r="A28" s="97">
        <f>MAX($A$11:A27)+1</f>
        <v>17</v>
      </c>
      <c r="B28" s="98">
        <v>45491</v>
      </c>
      <c r="C28" s="97" t="s">
        <v>200</v>
      </c>
      <c r="D28" s="99" t="s">
        <v>201</v>
      </c>
      <c r="E28" s="100" t="s">
        <v>202</v>
      </c>
      <c r="F28" s="99" t="s">
        <v>203</v>
      </c>
      <c r="G28" s="99"/>
      <c r="H28" s="97" t="s">
        <v>136</v>
      </c>
      <c r="I28" s="97" t="s">
        <v>120</v>
      </c>
      <c r="J28" s="97"/>
      <c r="K28" s="101" t="s">
        <v>204</v>
      </c>
      <c r="L28" s="102" t="s">
        <v>205</v>
      </c>
      <c r="M28" s="103" t="str">
        <f t="shared" si="0"/>
        <v>Hoàng Sơn</v>
      </c>
      <c r="N28" s="104" t="s">
        <v>139</v>
      </c>
      <c r="O28" s="105" t="str">
        <f t="shared" si="33"/>
        <v>Trương Văn Cao</v>
      </c>
      <c r="P28" s="103" t="str">
        <f t="shared" si="1"/>
        <v>HS</v>
      </c>
      <c r="Q28" s="106" t="str">
        <f t="shared" si="2"/>
        <v>HS</v>
      </c>
      <c r="R28" s="103" t="s">
        <v>206</v>
      </c>
      <c r="S28" s="103" t="s">
        <v>141</v>
      </c>
      <c r="T28" s="107" t="s">
        <v>207</v>
      </c>
      <c r="U28" s="108">
        <v>25</v>
      </c>
      <c r="V28" s="109">
        <v>23</v>
      </c>
      <c r="W28" s="110">
        <v>200000</v>
      </c>
      <c r="X28" s="111">
        <f t="shared" si="3"/>
        <v>4600000</v>
      </c>
      <c r="Y28" s="106" t="s">
        <v>122</v>
      </c>
      <c r="Z28" s="106" t="str">
        <f t="shared" si="4"/>
        <v>OK/NO</v>
      </c>
      <c r="AA28" s="106" t="str">
        <f t="shared" si="34"/>
        <v>DKG</v>
      </c>
      <c r="AB28" s="112">
        <v>100000</v>
      </c>
      <c r="AC28" s="105" t="s">
        <v>120</v>
      </c>
      <c r="AD28" s="113">
        <f t="shared" si="5"/>
        <v>17</v>
      </c>
      <c r="AE28" s="113" t="str">
        <f t="shared" si="6"/>
        <v>HS</v>
      </c>
      <c r="AF28" s="114" t="str">
        <f t="shared" si="7"/>
        <v>DKG&lt;-&gt;Bãi Namtraco</v>
      </c>
      <c r="AG28" s="106" t="str">
        <f t="shared" si="35"/>
        <v>CX001</v>
      </c>
      <c r="AH28" s="106" t="str">
        <f t="shared" si="8"/>
        <v>15C-13840</v>
      </c>
      <c r="AI28" s="109">
        <f t="shared" si="47"/>
        <v>23</v>
      </c>
      <c r="AJ28" s="112">
        <f t="shared" si="47"/>
        <v>200000</v>
      </c>
      <c r="AK28" s="112">
        <f t="shared" si="47"/>
        <v>4600000</v>
      </c>
      <c r="AL28" s="106" t="str">
        <f t="shared" si="48"/>
        <v>DKG</v>
      </c>
      <c r="AM28" s="112">
        <f t="shared" si="48"/>
        <v>100000</v>
      </c>
      <c r="AN28" s="112">
        <f t="shared" si="36"/>
        <v>100000</v>
      </c>
      <c r="AO28" s="112">
        <f t="shared" si="11"/>
        <v>0</v>
      </c>
      <c r="AP28" s="105"/>
      <c r="AQ28" s="109">
        <f t="shared" si="12"/>
        <v>21.849999999999998</v>
      </c>
      <c r="AR28" s="109"/>
      <c r="AS28" s="112">
        <f t="shared" si="46"/>
        <v>36613.272311212815</v>
      </c>
      <c r="AT28" s="112">
        <f t="shared" si="13"/>
        <v>799999.99999999988</v>
      </c>
      <c r="AU28" s="112">
        <f t="shared" si="14"/>
        <v>3800000</v>
      </c>
      <c r="AV28" s="105" t="str">
        <f t="shared" si="15"/>
        <v/>
      </c>
      <c r="AW28" s="115">
        <f t="shared" si="16"/>
        <v>1.1500000000000021</v>
      </c>
      <c r="AX28" s="115"/>
      <c r="AY28" s="116">
        <f t="shared" si="17"/>
        <v>3304347.8260869505</v>
      </c>
      <c r="AZ28" s="116">
        <f t="shared" si="18"/>
        <v>3800000</v>
      </c>
      <c r="BA28" s="116">
        <f t="shared" si="19"/>
        <v>0</v>
      </c>
      <c r="BB28" s="117">
        <f t="shared" si="37"/>
        <v>512118</v>
      </c>
      <c r="BC28" s="117">
        <f t="shared" si="20"/>
        <v>511301</v>
      </c>
      <c r="BD28" s="117">
        <f t="shared" si="21"/>
        <v>5123</v>
      </c>
      <c r="BE28" s="117">
        <f t="shared" si="22"/>
        <v>0</v>
      </c>
      <c r="BF28" s="117">
        <f t="shared" si="23"/>
        <v>0</v>
      </c>
      <c r="BG28" s="117">
        <f t="shared" si="24"/>
        <v>15401</v>
      </c>
      <c r="BH28" s="118">
        <f t="shared" si="38"/>
        <v>6121118</v>
      </c>
      <c r="BI28" s="73" t="s">
        <v>124</v>
      </c>
      <c r="BJ28" s="73" t="str">
        <f t="shared" si="25"/>
        <v>TDG xe 15C-13840</v>
      </c>
      <c r="BK28" s="118" t="str">
        <f t="shared" si="26"/>
        <v>G</v>
      </c>
      <c r="BL28" s="74" t="str">
        <f t="shared" ca="1" si="39"/>
        <v/>
      </c>
      <c r="BM28" s="8" t="str">
        <f t="shared" si="42"/>
        <v>CG00044</v>
      </c>
      <c r="BN28" s="8" t="str">
        <f t="shared" si="40"/>
        <v/>
      </c>
      <c r="BO28" s="8" t="str">
        <f t="shared" si="43"/>
        <v>CG00044</v>
      </c>
      <c r="BP28" s="8" t="str">
        <f t="shared" si="43"/>
        <v>Công ty TNHH Thương mại và Sản xuất Trí Dũng (QOHN) 0905557788</v>
      </c>
      <c r="BQ28" s="8" t="str">
        <f t="shared" si="44"/>
        <v>DKG&lt;-&gt;Bãi Namtraco</v>
      </c>
      <c r="BS28" s="116">
        <f t="shared" si="45"/>
        <v>200000</v>
      </c>
      <c r="BT28" s="119" t="e">
        <f>IF(OR(BM28="CG00047",BM28="Dong Duong",BM28="CG00073",BM28="CG00078",BM28="CG00045"),VLOOKUP(BQ28,[1]gia3!$D$7:$T$206,4,0),IF(OR(BM28="CG00088",BM28="CG00044",),VLOOKUP(BQ28,[1]gia3!$D$7:$T$206,6,0),IF(BM28="Đinh Gia",VLOOKUP(BQ28,[1]gia3!$D$7:$T$206,8,0),IF(OR(BM28="Greeensky",BM28="CG..."),VLOOKUP(BQ28,[1]gia3!$D$7:$T$206,10,0),IF(OR(BM28="Đại Huu",BM28="Vietj Mỹ"),VLOOKUP(BQ28,[1]gia3!$D$7:$T$206,14,0) )))))</f>
        <v>#N/A</v>
      </c>
      <c r="BU28" s="119" t="e">
        <f>IF(OR(BM28="CG00047",BM28="Dong Duong",BM28="CG00073",BM28="CG00078",BM28="CG00045"),VLOOKUP(BQ28,[1]gia3!$D$7:$T$206,5,0),IF(OR(BM28="CG00088",BM28="CG00044",),VLOOKUP(BQ28,[1]gia3!$D$7:$T$206,7,0),IF(BM28="Đinh Gia",VLOOKUP(BQ28,[1]gia3!$D$7:$T$206,9,0),IF(OR(BM28="Greeensky",BM28="CG..."),VLOOKUP(BQ28,[1]gia3!$D$7:$T$206,11,0),IF(OR(BM28="Đại Huu",BM28="Vietj Mỹ"),VLOOKUP(BQ28,[1]gia3!$D$7:$T$206,15,0) )))))</f>
        <v>#N/A</v>
      </c>
      <c r="BV28" s="8" t="e">
        <f t="shared" si="41"/>
        <v>#N/A</v>
      </c>
      <c r="BX28" s="120" t="e">
        <f>VLOOKUP(BQ28,[2]gia3!$D$7:$W$256,19,0)</f>
        <v>#N/A</v>
      </c>
      <c r="BY28" s="95" t="str">
        <f t="shared" si="31"/>
        <v/>
      </c>
      <c r="BZ28" s="96" t="e">
        <f t="shared" si="32"/>
        <v>#VALUE!</v>
      </c>
    </row>
    <row r="29" spans="1:78" s="8" customFormat="1" ht="20.100000000000001" customHeight="1" x14ac:dyDescent="0.3">
      <c r="A29" s="97">
        <f>MAX($A$11:A28)+1</f>
        <v>18</v>
      </c>
      <c r="B29" s="98">
        <v>45491</v>
      </c>
      <c r="C29" s="97" t="s">
        <v>200</v>
      </c>
      <c r="D29" s="99" t="s">
        <v>201</v>
      </c>
      <c r="E29" s="100" t="s">
        <v>202</v>
      </c>
      <c r="F29" s="99" t="s">
        <v>203</v>
      </c>
      <c r="G29" s="99"/>
      <c r="H29" s="97" t="s">
        <v>136</v>
      </c>
      <c r="I29" s="97" t="s">
        <v>120</v>
      </c>
      <c r="J29" s="97"/>
      <c r="K29" s="101" t="s">
        <v>204</v>
      </c>
      <c r="L29" s="102" t="s">
        <v>205</v>
      </c>
      <c r="M29" s="103" t="str">
        <f t="shared" si="0"/>
        <v>Hoàng Sơn</v>
      </c>
      <c r="N29" s="104" t="s">
        <v>149</v>
      </c>
      <c r="O29" s="105" t="str">
        <f t="shared" si="33"/>
        <v>Đặng Thanh Sơn</v>
      </c>
      <c r="P29" s="103" t="str">
        <f t="shared" si="1"/>
        <v>HS</v>
      </c>
      <c r="Q29" s="106" t="str">
        <f t="shared" si="2"/>
        <v>HS</v>
      </c>
      <c r="R29" s="103" t="s">
        <v>206</v>
      </c>
      <c r="S29" s="103" t="s">
        <v>141</v>
      </c>
      <c r="T29" s="107" t="s">
        <v>207</v>
      </c>
      <c r="U29" s="108">
        <v>13</v>
      </c>
      <c r="V29" s="109">
        <v>23</v>
      </c>
      <c r="W29" s="110">
        <v>200000</v>
      </c>
      <c r="X29" s="111">
        <f t="shared" si="3"/>
        <v>4600000</v>
      </c>
      <c r="Y29" s="106" t="s">
        <v>122</v>
      </c>
      <c r="Z29" s="106" t="str">
        <f t="shared" si="4"/>
        <v>OK/NO</v>
      </c>
      <c r="AA29" s="106" t="str">
        <f t="shared" si="34"/>
        <v>DKG</v>
      </c>
      <c r="AB29" s="112">
        <v>100000</v>
      </c>
      <c r="AC29" s="105" t="s">
        <v>120</v>
      </c>
      <c r="AD29" s="113">
        <f t="shared" si="5"/>
        <v>18</v>
      </c>
      <c r="AE29" s="113" t="str">
        <f t="shared" si="6"/>
        <v>HS</v>
      </c>
      <c r="AF29" s="114" t="str">
        <f t="shared" si="7"/>
        <v>DKG&lt;-&gt;Bãi Namtraco</v>
      </c>
      <c r="AG29" s="106" t="str">
        <f t="shared" si="35"/>
        <v>CX001</v>
      </c>
      <c r="AH29" s="106" t="str">
        <f t="shared" si="8"/>
        <v>15C-13616</v>
      </c>
      <c r="AI29" s="109">
        <f t="shared" si="47"/>
        <v>23</v>
      </c>
      <c r="AJ29" s="112">
        <f t="shared" si="47"/>
        <v>200000</v>
      </c>
      <c r="AK29" s="112">
        <f t="shared" si="47"/>
        <v>4600000</v>
      </c>
      <c r="AL29" s="106" t="str">
        <f t="shared" si="48"/>
        <v>DKG</v>
      </c>
      <c r="AM29" s="112">
        <f t="shared" si="48"/>
        <v>100000</v>
      </c>
      <c r="AN29" s="112">
        <f t="shared" si="36"/>
        <v>100000</v>
      </c>
      <c r="AO29" s="112">
        <f t="shared" si="11"/>
        <v>0</v>
      </c>
      <c r="AP29" s="105"/>
      <c r="AQ29" s="109">
        <f t="shared" si="12"/>
        <v>21.849999999999998</v>
      </c>
      <c r="AR29" s="109"/>
      <c r="AS29" s="112">
        <f t="shared" si="46"/>
        <v>36613.272311212815</v>
      </c>
      <c r="AT29" s="112">
        <f t="shared" si="13"/>
        <v>799999.99999999988</v>
      </c>
      <c r="AU29" s="112">
        <f t="shared" si="14"/>
        <v>3800000</v>
      </c>
      <c r="AV29" s="105" t="str">
        <f t="shared" si="15"/>
        <v/>
      </c>
      <c r="AW29" s="115">
        <f t="shared" si="16"/>
        <v>1.1500000000000021</v>
      </c>
      <c r="AX29" s="115"/>
      <c r="AY29" s="116">
        <f t="shared" si="17"/>
        <v>3304347.8260869505</v>
      </c>
      <c r="AZ29" s="116">
        <f t="shared" si="18"/>
        <v>3800000</v>
      </c>
      <c r="BA29" s="116">
        <f t="shared" si="19"/>
        <v>0</v>
      </c>
      <c r="BB29" s="117">
        <f t="shared" si="37"/>
        <v>512117</v>
      </c>
      <c r="BC29" s="117">
        <f t="shared" si="20"/>
        <v>511301</v>
      </c>
      <c r="BD29" s="117">
        <f t="shared" si="21"/>
        <v>5123</v>
      </c>
      <c r="BE29" s="117">
        <f t="shared" si="22"/>
        <v>0</v>
      </c>
      <c r="BF29" s="117">
        <f t="shared" si="23"/>
        <v>0</v>
      </c>
      <c r="BG29" s="117">
        <f t="shared" si="24"/>
        <v>15401</v>
      </c>
      <c r="BH29" s="118">
        <f t="shared" si="38"/>
        <v>6121117</v>
      </c>
      <c r="BI29" s="73" t="s">
        <v>124</v>
      </c>
      <c r="BJ29" s="73" t="str">
        <f t="shared" si="25"/>
        <v>TDG xe 15C-13616</v>
      </c>
      <c r="BK29" s="118" t="str">
        <f t="shared" si="26"/>
        <v>G</v>
      </c>
      <c r="BL29" s="74" t="str">
        <f t="shared" ca="1" si="39"/>
        <v/>
      </c>
      <c r="BM29" s="8" t="str">
        <f t="shared" si="42"/>
        <v>CG00044</v>
      </c>
      <c r="BN29" s="8" t="str">
        <f t="shared" si="40"/>
        <v/>
      </c>
      <c r="BO29" s="8" t="str">
        <f t="shared" si="43"/>
        <v>CG00044</v>
      </c>
      <c r="BP29" s="8" t="str">
        <f t="shared" si="43"/>
        <v>Công ty TNHH Thương mại và Sản xuất Trí Dũng (QOHN) 0905557788</v>
      </c>
      <c r="BQ29" s="8" t="str">
        <f t="shared" si="44"/>
        <v>DKG&lt;-&gt;Bãi Namtraco</v>
      </c>
      <c r="BS29" s="116">
        <f t="shared" si="45"/>
        <v>200000</v>
      </c>
      <c r="BT29" s="119" t="e">
        <f>IF(OR(BM29="CG00047",BM29="Dong Duong",BM29="CG00073",BM29="CG00078",BM29="CG00045"),VLOOKUP(BQ29,[1]gia3!$D$7:$T$206,4,0),IF(OR(BM29="CG00088",BM29="CG00044",),VLOOKUP(BQ29,[1]gia3!$D$7:$T$206,6,0),IF(BM29="Đinh Gia",VLOOKUP(BQ29,[1]gia3!$D$7:$T$206,8,0),IF(OR(BM29="Greeensky",BM29="CG..."),VLOOKUP(BQ29,[1]gia3!$D$7:$T$206,10,0),IF(OR(BM29="Đại Huu",BM29="Vietj Mỹ"),VLOOKUP(BQ29,[1]gia3!$D$7:$T$206,14,0) )))))</f>
        <v>#N/A</v>
      </c>
      <c r="BU29" s="119" t="e">
        <f>IF(OR(BM29="CG00047",BM29="Dong Duong",BM29="CG00073",BM29="CG00078",BM29="CG00045"),VLOOKUP(BQ29,[1]gia3!$D$7:$T$206,5,0),IF(OR(BM29="CG00088",BM29="CG00044",),VLOOKUP(BQ29,[1]gia3!$D$7:$T$206,7,0),IF(BM29="Đinh Gia",VLOOKUP(BQ29,[1]gia3!$D$7:$T$206,9,0),IF(OR(BM29="Greeensky",BM29="CG..."),VLOOKUP(BQ29,[1]gia3!$D$7:$T$206,11,0),IF(OR(BM29="Đại Huu",BM29="Vietj Mỹ"),VLOOKUP(BQ29,[1]gia3!$D$7:$T$206,15,0) )))))</f>
        <v>#N/A</v>
      </c>
      <c r="BV29" s="8" t="e">
        <f t="shared" si="41"/>
        <v>#N/A</v>
      </c>
      <c r="BX29" s="120" t="e">
        <f>VLOOKUP(BQ29,[2]gia3!$D$7:$W$256,19,0)</f>
        <v>#N/A</v>
      </c>
      <c r="BY29" s="95" t="str">
        <f t="shared" si="31"/>
        <v/>
      </c>
      <c r="BZ29" s="96" t="e">
        <f t="shared" si="32"/>
        <v>#VALUE!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2024-07-19T02:54:44Z</dcterms:created>
  <dcterms:modified xsi:type="dcterms:W3CDTF">2024-07-19T02:54:45Z</dcterms:modified>
</cp:coreProperties>
</file>