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Menon Economics AS\12007 Farledsanalyser Kystverket 2018 - Dokumenter\General\Data og analyse\Beregningsmodell\Kilder og dokumentasjon\"/>
    </mc:Choice>
  </mc:AlternateContent>
  <xr:revisionPtr revIDLastSave="164" documentId="8_{32E2D1B5-83C4-4B1B-807F-A2ECA6F60062}" xr6:coauthVersionLast="40" xr6:coauthVersionMax="40" xr10:uidLastSave="{73373098-427E-4B9D-A66C-9F82BE11AEDE}"/>
  <bookViews>
    <workbookView minimized="1" xWindow="0" yWindow="0" windowWidth="28800" windowHeight="12168" xr2:uid="{00000000-000D-0000-FFFF-FFFF00000000}"/>
  </bookViews>
  <sheets>
    <sheet name="Menon estimering" sheetId="13" r:id="rId1"/>
    <sheet name="Oppsummering - kostnader 2012" sheetId="12" r:id="rId2"/>
    <sheet name="Kostnader 2012" sheetId="8" r:id="rId3"/>
    <sheet name="Inputdata" sheetId="6" r:id="rId4"/>
    <sheet name="Korreksjonsfaktorer - MS" sheetId="7" r:id="rId5"/>
    <sheet name="Nye båter delleveranse 2" sheetId="11" r:id="rId6"/>
    <sheet name="Nye gasstankere" sheetId="10" r:id="rId7"/>
    <sheet name="Nye - cruise og ferge" sheetId="9" r:id="rId8"/>
    <sheet name="Korrigerte kost 2010 til 2012" sheetId="5" r:id="rId9"/>
    <sheet name="Kalk kost 2010 sjø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3" l="1"/>
  <c r="E48" i="13"/>
  <c r="E49" i="13"/>
  <c r="E50" i="13"/>
  <c r="E46" i="13"/>
  <c r="F1" i="13"/>
  <c r="B29" i="13"/>
  <c r="C29" i="13"/>
  <c r="D29" i="13"/>
  <c r="B30" i="13"/>
  <c r="C30" i="13"/>
  <c r="D30" i="13"/>
  <c r="B31" i="13"/>
  <c r="C31" i="13"/>
  <c r="D31" i="13"/>
  <c r="C28" i="13"/>
  <c r="D28" i="13"/>
  <c r="B28" i="13"/>
  <c r="B1" i="13" l="1"/>
  <c r="B2" i="13"/>
  <c r="B3" i="13"/>
  <c r="B4" i="13"/>
  <c r="B5" i="13"/>
  <c r="B6" i="13"/>
  <c r="B7" i="13"/>
  <c r="B8" i="13"/>
  <c r="B9" i="13"/>
  <c r="B10" i="13"/>
  <c r="B11" i="13"/>
  <c r="B12" i="13"/>
  <c r="G1" i="13"/>
  <c r="H1" i="13"/>
  <c r="I1" i="13"/>
  <c r="J1" i="13"/>
  <c r="K1" i="13"/>
  <c r="C2" i="13"/>
  <c r="D2" i="13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55" i="13"/>
  <c r="C55" i="13"/>
  <c r="D55" i="13"/>
  <c r="C1" i="13"/>
  <c r="D1" i="13"/>
  <c r="X11" i="11" l="1"/>
  <c r="X12" i="11"/>
  <c r="L12" i="11"/>
  <c r="L11" i="11"/>
  <c r="H12" i="11"/>
  <c r="H17" i="11" l="1"/>
  <c r="N50" i="10" l="1"/>
  <c r="Y5" i="5" l="1"/>
  <c r="G22" i="10" l="1"/>
  <c r="D38" i="11" l="1"/>
  <c r="D42" i="11" s="1"/>
  <c r="G42" i="11" s="1"/>
  <c r="J42" i="11" s="1"/>
  <c r="G38" i="11" l="1"/>
  <c r="J38" i="11" s="1"/>
  <c r="Q16" i="9"/>
  <c r="V16" i="7" l="1"/>
  <c r="E57" i="12"/>
  <c r="D57" i="12"/>
  <c r="C57" i="12"/>
  <c r="B57" i="12"/>
  <c r="E56" i="12"/>
  <c r="D56" i="12"/>
  <c r="C56" i="12"/>
  <c r="B56" i="12"/>
  <c r="E55" i="12"/>
  <c r="D55" i="12"/>
  <c r="C55" i="12"/>
  <c r="B55" i="12"/>
  <c r="D54" i="12"/>
  <c r="B54" i="12"/>
  <c r="C53" i="12"/>
  <c r="B53" i="12"/>
  <c r="E52" i="12"/>
  <c r="D52" i="12"/>
  <c r="C52" i="12"/>
  <c r="B52" i="12"/>
  <c r="E51" i="12"/>
  <c r="D51" i="12"/>
  <c r="C51" i="12"/>
  <c r="B51" i="12"/>
  <c r="E50" i="12"/>
  <c r="D50" i="12"/>
  <c r="C50" i="12"/>
  <c r="B50" i="12"/>
  <c r="E49" i="12"/>
  <c r="D49" i="12"/>
  <c r="C49" i="12"/>
  <c r="B49" i="12"/>
  <c r="F48" i="12"/>
  <c r="E48" i="12"/>
  <c r="C48" i="12"/>
  <c r="B48" i="12"/>
  <c r="F47" i="12"/>
  <c r="E47" i="12"/>
  <c r="C47" i="12"/>
  <c r="B47" i="12"/>
  <c r="F46" i="12"/>
  <c r="E46" i="12"/>
  <c r="D46" i="12"/>
  <c r="C46" i="12"/>
  <c r="B46" i="12"/>
  <c r="F45" i="12"/>
  <c r="E45" i="12"/>
  <c r="D45" i="12"/>
  <c r="C45" i="12"/>
  <c r="B45" i="12"/>
  <c r="F44" i="12"/>
  <c r="E44" i="12"/>
  <c r="D44" i="12"/>
  <c r="C44" i="12"/>
  <c r="B44" i="12"/>
  <c r="E43" i="12"/>
  <c r="D43" i="12"/>
  <c r="C43" i="12"/>
  <c r="B43" i="12"/>
  <c r="E42" i="12"/>
  <c r="D42" i="12"/>
  <c r="C42" i="12"/>
  <c r="B42" i="12"/>
  <c r="E41" i="12"/>
  <c r="D41" i="12"/>
  <c r="C41" i="12"/>
  <c r="B41" i="12"/>
  <c r="E40" i="12"/>
  <c r="D40" i="12"/>
  <c r="C40" i="12"/>
  <c r="B40" i="12"/>
  <c r="E39" i="12"/>
  <c r="C39" i="12"/>
  <c r="B39" i="12"/>
  <c r="E38" i="12"/>
  <c r="C38" i="12"/>
  <c r="B38" i="12"/>
  <c r="E37" i="12"/>
  <c r="C37" i="12"/>
  <c r="B37" i="12"/>
  <c r="E36" i="12"/>
  <c r="C36" i="12"/>
  <c r="B36" i="12"/>
  <c r="E35" i="12"/>
  <c r="C35" i="12"/>
  <c r="B35" i="12"/>
  <c r="E34" i="12"/>
  <c r="C34" i="12"/>
  <c r="B34" i="12"/>
  <c r="E33" i="12"/>
  <c r="C33" i="12"/>
  <c r="B33" i="12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C21" i="12"/>
  <c r="B21" i="12"/>
  <c r="E20" i="12"/>
  <c r="C20" i="12"/>
  <c r="B20" i="12"/>
  <c r="E19" i="12"/>
  <c r="C19" i="12"/>
  <c r="B19" i="12"/>
  <c r="E18" i="12"/>
  <c r="C18" i="12"/>
  <c r="B18" i="12"/>
  <c r="E17" i="12"/>
  <c r="C17" i="12"/>
  <c r="B17" i="12"/>
  <c r="E16" i="12"/>
  <c r="C16" i="12"/>
  <c r="B16" i="12"/>
  <c r="E15" i="12"/>
  <c r="C15" i="12"/>
  <c r="B15" i="12"/>
  <c r="E14" i="12"/>
  <c r="C14" i="12"/>
  <c r="B14" i="12"/>
  <c r="E13" i="12"/>
  <c r="C13" i="12"/>
  <c r="B13" i="12"/>
  <c r="E12" i="12"/>
  <c r="C12" i="12"/>
  <c r="B12" i="12"/>
  <c r="E11" i="12"/>
  <c r="C11" i="12"/>
  <c r="B11" i="12"/>
  <c r="E10" i="12"/>
  <c r="C10" i="12"/>
  <c r="B10" i="12"/>
  <c r="E9" i="12"/>
  <c r="C9" i="12"/>
  <c r="B9" i="12"/>
  <c r="E8" i="12"/>
  <c r="C8" i="12"/>
  <c r="B8" i="12"/>
  <c r="E7" i="12"/>
  <c r="D7" i="12"/>
  <c r="B7" i="12"/>
  <c r="E6" i="12"/>
  <c r="D6" i="12"/>
  <c r="B6" i="12"/>
  <c r="E5" i="12"/>
  <c r="D5" i="12"/>
  <c r="B5" i="12"/>
  <c r="E4" i="12"/>
  <c r="D4" i="12"/>
  <c r="B4" i="12"/>
  <c r="S8" i="5"/>
  <c r="S20" i="5" l="1"/>
  <c r="S9" i="5"/>
  <c r="V8" i="5" l="1"/>
  <c r="S12" i="5"/>
  <c r="S23" i="5"/>
  <c r="V19" i="5"/>
  <c r="S13" i="5" l="1"/>
  <c r="V12" i="5"/>
  <c r="Y8" i="5"/>
  <c r="V9" i="5"/>
  <c r="V20" i="5"/>
  <c r="Y19" i="5"/>
  <c r="S24" i="5"/>
  <c r="V23" i="5"/>
  <c r="Y9" i="5" l="1"/>
  <c r="T3" i="5" s="1"/>
  <c r="AB8" i="5"/>
  <c r="AB9" i="5" s="1"/>
  <c r="V13" i="5"/>
  <c r="Y12" i="5"/>
  <c r="V24" i="5"/>
  <c r="Y23" i="5"/>
  <c r="Y20" i="5"/>
  <c r="S3" i="5" s="1"/>
  <c r="AB19" i="5"/>
  <c r="AB20" i="5" s="1"/>
  <c r="Y13" i="5" l="1"/>
  <c r="T4" i="5" s="1"/>
  <c r="M29" i="10" s="1"/>
  <c r="AB12" i="5"/>
  <c r="AB13" i="5" s="1"/>
  <c r="U3" i="5"/>
  <c r="Y24" i="5"/>
  <c r="S4" i="5" s="1"/>
  <c r="AB23" i="5"/>
  <c r="AB24" i="5" s="1"/>
  <c r="U4" i="5" l="1"/>
  <c r="D3" i="5" l="1"/>
  <c r="D2" i="5"/>
  <c r="J17" i="7"/>
  <c r="I17" i="7"/>
  <c r="L17" i="7"/>
  <c r="K17" i="7"/>
  <c r="J23" i="11"/>
  <c r="J24" i="11"/>
  <c r="J8" i="11" s="1"/>
  <c r="D45" i="11"/>
  <c r="D46" i="11" s="1"/>
  <c r="D47" i="11" s="1"/>
  <c r="J43" i="11"/>
  <c r="G43" i="11"/>
  <c r="D43" i="11"/>
  <c r="J39" i="11"/>
  <c r="G39" i="11"/>
  <c r="F10" i="11" s="1"/>
  <c r="D39" i="11"/>
  <c r="I33" i="11"/>
  <c r="H33" i="11"/>
  <c r="G33" i="11"/>
  <c r="F33" i="11"/>
  <c r="E33" i="11"/>
  <c r="I32" i="11"/>
  <c r="H32" i="11"/>
  <c r="G32" i="11"/>
  <c r="F32" i="11"/>
  <c r="E32" i="11"/>
  <c r="I31" i="11"/>
  <c r="H31" i="11"/>
  <c r="G31" i="11"/>
  <c r="F31" i="11"/>
  <c r="E31" i="11"/>
  <c r="I30" i="11"/>
  <c r="H30" i="11"/>
  <c r="G30" i="11"/>
  <c r="F30" i="11"/>
  <c r="E30" i="11"/>
  <c r="I29" i="11"/>
  <c r="H29" i="11"/>
  <c r="G29" i="11"/>
  <c r="F29" i="11"/>
  <c r="E29" i="11"/>
  <c r="I28" i="11"/>
  <c r="H28" i="11"/>
  <c r="G28" i="11"/>
  <c r="F28" i="11"/>
  <c r="E28" i="11"/>
  <c r="X20" i="11"/>
  <c r="H20" i="11"/>
  <c r="X19" i="11"/>
  <c r="H19" i="11"/>
  <c r="X18" i="11"/>
  <c r="S18" i="11"/>
  <c r="S19" i="11" s="1"/>
  <c r="S20" i="11" s="1"/>
  <c r="N59" i="8" s="1"/>
  <c r="K55" i="13" s="1"/>
  <c r="R18" i="11"/>
  <c r="Q18" i="11"/>
  <c r="L57" i="8" s="1"/>
  <c r="I53" i="13" s="1"/>
  <c r="P18" i="11"/>
  <c r="P19" i="11" s="1"/>
  <c r="P20" i="11" s="1"/>
  <c r="K59" i="8" s="1"/>
  <c r="H55" i="13" s="1"/>
  <c r="O18" i="11"/>
  <c r="O19" i="11" s="1"/>
  <c r="J58" i="8" s="1"/>
  <c r="G54" i="13" s="1"/>
  <c r="X17" i="11"/>
  <c r="X16" i="11"/>
  <c r="H16" i="11"/>
  <c r="G16" i="11"/>
  <c r="F16" i="11" s="1"/>
  <c r="X15" i="11"/>
  <c r="H15" i="11"/>
  <c r="X14" i="11"/>
  <c r="X13" i="11"/>
  <c r="X10" i="11"/>
  <c r="J10" i="11"/>
  <c r="H10" i="11"/>
  <c r="X9" i="11"/>
  <c r="H9" i="11"/>
  <c r="X8" i="11"/>
  <c r="H8" i="11"/>
  <c r="Q10" i="11" l="1"/>
  <c r="L29" i="8" s="1"/>
  <c r="I25" i="13" s="1"/>
  <c r="S10" i="11"/>
  <c r="N29" i="8" s="1"/>
  <c r="K25" i="13" s="1"/>
  <c r="Q8" i="11"/>
  <c r="L27" i="8" s="1"/>
  <c r="I23" i="13" s="1"/>
  <c r="P10" i="11"/>
  <c r="K29" i="8" s="1"/>
  <c r="H25" i="13" s="1"/>
  <c r="N57" i="8"/>
  <c r="K53" i="13" s="1"/>
  <c r="N58" i="8"/>
  <c r="K54" i="13" s="1"/>
  <c r="J18" i="11"/>
  <c r="O10" i="11"/>
  <c r="J29" i="8" s="1"/>
  <c r="G25" i="13" s="1"/>
  <c r="M57" i="8"/>
  <c r="J53" i="13" s="1"/>
  <c r="K58" i="8"/>
  <c r="H54" i="13" s="1"/>
  <c r="K57" i="8"/>
  <c r="H53" i="13" s="1"/>
  <c r="R10" i="11"/>
  <c r="M29" i="8" s="1"/>
  <c r="J25" i="13" s="1"/>
  <c r="D48" i="11"/>
  <c r="F48" i="11" s="1"/>
  <c r="J57" i="8"/>
  <c r="G53" i="13" s="1"/>
  <c r="F2" i="5"/>
  <c r="I14" i="11"/>
  <c r="N14" i="11" s="1"/>
  <c r="I33" i="8" s="1"/>
  <c r="F33" i="13" s="1"/>
  <c r="I8" i="11"/>
  <c r="N8" i="11" s="1"/>
  <c r="I27" i="8" s="1"/>
  <c r="F23" i="13" s="1"/>
  <c r="J14" i="11"/>
  <c r="R14" i="11" s="1"/>
  <c r="M33" i="8" s="1"/>
  <c r="J33" i="13" s="1"/>
  <c r="J15" i="11"/>
  <c r="Q15" i="11" s="1"/>
  <c r="L42" i="8" s="1"/>
  <c r="I42" i="13" s="1"/>
  <c r="N32" i="11"/>
  <c r="E20" i="11" s="1"/>
  <c r="F20" i="11" s="1"/>
  <c r="I20" i="11" s="1"/>
  <c r="N20" i="11" s="1"/>
  <c r="I59" i="8" s="1"/>
  <c r="F55" i="13" s="1"/>
  <c r="I15" i="11"/>
  <c r="J17" i="11"/>
  <c r="P17" i="11" s="1"/>
  <c r="K54" i="8" s="1"/>
  <c r="H31" i="13" s="1"/>
  <c r="I17" i="11"/>
  <c r="M17" i="11" s="1"/>
  <c r="J9" i="11"/>
  <c r="S9" i="11" s="1"/>
  <c r="N28" i="8" s="1"/>
  <c r="K24" i="13" s="1"/>
  <c r="I13" i="11"/>
  <c r="N13" i="11" s="1"/>
  <c r="I32" i="8" s="1"/>
  <c r="F32" i="13" s="1"/>
  <c r="J13" i="11"/>
  <c r="S13" i="11" s="1"/>
  <c r="N32" i="8" s="1"/>
  <c r="K32" i="13" s="1"/>
  <c r="I9" i="11"/>
  <c r="N9" i="11" s="1"/>
  <c r="I28" i="8" s="1"/>
  <c r="F24" i="13" s="1"/>
  <c r="J25" i="11"/>
  <c r="I16" i="11"/>
  <c r="N16" i="11" s="1"/>
  <c r="I45" i="8" s="1"/>
  <c r="F45" i="13" s="1"/>
  <c r="I10" i="11"/>
  <c r="N10" i="11" s="1"/>
  <c r="I29" i="8" s="1"/>
  <c r="F25" i="13" s="1"/>
  <c r="J16" i="11"/>
  <c r="R16" i="11" s="1"/>
  <c r="M45" i="8" s="1"/>
  <c r="J45" i="13" s="1"/>
  <c r="R8" i="11"/>
  <c r="M27" i="8" s="1"/>
  <c r="J23" i="13" s="1"/>
  <c r="S8" i="11"/>
  <c r="N27" i="8" s="1"/>
  <c r="K23" i="13" s="1"/>
  <c r="O20" i="11"/>
  <c r="J59" i="8" s="1"/>
  <c r="G55" i="13" s="1"/>
  <c r="O8" i="11"/>
  <c r="J27" i="8" s="1"/>
  <c r="G23" i="13" s="1"/>
  <c r="P14" i="11"/>
  <c r="K33" i="8" s="1"/>
  <c r="H33" i="13" s="1"/>
  <c r="P8" i="11"/>
  <c r="K27" i="8" s="1"/>
  <c r="H23" i="13" s="1"/>
  <c r="O17" i="11"/>
  <c r="J54" i="8" s="1"/>
  <c r="G31" i="13" s="1"/>
  <c r="K28" i="10"/>
  <c r="N48" i="10"/>
  <c r="N49" i="10" s="1"/>
  <c r="L43" i="10"/>
  <c r="K43" i="10"/>
  <c r="J43" i="10"/>
  <c r="I43" i="10"/>
  <c r="H43" i="10"/>
  <c r="L42" i="10"/>
  <c r="K42" i="10"/>
  <c r="J42" i="10"/>
  <c r="I42" i="10"/>
  <c r="H42" i="10"/>
  <c r="P40" i="10"/>
  <c r="Q40" i="10" s="1"/>
  <c r="R39" i="10"/>
  <c r="R40" i="10" s="1"/>
  <c r="P39" i="10"/>
  <c r="Q39" i="10" s="1"/>
  <c r="F32" i="10"/>
  <c r="J14" i="9"/>
  <c r="Q10" i="9"/>
  <c r="T48" i="9"/>
  <c r="R48" i="9"/>
  <c r="P48" i="9"/>
  <c r="N48" i="9"/>
  <c r="T47" i="9"/>
  <c r="R47" i="9"/>
  <c r="P47" i="9"/>
  <c r="N47" i="9"/>
  <c r="M46" i="9"/>
  <c r="Q46" i="9" s="1"/>
  <c r="M45" i="9"/>
  <c r="S45" i="9" s="1"/>
  <c r="M44" i="9"/>
  <c r="O44" i="9" s="1"/>
  <c r="M43" i="9"/>
  <c r="U43" i="9" s="1"/>
  <c r="M42" i="9"/>
  <c r="Q42" i="9" s="1"/>
  <c r="J42" i="9"/>
  <c r="K42" i="9" s="1"/>
  <c r="U41" i="9"/>
  <c r="M41" i="9"/>
  <c r="S41" i="9" s="1"/>
  <c r="J41" i="9"/>
  <c r="K41" i="9" s="1"/>
  <c r="J40" i="9"/>
  <c r="K40" i="9" s="1"/>
  <c r="M39" i="9"/>
  <c r="Q39" i="9" s="1"/>
  <c r="J39" i="9"/>
  <c r="K39" i="9" s="1"/>
  <c r="M38" i="9"/>
  <c r="O38" i="9" s="1"/>
  <c r="J38" i="9"/>
  <c r="K38" i="9" s="1"/>
  <c r="M37" i="9"/>
  <c r="Q37" i="9" s="1"/>
  <c r="J37" i="9"/>
  <c r="K37" i="9" s="1"/>
  <c r="M36" i="9"/>
  <c r="Q36" i="9" s="1"/>
  <c r="M35" i="9"/>
  <c r="U35" i="9" s="1"/>
  <c r="M34" i="9"/>
  <c r="O34" i="9" s="1"/>
  <c r="M33" i="9"/>
  <c r="O33" i="9" s="1"/>
  <c r="I33" i="9"/>
  <c r="M32" i="9"/>
  <c r="U32" i="9" s="1"/>
  <c r="I32" i="9"/>
  <c r="M31" i="9"/>
  <c r="Q31" i="9" s="1"/>
  <c r="I31" i="9"/>
  <c r="I30" i="9"/>
  <c r="M29" i="9"/>
  <c r="Q29" i="9" s="1"/>
  <c r="K29" i="9"/>
  <c r="J29" i="9"/>
  <c r="I29" i="9"/>
  <c r="M28" i="9"/>
  <c r="S28" i="9" s="1"/>
  <c r="M27" i="9"/>
  <c r="O27" i="9" s="1"/>
  <c r="M26" i="9"/>
  <c r="S26" i="9" s="1"/>
  <c r="AB23" i="9"/>
  <c r="AB22" i="9"/>
  <c r="S21" i="9"/>
  <c r="AC22" i="9" s="1"/>
  <c r="I19" i="9"/>
  <c r="N18" i="9"/>
  <c r="N17" i="9"/>
  <c r="J4" i="9" s="1"/>
  <c r="K4" i="9" s="1"/>
  <c r="N4" i="9" s="1"/>
  <c r="J6" i="8" s="1"/>
  <c r="G2" i="13" s="1"/>
  <c r="X16" i="9"/>
  <c r="U7" i="9" s="1"/>
  <c r="V7" i="9" s="1"/>
  <c r="V16" i="9"/>
  <c r="U6" i="9" s="1"/>
  <c r="V6" i="9" s="1"/>
  <c r="I12" i="9"/>
  <c r="G7" i="9"/>
  <c r="G6" i="9"/>
  <c r="V5" i="9"/>
  <c r="J5" i="9"/>
  <c r="K5" i="9" s="1"/>
  <c r="N5" i="9" s="1"/>
  <c r="J7" i="8" s="1"/>
  <c r="G3" i="13" s="1"/>
  <c r="W4" i="9"/>
  <c r="W5" i="9" s="1"/>
  <c r="W6" i="9" s="1"/>
  <c r="W7" i="9" s="1"/>
  <c r="V4" i="9"/>
  <c r="O29" i="9" l="1"/>
  <c r="AC20" i="9"/>
  <c r="S29" i="9"/>
  <c r="L25" i="13"/>
  <c r="M25" i="13" s="1"/>
  <c r="U34" i="9"/>
  <c r="S42" i="9"/>
  <c r="S39" i="10"/>
  <c r="L23" i="13"/>
  <c r="M23" i="13" s="1"/>
  <c r="X4" i="9"/>
  <c r="V8" i="11"/>
  <c r="U8" i="11" s="1"/>
  <c r="T8" i="11" s="1"/>
  <c r="O27" i="8" s="1"/>
  <c r="G25" i="12" s="1"/>
  <c r="V11" i="11"/>
  <c r="U11" i="11" s="1"/>
  <c r="T11" i="11" s="1"/>
  <c r="O30" i="8" s="1"/>
  <c r="V12" i="11"/>
  <c r="U12" i="11" s="1"/>
  <c r="T12" i="11" s="1"/>
  <c r="O31" i="8" s="1"/>
  <c r="S37" i="9"/>
  <c r="S38" i="9"/>
  <c r="X5" i="9"/>
  <c r="U27" i="9"/>
  <c r="U29" i="9"/>
  <c r="U31" i="9"/>
  <c r="U37" i="9"/>
  <c r="V18" i="11"/>
  <c r="U18" i="11" s="1"/>
  <c r="T18" i="11" s="1"/>
  <c r="O57" i="8" s="1"/>
  <c r="G55" i="12" s="1"/>
  <c r="V15" i="11"/>
  <c r="U15" i="11" s="1"/>
  <c r="T15" i="11" s="1"/>
  <c r="O42" i="8" s="1"/>
  <c r="G40" i="12" s="1"/>
  <c r="S14" i="11"/>
  <c r="N33" i="8" s="1"/>
  <c r="K33" i="13" s="1"/>
  <c r="V19" i="11"/>
  <c r="U19" i="11" s="1"/>
  <c r="T19" i="11" s="1"/>
  <c r="O58" i="8" s="1"/>
  <c r="G56" i="12" s="1"/>
  <c r="V10" i="11"/>
  <c r="U10" i="11" s="1"/>
  <c r="T10" i="11" s="1"/>
  <c r="O29" i="8" s="1"/>
  <c r="G27" i="12" s="1"/>
  <c r="V14" i="11"/>
  <c r="U14" i="11" s="1"/>
  <c r="T14" i="11" s="1"/>
  <c r="O33" i="8" s="1"/>
  <c r="G31" i="12" s="1"/>
  <c r="V17" i="11"/>
  <c r="U17" i="11" s="1"/>
  <c r="T17" i="11" s="1"/>
  <c r="O54" i="8" s="1"/>
  <c r="Q14" i="11"/>
  <c r="L33" i="8" s="1"/>
  <c r="I33" i="13" s="1"/>
  <c r="S39" i="9"/>
  <c r="Q44" i="9"/>
  <c r="U28" i="9"/>
  <c r="U39" i="9"/>
  <c r="S44" i="9"/>
  <c r="Q38" i="9"/>
  <c r="O42" i="9"/>
  <c r="U44" i="9"/>
  <c r="Q28" i="9"/>
  <c r="O39" i="9"/>
  <c r="Q27" i="9"/>
  <c r="O31" i="9"/>
  <c r="Q34" i="9"/>
  <c r="O37" i="9"/>
  <c r="U38" i="9"/>
  <c r="M48" i="9"/>
  <c r="S48" i="9" s="1"/>
  <c r="U42" i="9"/>
  <c r="Q45" i="9"/>
  <c r="J50" i="10"/>
  <c r="L50" i="8" s="1"/>
  <c r="I50" i="13" s="1"/>
  <c r="S27" i="9"/>
  <c r="S31" i="9"/>
  <c r="S34" i="9"/>
  <c r="Q41" i="9"/>
  <c r="U45" i="9"/>
  <c r="O14" i="11"/>
  <c r="J33" i="8" s="1"/>
  <c r="G33" i="13" s="1"/>
  <c r="L33" i="13" s="1"/>
  <c r="M33" i="13" s="1"/>
  <c r="S17" i="11"/>
  <c r="N54" i="8" s="1"/>
  <c r="K31" i="13" s="1"/>
  <c r="R17" i="11"/>
  <c r="M54" i="8" s="1"/>
  <c r="J31" i="13" s="1"/>
  <c r="T27" i="10"/>
  <c r="T29" i="10" s="1"/>
  <c r="T39" i="10" s="1"/>
  <c r="M39" i="10" s="1"/>
  <c r="O46" i="8" s="1"/>
  <c r="G44" i="12" s="1"/>
  <c r="L48" i="10"/>
  <c r="N48" i="8" s="1"/>
  <c r="K48" i="13" s="1"/>
  <c r="G33" i="10"/>
  <c r="H33" i="10" s="1"/>
  <c r="G40" i="10" s="1"/>
  <c r="I47" i="8" s="1"/>
  <c r="F47" i="13" s="1"/>
  <c r="K48" i="10"/>
  <c r="M48" i="8" s="1"/>
  <c r="J48" i="13" s="1"/>
  <c r="I48" i="10"/>
  <c r="K48" i="8" s="1"/>
  <c r="H48" i="13" s="1"/>
  <c r="L49" i="10"/>
  <c r="N49" i="8" s="1"/>
  <c r="K49" i="13" s="1"/>
  <c r="K50" i="10"/>
  <c r="M50" i="8" s="1"/>
  <c r="J50" i="13" s="1"/>
  <c r="K49" i="10"/>
  <c r="M49" i="8" s="1"/>
  <c r="J49" i="13" s="1"/>
  <c r="H50" i="10"/>
  <c r="J50" i="8" s="1"/>
  <c r="G50" i="13" s="1"/>
  <c r="I50" i="10"/>
  <c r="K50" i="8" s="1"/>
  <c r="H50" i="13" s="1"/>
  <c r="R9" i="11"/>
  <c r="M28" i="8" s="1"/>
  <c r="J24" i="13" s="1"/>
  <c r="Q17" i="11"/>
  <c r="L54" i="8" s="1"/>
  <c r="I31" i="13" s="1"/>
  <c r="I49" i="10"/>
  <c r="K49" i="8" s="1"/>
  <c r="H49" i="13" s="1"/>
  <c r="E19" i="11"/>
  <c r="F19" i="11" s="1"/>
  <c r="I19" i="11" s="1"/>
  <c r="M14" i="11"/>
  <c r="O9" i="11"/>
  <c r="J28" i="8" s="1"/>
  <c r="G24" i="13" s="1"/>
  <c r="L24" i="13" s="1"/>
  <c r="M24" i="13" s="1"/>
  <c r="I33" i="10"/>
  <c r="H40" i="10" s="1"/>
  <c r="H48" i="10"/>
  <c r="J48" i="8" s="1"/>
  <c r="G48" i="13" s="1"/>
  <c r="J49" i="10"/>
  <c r="L49" i="8" s="1"/>
  <c r="I49" i="13" s="1"/>
  <c r="P9" i="11"/>
  <c r="K28" i="8" s="1"/>
  <c r="H24" i="13" s="1"/>
  <c r="M8" i="11"/>
  <c r="P13" i="11"/>
  <c r="K32" i="8" s="1"/>
  <c r="H32" i="13" s="1"/>
  <c r="J48" i="10"/>
  <c r="L48" i="8" s="1"/>
  <c r="I48" i="13" s="1"/>
  <c r="L50" i="10"/>
  <c r="N50" i="8" s="1"/>
  <c r="K50" i="13" s="1"/>
  <c r="M10" i="11"/>
  <c r="H49" i="10"/>
  <c r="J49" i="8" s="1"/>
  <c r="G49" i="13" s="1"/>
  <c r="Q9" i="11"/>
  <c r="L28" i="8" s="1"/>
  <c r="I24" i="13" s="1"/>
  <c r="S15" i="11"/>
  <c r="N42" i="8" s="1"/>
  <c r="K42" i="13" s="1"/>
  <c r="M16" i="11"/>
  <c r="M15" i="11"/>
  <c r="N15" i="11"/>
  <c r="I42" i="8" s="1"/>
  <c r="F42" i="13" s="1"/>
  <c r="M13" i="11"/>
  <c r="P15" i="11"/>
  <c r="K42" i="8" s="1"/>
  <c r="H42" i="13" s="1"/>
  <c r="V9" i="11"/>
  <c r="U9" i="11" s="1"/>
  <c r="T9" i="11" s="1"/>
  <c r="O28" i="8" s="1"/>
  <c r="G26" i="12" s="1"/>
  <c r="V16" i="11"/>
  <c r="U16" i="11" s="1"/>
  <c r="T16" i="11" s="1"/>
  <c r="O45" i="8" s="1"/>
  <c r="G43" i="12" s="1"/>
  <c r="P16" i="11"/>
  <c r="K45" i="8" s="1"/>
  <c r="H45" i="13" s="1"/>
  <c r="O15" i="11"/>
  <c r="J42" i="8" s="1"/>
  <c r="G42" i="13" s="1"/>
  <c r="M9" i="11"/>
  <c r="V13" i="11"/>
  <c r="U13" i="11" s="1"/>
  <c r="T13" i="11" s="1"/>
  <c r="O32" i="8" s="1"/>
  <c r="G30" i="12" s="1"/>
  <c r="O16" i="11"/>
  <c r="J45" i="8" s="1"/>
  <c r="G45" i="13" s="1"/>
  <c r="L45" i="13" s="1"/>
  <c r="M45" i="13" s="1"/>
  <c r="O13" i="11"/>
  <c r="J32" i="8" s="1"/>
  <c r="G32" i="13" s="1"/>
  <c r="L32" i="13" s="1"/>
  <c r="M32" i="13" s="1"/>
  <c r="R13" i="11"/>
  <c r="M32" i="8" s="1"/>
  <c r="J32" i="13" s="1"/>
  <c r="Q13" i="11"/>
  <c r="L32" i="8" s="1"/>
  <c r="I32" i="13" s="1"/>
  <c r="Q16" i="11"/>
  <c r="L45" i="8" s="1"/>
  <c r="I45" i="13" s="1"/>
  <c r="R15" i="11"/>
  <c r="M42" i="8" s="1"/>
  <c r="J42" i="13" s="1"/>
  <c r="S16" i="11"/>
  <c r="N45" i="8" s="1"/>
  <c r="K45" i="13" s="1"/>
  <c r="V20" i="11"/>
  <c r="U20" i="11" s="1"/>
  <c r="T20" i="11" s="1"/>
  <c r="O59" i="8" s="1"/>
  <c r="G57" i="12" s="1"/>
  <c r="N17" i="11"/>
  <c r="I54" i="8" s="1"/>
  <c r="F31" i="13" s="1"/>
  <c r="O48" i="10"/>
  <c r="P48" i="10" s="1"/>
  <c r="G48" i="10" s="1"/>
  <c r="O49" i="10"/>
  <c r="P49" i="10" s="1"/>
  <c r="G49" i="10" s="1"/>
  <c r="I49" i="8" s="1"/>
  <c r="F49" i="13" s="1"/>
  <c r="G32" i="10"/>
  <c r="H32" i="10" s="1"/>
  <c r="G39" i="10" s="1"/>
  <c r="I46" i="8" s="1"/>
  <c r="F46" i="13" s="1"/>
  <c r="O50" i="10"/>
  <c r="P50" i="10" s="1"/>
  <c r="G50" i="10" s="1"/>
  <c r="I50" i="8" s="1"/>
  <c r="F50" i="13" s="1"/>
  <c r="S40" i="10"/>
  <c r="I32" i="10"/>
  <c r="H4" i="9"/>
  <c r="I4" i="9" s="1"/>
  <c r="M4" i="9" s="1"/>
  <c r="P4" i="9" s="1"/>
  <c r="L6" i="8" s="1"/>
  <c r="I2" i="13" s="1"/>
  <c r="N19" i="9"/>
  <c r="N21" i="9" s="1"/>
  <c r="J6" i="9" s="1"/>
  <c r="K6" i="9" s="1"/>
  <c r="N6" i="9" s="1"/>
  <c r="J8" i="8" s="1"/>
  <c r="G4" i="13" s="1"/>
  <c r="H5" i="9"/>
  <c r="I5" i="9" s="1"/>
  <c r="M5" i="9" s="1"/>
  <c r="R5" i="9" s="1"/>
  <c r="N7" i="8" s="1"/>
  <c r="K3" i="13" s="1"/>
  <c r="H7" i="9"/>
  <c r="I7" i="9" s="1"/>
  <c r="M7" i="9" s="1"/>
  <c r="O7" i="9" s="1"/>
  <c r="K9" i="8" s="1"/>
  <c r="H5" i="13" s="1"/>
  <c r="H6" i="9"/>
  <c r="I6" i="9" s="1"/>
  <c r="M6" i="9" s="1"/>
  <c r="P6" i="9" s="1"/>
  <c r="L8" i="8" s="1"/>
  <c r="I4" i="13" s="1"/>
  <c r="AC21" i="9"/>
  <c r="J18" i="9"/>
  <c r="S22" i="9"/>
  <c r="T22" i="9" s="1"/>
  <c r="Q12" i="9"/>
  <c r="Q14" i="9" s="1"/>
  <c r="J19" i="9"/>
  <c r="X6" i="9"/>
  <c r="X7" i="9"/>
  <c r="O26" i="9"/>
  <c r="S36" i="9"/>
  <c r="AC23" i="9"/>
  <c r="U26" i="9"/>
  <c r="O32" i="9"/>
  <c r="S33" i="9"/>
  <c r="O35" i="9"/>
  <c r="U36" i="9"/>
  <c r="Q43" i="9"/>
  <c r="S46" i="9"/>
  <c r="O36" i="9"/>
  <c r="Q33" i="9"/>
  <c r="O43" i="9"/>
  <c r="O28" i="9"/>
  <c r="Q32" i="9"/>
  <c r="U33" i="9"/>
  <c r="Q35" i="9"/>
  <c r="S43" i="9"/>
  <c r="O45" i="9"/>
  <c r="U46" i="9"/>
  <c r="Q26" i="9"/>
  <c r="O46" i="9"/>
  <c r="M47" i="9"/>
  <c r="S32" i="9"/>
  <c r="S35" i="9"/>
  <c r="T21" i="9"/>
  <c r="O41" i="9"/>
  <c r="L50" i="13" l="1"/>
  <c r="M50" i="13" s="1"/>
  <c r="G52" i="12"/>
  <c r="L31" i="13"/>
  <c r="L42" i="13"/>
  <c r="M42" i="13" s="1"/>
  <c r="L49" i="13"/>
  <c r="M49" i="13" s="1"/>
  <c r="L40" i="10"/>
  <c r="N47" i="8" s="1"/>
  <c r="K47" i="13" s="1"/>
  <c r="Q48" i="9"/>
  <c r="U48" i="9"/>
  <c r="O48" i="9"/>
  <c r="T40" i="10"/>
  <c r="M40" i="10" s="1"/>
  <c r="O47" i="8" s="1"/>
  <c r="G45" i="12" s="1"/>
  <c r="I40" i="10"/>
  <c r="K47" i="8" s="1"/>
  <c r="H47" i="13" s="1"/>
  <c r="F48" i="10"/>
  <c r="J40" i="10"/>
  <c r="L47" i="8" s="1"/>
  <c r="I47" i="13" s="1"/>
  <c r="K40" i="10"/>
  <c r="M47" i="8" s="1"/>
  <c r="J47" i="13" s="1"/>
  <c r="E18" i="11"/>
  <c r="F18" i="11" s="1"/>
  <c r="I18" i="11" s="1"/>
  <c r="M18" i="11" s="1"/>
  <c r="I48" i="8"/>
  <c r="F48" i="13" s="1"/>
  <c r="L48" i="13" s="1"/>
  <c r="M48" i="13" s="1"/>
  <c r="H45" i="8"/>
  <c r="F49" i="10"/>
  <c r="O5" i="9"/>
  <c r="K7" i="8" s="1"/>
  <c r="H3" i="13" s="1"/>
  <c r="Y4" i="9"/>
  <c r="S4" i="9" s="1"/>
  <c r="O6" i="8" s="1"/>
  <c r="G4" i="12" s="1"/>
  <c r="P3" i="5"/>
  <c r="I39" i="10"/>
  <c r="K46" i="8" s="1"/>
  <c r="H46" i="13" s="1"/>
  <c r="J39" i="10"/>
  <c r="L46" i="8" s="1"/>
  <c r="I46" i="13" s="1"/>
  <c r="H39" i="10"/>
  <c r="K39" i="10"/>
  <c r="M46" i="8" s="1"/>
  <c r="J46" i="13" s="1"/>
  <c r="L39" i="10"/>
  <c r="N46" i="8" s="1"/>
  <c r="K46" i="13" s="1"/>
  <c r="Y7" i="9"/>
  <c r="S7" i="9" s="1"/>
  <c r="O9" i="8" s="1"/>
  <c r="G7" i="12" s="1"/>
  <c r="F50" i="10"/>
  <c r="Y6" i="9"/>
  <c r="S6" i="9" s="1"/>
  <c r="O8" i="8" s="1"/>
  <c r="G6" i="12" s="1"/>
  <c r="Y5" i="9"/>
  <c r="S5" i="9" s="1"/>
  <c r="O7" i="8" s="1"/>
  <c r="G5" i="12" s="1"/>
  <c r="R4" i="9"/>
  <c r="N6" i="8" s="1"/>
  <c r="K2" i="13" s="1"/>
  <c r="I6" i="8"/>
  <c r="F2" i="13" s="1"/>
  <c r="J7" i="9"/>
  <c r="K7" i="9" s="1"/>
  <c r="N7" i="9" s="1"/>
  <c r="J9" i="8" s="1"/>
  <c r="G5" i="13" s="1"/>
  <c r="O4" i="9"/>
  <c r="K6" i="8" s="1"/>
  <c r="H2" i="13" s="1"/>
  <c r="O6" i="9"/>
  <c r="K8" i="8" s="1"/>
  <c r="H4" i="13" s="1"/>
  <c r="I8" i="8"/>
  <c r="F4" i="13" s="1"/>
  <c r="P7" i="9"/>
  <c r="L9" i="8" s="1"/>
  <c r="I5" i="13" s="1"/>
  <c r="I9" i="8"/>
  <c r="F5" i="13" s="1"/>
  <c r="P5" i="9"/>
  <c r="L7" i="8" s="1"/>
  <c r="I3" i="13" s="1"/>
  <c r="I7" i="8"/>
  <c r="F3" i="13" s="1"/>
  <c r="N19" i="11"/>
  <c r="I58" i="8" s="1"/>
  <c r="F54" i="13" s="1"/>
  <c r="J47" i="8"/>
  <c r="G47" i="13" s="1"/>
  <c r="L47" i="13" s="1"/>
  <c r="M47" i="13" s="1"/>
  <c r="R6" i="9"/>
  <c r="N8" i="8" s="1"/>
  <c r="K4" i="13" s="1"/>
  <c r="R7" i="9"/>
  <c r="N9" i="8" s="1"/>
  <c r="K5" i="13" s="1"/>
  <c r="AD23" i="9"/>
  <c r="AE23" i="9" s="1"/>
  <c r="AF23" i="9" s="1"/>
  <c r="AD22" i="9"/>
  <c r="AE22" i="9" s="1"/>
  <c r="AF22" i="9" s="1"/>
  <c r="AD21" i="9"/>
  <c r="AE21" i="9" s="1"/>
  <c r="AF21" i="9" s="1"/>
  <c r="AD20" i="9"/>
  <c r="AE20" i="9" s="1"/>
  <c r="AF20" i="9" s="1"/>
  <c r="U47" i="9"/>
  <c r="O47" i="9"/>
  <c r="S47" i="9"/>
  <c r="Q47" i="9"/>
  <c r="H43" i="12" l="1"/>
  <c r="P45" i="8"/>
  <c r="Q19" i="11"/>
  <c r="N18" i="11"/>
  <c r="I57" i="8" s="1"/>
  <c r="F53" i="13" s="1"/>
  <c r="L53" i="13" s="1"/>
  <c r="M53" i="13" s="1"/>
  <c r="R19" i="11"/>
  <c r="F40" i="10"/>
  <c r="M58" i="8"/>
  <c r="J54" i="13" s="1"/>
  <c r="R20" i="11"/>
  <c r="M59" i="8" s="1"/>
  <c r="J55" i="13" s="1"/>
  <c r="F39" i="10"/>
  <c r="J46" i="8"/>
  <c r="G46" i="13" s="1"/>
  <c r="L46" i="13" s="1"/>
  <c r="M46" i="13" s="1"/>
  <c r="Q7" i="9"/>
  <c r="AF29" i="9"/>
  <c r="Q5" i="9"/>
  <c r="M7" i="8" s="1"/>
  <c r="J3" i="13" s="1"/>
  <c r="L3" i="13" s="1"/>
  <c r="M3" i="13" s="1"/>
  <c r="AF27" i="9"/>
  <c r="Q4" i="9"/>
  <c r="M6" i="8" s="1"/>
  <c r="J2" i="13" s="1"/>
  <c r="L2" i="13" s="1"/>
  <c r="M2" i="13" s="1"/>
  <c r="AF26" i="9"/>
  <c r="Q6" i="9"/>
  <c r="M8" i="8" s="1"/>
  <c r="J4" i="13" s="1"/>
  <c r="L4" i="13" s="1"/>
  <c r="M4" i="13" s="1"/>
  <c r="AF28" i="9"/>
  <c r="L7" i="9"/>
  <c r="J19" i="11" l="1"/>
  <c r="M19" i="11" s="1"/>
  <c r="L58" i="8"/>
  <c r="I54" i="13" s="1"/>
  <c r="L54" i="13" s="1"/>
  <c r="M54" i="13" s="1"/>
  <c r="Q20" i="11"/>
  <c r="L59" i="8" s="1"/>
  <c r="I55" i="13" s="1"/>
  <c r="L55" i="13" s="1"/>
  <c r="M55" i="13" s="1"/>
  <c r="J20" i="11"/>
  <c r="M20" i="11" s="1"/>
  <c r="T7" i="9"/>
  <c r="M9" i="8"/>
  <c r="J5" i="13" s="1"/>
  <c r="L5" i="13" s="1"/>
  <c r="M5" i="13" s="1"/>
  <c r="T6" i="9"/>
  <c r="L6" i="9"/>
  <c r="T4" i="9"/>
  <c r="L4" i="9"/>
  <c r="T5" i="9"/>
  <c r="L5" i="9"/>
  <c r="H50" i="8" l="1"/>
  <c r="H48" i="8"/>
  <c r="H58" i="8"/>
  <c r="H59" i="8"/>
  <c r="H54" i="8"/>
  <c r="H46" i="8"/>
  <c r="H47" i="8"/>
  <c r="H42" i="8"/>
  <c r="H32" i="8"/>
  <c r="H33" i="8"/>
  <c r="H9" i="8"/>
  <c r="H8" i="8"/>
  <c r="H7" i="8"/>
  <c r="H6" i="8"/>
  <c r="H29" i="8"/>
  <c r="H28" i="8"/>
  <c r="H27" i="8"/>
  <c r="H57" i="8"/>
  <c r="H49" i="8"/>
  <c r="J30" i="7"/>
  <c r="K30" i="7"/>
  <c r="L30" i="7"/>
  <c r="I30" i="7"/>
  <c r="J29" i="7"/>
  <c r="J26" i="7"/>
  <c r="K26" i="7"/>
  <c r="L26" i="7"/>
  <c r="I26" i="7"/>
  <c r="J18" i="7"/>
  <c r="J10" i="7"/>
  <c r="K10" i="7"/>
  <c r="L10" i="7"/>
  <c r="I10" i="7"/>
  <c r="H6" i="12" l="1"/>
  <c r="P8" i="8"/>
  <c r="H47" i="12"/>
  <c r="P49" i="8"/>
  <c r="H27" i="12"/>
  <c r="P29" i="8"/>
  <c r="H7" i="12"/>
  <c r="P9" i="8"/>
  <c r="H45" i="12"/>
  <c r="P47" i="8"/>
  <c r="H56" i="12"/>
  <c r="P58" i="8"/>
  <c r="H26" i="12"/>
  <c r="P28" i="8"/>
  <c r="H40" i="12"/>
  <c r="P42" i="8"/>
  <c r="H55" i="12"/>
  <c r="P57" i="8"/>
  <c r="H4" i="12"/>
  <c r="P6" i="8"/>
  <c r="H31" i="12"/>
  <c r="P33" i="8"/>
  <c r="H44" i="12"/>
  <c r="P46" i="8"/>
  <c r="H46" i="12"/>
  <c r="P48" i="8"/>
  <c r="H57" i="12"/>
  <c r="P59" i="8"/>
  <c r="H25" i="12"/>
  <c r="P27" i="8"/>
  <c r="H5" i="12"/>
  <c r="P7" i="8"/>
  <c r="H30" i="12"/>
  <c r="P32" i="8"/>
  <c r="H52" i="12"/>
  <c r="P54" i="8"/>
  <c r="M31" i="13" s="1"/>
  <c r="H48" i="12"/>
  <c r="P50" i="8"/>
  <c r="I29" i="7"/>
  <c r="L29" i="7"/>
  <c r="K29" i="7"/>
  <c r="J19" i="7"/>
  <c r="K18" i="7"/>
  <c r="I18" i="7"/>
  <c r="L18" i="7"/>
  <c r="I19" i="7" l="1"/>
  <c r="K19" i="7"/>
  <c r="J20" i="7"/>
  <c r="L19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G19" i="7" s="1"/>
  <c r="E20" i="7"/>
  <c r="G20" i="7" s="1"/>
  <c r="E21" i="7"/>
  <c r="G21" i="7" s="1"/>
  <c r="E22" i="7"/>
  <c r="E23" i="7"/>
  <c r="E24" i="7"/>
  <c r="E25" i="7"/>
  <c r="E26" i="7"/>
  <c r="E27" i="7"/>
  <c r="E28" i="7"/>
  <c r="E29" i="7"/>
  <c r="R29" i="7" s="1"/>
  <c r="E30" i="7"/>
  <c r="E5" i="7"/>
  <c r="G24" i="7" l="1"/>
  <c r="R24" i="7"/>
  <c r="S24" i="7"/>
  <c r="Q24" i="7"/>
  <c r="P24" i="7"/>
  <c r="G18" i="7"/>
  <c r="M18" i="7" s="1"/>
  <c r="T18" i="7" s="1"/>
  <c r="Q18" i="7"/>
  <c r="G10" i="7"/>
  <c r="H10" i="7" s="1"/>
  <c r="P10" i="7"/>
  <c r="S10" i="7"/>
  <c r="Q10" i="7"/>
  <c r="R10" i="7"/>
  <c r="G25" i="7"/>
  <c r="H25" i="7" s="1"/>
  <c r="S25" i="7"/>
  <c r="R25" i="7"/>
  <c r="Q25" i="7"/>
  <c r="P25" i="7"/>
  <c r="G17" i="7"/>
  <c r="Q17" i="7"/>
  <c r="P17" i="7"/>
  <c r="S17" i="7"/>
  <c r="R17" i="7"/>
  <c r="G9" i="7"/>
  <c r="S9" i="7"/>
  <c r="R9" i="7"/>
  <c r="Q9" i="7"/>
  <c r="P9" i="7"/>
  <c r="R18" i="7"/>
  <c r="G16" i="7"/>
  <c r="H16" i="7" s="1"/>
  <c r="S16" i="7"/>
  <c r="R16" i="7"/>
  <c r="Q16" i="7"/>
  <c r="P16" i="7"/>
  <c r="G23" i="7"/>
  <c r="S23" i="7"/>
  <c r="R23" i="7"/>
  <c r="Q23" i="7"/>
  <c r="P23" i="7"/>
  <c r="G7" i="7"/>
  <c r="S7" i="7"/>
  <c r="R7" i="7"/>
  <c r="Q7" i="7"/>
  <c r="P7" i="7"/>
  <c r="G22" i="7"/>
  <c r="H22" i="7" s="1"/>
  <c r="S22" i="7"/>
  <c r="R22" i="7"/>
  <c r="Q22" i="7"/>
  <c r="P22" i="7"/>
  <c r="G6" i="7"/>
  <c r="S6" i="7"/>
  <c r="R6" i="7"/>
  <c r="Q6" i="7"/>
  <c r="P6" i="7"/>
  <c r="S18" i="7"/>
  <c r="G28" i="7"/>
  <c r="S28" i="7"/>
  <c r="R28" i="7"/>
  <c r="Q28" i="7"/>
  <c r="P28" i="7"/>
  <c r="G12" i="7"/>
  <c r="M12" i="7" s="1"/>
  <c r="T12" i="7" s="1"/>
  <c r="S12" i="7"/>
  <c r="R12" i="7"/>
  <c r="Q12" i="7"/>
  <c r="P12" i="7"/>
  <c r="G8" i="7"/>
  <c r="R8" i="7"/>
  <c r="S8" i="7"/>
  <c r="Q8" i="7"/>
  <c r="P8" i="7"/>
  <c r="S5" i="7"/>
  <c r="R5" i="7"/>
  <c r="Q5" i="7"/>
  <c r="P5" i="7"/>
  <c r="G15" i="7"/>
  <c r="R15" i="7"/>
  <c r="S15" i="7"/>
  <c r="Q15" i="7"/>
  <c r="P15" i="7"/>
  <c r="P18" i="7"/>
  <c r="G30" i="7"/>
  <c r="M30" i="7" s="1"/>
  <c r="T30" i="7" s="1"/>
  <c r="S30" i="7"/>
  <c r="R30" i="7"/>
  <c r="P30" i="7"/>
  <c r="Q30" i="7"/>
  <c r="G14" i="7"/>
  <c r="H14" i="7" s="1"/>
  <c r="S14" i="7"/>
  <c r="R14" i="7"/>
  <c r="Q14" i="7"/>
  <c r="P14" i="7"/>
  <c r="G29" i="7"/>
  <c r="Q29" i="7"/>
  <c r="G13" i="7"/>
  <c r="H13" i="7" s="1"/>
  <c r="S13" i="7"/>
  <c r="R13" i="7"/>
  <c r="Q13" i="7"/>
  <c r="P13" i="7"/>
  <c r="S29" i="7"/>
  <c r="G27" i="7"/>
  <c r="H27" i="7" s="1"/>
  <c r="S27" i="7"/>
  <c r="R27" i="7"/>
  <c r="Q27" i="7"/>
  <c r="P27" i="7"/>
  <c r="G11" i="7"/>
  <c r="M11" i="7" s="1"/>
  <c r="S11" i="7"/>
  <c r="R11" i="7"/>
  <c r="Q11" i="7"/>
  <c r="P11" i="7"/>
  <c r="Q19" i="7"/>
  <c r="P29" i="7"/>
  <c r="G26" i="7"/>
  <c r="H26" i="7" s="1"/>
  <c r="S26" i="7"/>
  <c r="Q26" i="7"/>
  <c r="P26" i="7"/>
  <c r="R26" i="7"/>
  <c r="K20" i="7"/>
  <c r="R19" i="7"/>
  <c r="L20" i="7"/>
  <c r="S19" i="7"/>
  <c r="I20" i="7"/>
  <c r="M20" i="7" s="1"/>
  <c r="T20" i="7" s="1"/>
  <c r="P19" i="7"/>
  <c r="J21" i="7"/>
  <c r="Q21" i="7" s="1"/>
  <c r="Q20" i="7"/>
  <c r="H21" i="7"/>
  <c r="H28" i="7"/>
  <c r="M28" i="7"/>
  <c r="T28" i="7" s="1"/>
  <c r="H29" i="7"/>
  <c r="M29" i="7"/>
  <c r="T29" i="7" s="1"/>
  <c r="H20" i="7"/>
  <c r="H19" i="7"/>
  <c r="M19" i="7"/>
  <c r="T19" i="7" s="1"/>
  <c r="H17" i="7"/>
  <c r="M17" i="7"/>
  <c r="T17" i="7" s="1"/>
  <c r="H11" i="7"/>
  <c r="M10" i="7"/>
  <c r="T10" i="7" s="1"/>
  <c r="M9" i="7"/>
  <c r="T9" i="7" s="1"/>
  <c r="H9" i="7"/>
  <c r="M24" i="7"/>
  <c r="T24" i="7" s="1"/>
  <c r="H24" i="7"/>
  <c r="M16" i="7"/>
  <c r="T16" i="7" s="1"/>
  <c r="M8" i="7"/>
  <c r="H8" i="7"/>
  <c r="G5" i="7"/>
  <c r="H23" i="7"/>
  <c r="M23" i="7"/>
  <c r="T23" i="7" s="1"/>
  <c r="H15" i="7"/>
  <c r="M15" i="7"/>
  <c r="T15" i="7" s="1"/>
  <c r="M7" i="7"/>
  <c r="H7" i="7"/>
  <c r="M6" i="7"/>
  <c r="T6" i="7" s="1"/>
  <c r="H6" i="7"/>
  <c r="R119" i="3"/>
  <c r="H30" i="7" l="1"/>
  <c r="H12" i="7"/>
  <c r="H18" i="7"/>
  <c r="M22" i="7"/>
  <c r="T22" i="7" s="1"/>
  <c r="M13" i="7"/>
  <c r="T13" i="7" s="1"/>
  <c r="M14" i="7"/>
  <c r="T14" i="7" s="1"/>
  <c r="I21" i="7"/>
  <c r="P20" i="7"/>
  <c r="L21" i="7"/>
  <c r="S21" i="7" s="1"/>
  <c r="S20" i="7"/>
  <c r="K21" i="7"/>
  <c r="R21" i="7" s="1"/>
  <c r="R20" i="7"/>
  <c r="M26" i="7"/>
  <c r="T26" i="7" s="1"/>
  <c r="T8" i="7"/>
  <c r="M25" i="7"/>
  <c r="T25" i="7" s="1"/>
  <c r="T7" i="7"/>
  <c r="M27" i="7"/>
  <c r="T27" i="7" s="1"/>
  <c r="T11" i="7"/>
  <c r="H5" i="7"/>
  <c r="M5" i="7"/>
  <c r="T5" i="7" s="1"/>
  <c r="P108" i="3"/>
  <c r="P107" i="3"/>
  <c r="P106" i="3"/>
  <c r="P105" i="3"/>
  <c r="P104" i="3"/>
  <c r="P94" i="3"/>
  <c r="P93" i="3"/>
  <c r="P92" i="3"/>
  <c r="P91" i="3"/>
  <c r="P90" i="3"/>
  <c r="P21" i="7" l="1"/>
  <c r="M21" i="7"/>
  <c r="T21" i="7" s="1"/>
  <c r="Q108" i="3"/>
  <c r="Q107" i="3"/>
  <c r="Q106" i="3"/>
  <c r="Q105" i="3"/>
  <c r="Q104" i="3"/>
  <c r="Q94" i="3"/>
  <c r="Q93" i="3"/>
  <c r="Q92" i="3"/>
  <c r="Q91" i="3"/>
  <c r="Q90" i="3"/>
  <c r="X65" i="3"/>
  <c r="Y65" i="3" s="1"/>
  <c r="X64" i="3"/>
  <c r="Y64" i="3" s="1"/>
  <c r="X63" i="3"/>
  <c r="Y63" i="3" s="1"/>
  <c r="O66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G125" i="3" l="1"/>
  <c r="O125" i="3"/>
  <c r="I125" i="3" s="1"/>
  <c r="K125" i="3" s="1"/>
  <c r="O126" i="3"/>
  <c r="I126" i="3" s="1"/>
  <c r="K126" i="3" s="1"/>
  <c r="O127" i="3"/>
  <c r="I127" i="3" s="1"/>
  <c r="K127" i="3" s="1"/>
  <c r="O128" i="3"/>
  <c r="I128" i="3" s="1"/>
  <c r="K128" i="3" s="1"/>
  <c r="G129" i="3"/>
  <c r="O129" i="3"/>
  <c r="I129" i="3" s="1"/>
  <c r="K129" i="3" s="1"/>
  <c r="O130" i="3"/>
  <c r="I130" i="3" s="1"/>
  <c r="K130" i="3" s="1"/>
  <c r="E131" i="3"/>
  <c r="O131" i="3" s="1"/>
  <c r="I131" i="3" s="1"/>
  <c r="K131" i="3" s="1"/>
  <c r="E132" i="3"/>
  <c r="O132" i="3" s="1"/>
  <c r="I132" i="3" s="1"/>
  <c r="K132" i="3" s="1"/>
  <c r="E133" i="3"/>
  <c r="O133" i="3" s="1"/>
  <c r="I133" i="3" s="1"/>
  <c r="K133" i="3" s="1"/>
  <c r="E134" i="3"/>
  <c r="O134" i="3" s="1"/>
  <c r="I134" i="3" s="1"/>
  <c r="K134" i="3" s="1"/>
  <c r="E135" i="3"/>
  <c r="O135" i="3" s="1"/>
  <c r="I135" i="3" s="1"/>
  <c r="K135" i="3" s="1"/>
  <c r="E136" i="3"/>
  <c r="O136" i="3" s="1"/>
  <c r="I136" i="3" s="1"/>
  <c r="K136" i="3" s="1"/>
  <c r="O137" i="3"/>
  <c r="I137" i="3" s="1"/>
  <c r="K137" i="3" s="1"/>
  <c r="O138" i="3"/>
  <c r="I138" i="3" s="1"/>
  <c r="K138" i="3" s="1"/>
  <c r="F139" i="3"/>
  <c r="G139" i="3" s="1"/>
  <c r="O139" i="3"/>
  <c r="I139" i="3" s="1"/>
  <c r="K139" i="3" s="1"/>
  <c r="F140" i="3"/>
  <c r="G140" i="3" s="1"/>
  <c r="O140" i="3"/>
  <c r="I140" i="3" s="1"/>
  <c r="K140" i="3" s="1"/>
  <c r="F141" i="3"/>
  <c r="O141" i="3"/>
  <c r="I141" i="3" s="1"/>
  <c r="K141" i="3" s="1"/>
  <c r="O142" i="3"/>
  <c r="I142" i="3" s="1"/>
  <c r="K142" i="3" s="1"/>
  <c r="O143" i="3"/>
  <c r="I143" i="3" s="1"/>
  <c r="K143" i="3" s="1"/>
  <c r="O144" i="3"/>
  <c r="I144" i="3" s="1"/>
  <c r="K144" i="3" s="1"/>
  <c r="O145" i="3"/>
  <c r="I145" i="3" s="1"/>
  <c r="K145" i="3" s="1"/>
  <c r="G146" i="3"/>
  <c r="O146" i="3"/>
  <c r="I146" i="3" s="1"/>
  <c r="K146" i="3" s="1"/>
  <c r="O147" i="3"/>
  <c r="I147" i="3" s="1"/>
  <c r="K147" i="3" s="1"/>
  <c r="O148" i="3"/>
  <c r="I148" i="3" s="1"/>
  <c r="K148" i="3" s="1"/>
  <c r="O149" i="3"/>
  <c r="I149" i="3" s="1"/>
  <c r="K149" i="3" s="1"/>
  <c r="O150" i="3"/>
  <c r="I150" i="3" s="1"/>
  <c r="K150" i="3" s="1"/>
  <c r="O151" i="3"/>
  <c r="I151" i="3" s="1"/>
  <c r="K151" i="3" s="1"/>
  <c r="O152" i="3"/>
  <c r="I152" i="3" s="1"/>
  <c r="K152" i="3" s="1"/>
  <c r="O153" i="3"/>
  <c r="I153" i="3" s="1"/>
  <c r="K153" i="3" s="1"/>
  <c r="O154" i="3"/>
  <c r="I154" i="3" s="1"/>
  <c r="K154" i="3" s="1"/>
  <c r="O155" i="3"/>
  <c r="I155" i="3" s="1"/>
  <c r="K155" i="3" s="1"/>
  <c r="O156" i="3"/>
  <c r="I156" i="3" s="1"/>
  <c r="K156" i="3" s="1"/>
  <c r="O157" i="3"/>
  <c r="I157" i="3" s="1"/>
  <c r="K157" i="3" s="1"/>
  <c r="O158" i="3"/>
  <c r="O162" i="3" s="1"/>
  <c r="I162" i="3" s="1"/>
  <c r="K162" i="3" s="1"/>
  <c r="O159" i="3"/>
  <c r="I159" i="3" s="1"/>
  <c r="K159" i="3" s="1"/>
  <c r="H160" i="3"/>
  <c r="O160" i="3" s="1"/>
  <c r="I160" i="3" s="1"/>
  <c r="K160" i="3" s="1"/>
  <c r="G161" i="3"/>
  <c r="H161" i="3" s="1"/>
  <c r="O161" i="3" s="1"/>
  <c r="I161" i="3" s="1"/>
  <c r="K161" i="3" s="1"/>
  <c r="H163" i="3"/>
  <c r="O163" i="3" s="1"/>
  <c r="I163" i="3" s="1"/>
  <c r="K163" i="3" s="1"/>
  <c r="P84" i="3"/>
  <c r="Q84" i="3" s="1"/>
  <c r="U84" i="3"/>
  <c r="P85" i="3"/>
  <c r="Q85" i="3" s="1"/>
  <c r="U85" i="3"/>
  <c r="P86" i="3"/>
  <c r="Q86" i="3" s="1"/>
  <c r="P87" i="3"/>
  <c r="P88" i="3"/>
  <c r="Q88" i="3" s="1"/>
  <c r="U88" i="3"/>
  <c r="P89" i="3"/>
  <c r="Q89" i="3" s="1"/>
  <c r="U89" i="3"/>
  <c r="U92" i="3"/>
  <c r="U93" i="3"/>
  <c r="U94" i="3"/>
  <c r="P95" i="3"/>
  <c r="Q95" i="3" s="1"/>
  <c r="U95" i="3"/>
  <c r="P96" i="3"/>
  <c r="Q96" i="3" s="1"/>
  <c r="U96" i="3"/>
  <c r="P97" i="3"/>
  <c r="Q97" i="3" s="1"/>
  <c r="U97" i="3"/>
  <c r="P98" i="3"/>
  <c r="Q98" i="3" s="1"/>
  <c r="U98" i="3"/>
  <c r="P99" i="3"/>
  <c r="Q99" i="3" s="1"/>
  <c r="P100" i="3"/>
  <c r="Q100" i="3" s="1"/>
  <c r="O101" i="3"/>
  <c r="P109" i="3"/>
  <c r="Q109" i="3" s="1"/>
  <c r="P110" i="3"/>
  <c r="Q110" i="3" s="1"/>
  <c r="P111" i="3"/>
  <c r="Q111" i="3" s="1"/>
  <c r="P112" i="3"/>
  <c r="Q112" i="3" s="1"/>
  <c r="P116" i="3"/>
  <c r="Q116" i="3" s="1"/>
  <c r="P117" i="3"/>
  <c r="Q117" i="3" s="1"/>
  <c r="S119" i="3"/>
  <c r="O31" i="3"/>
  <c r="P32" i="3"/>
  <c r="H7" i="5" s="1"/>
  <c r="J11" i="8" s="1"/>
  <c r="G7" i="13" s="1"/>
  <c r="R32" i="3"/>
  <c r="J7" i="5" s="1"/>
  <c r="L11" i="8" s="1"/>
  <c r="I7" i="13" s="1"/>
  <c r="S32" i="3"/>
  <c r="K7" i="5" s="1"/>
  <c r="M11" i="8" s="1"/>
  <c r="J7" i="13" s="1"/>
  <c r="T33" i="3"/>
  <c r="L8" i="5" s="1"/>
  <c r="N12" i="8" s="1"/>
  <c r="K8" i="13" s="1"/>
  <c r="P34" i="3"/>
  <c r="H9" i="5" s="1"/>
  <c r="J13" i="8" s="1"/>
  <c r="G9" i="13" s="1"/>
  <c r="P35" i="3"/>
  <c r="H10" i="5" s="1"/>
  <c r="J14" i="8" s="1"/>
  <c r="G10" i="13" s="1"/>
  <c r="S36" i="3"/>
  <c r="K11" i="5" s="1"/>
  <c r="M15" i="8" s="1"/>
  <c r="J11" i="13" s="1"/>
  <c r="T37" i="3"/>
  <c r="L12" i="5" s="1"/>
  <c r="N16" i="8" s="1"/>
  <c r="K12" i="13" s="1"/>
  <c r="S37" i="3"/>
  <c r="K12" i="5" s="1"/>
  <c r="M16" i="8" s="1"/>
  <c r="J12" i="13" s="1"/>
  <c r="P38" i="3"/>
  <c r="H13" i="5" s="1"/>
  <c r="J17" i="8" s="1"/>
  <c r="G13" i="13" s="1"/>
  <c r="P39" i="3"/>
  <c r="H14" i="5" s="1"/>
  <c r="J18" i="8" s="1"/>
  <c r="G14" i="13" s="1"/>
  <c r="S40" i="3"/>
  <c r="K15" i="5" s="1"/>
  <c r="M19" i="8" s="1"/>
  <c r="J15" i="13" s="1"/>
  <c r="T41" i="3"/>
  <c r="L16" i="5" s="1"/>
  <c r="N20" i="8" s="1"/>
  <c r="K16" i="13" s="1"/>
  <c r="S41" i="3"/>
  <c r="K16" i="5" s="1"/>
  <c r="M20" i="8" s="1"/>
  <c r="J16" i="13" s="1"/>
  <c r="P42" i="3"/>
  <c r="H17" i="5" s="1"/>
  <c r="J21" i="8" s="1"/>
  <c r="G17" i="13" s="1"/>
  <c r="P43" i="3"/>
  <c r="H18" i="5" s="1"/>
  <c r="J22" i="8" s="1"/>
  <c r="G18" i="13" s="1"/>
  <c r="Q44" i="3"/>
  <c r="I19" i="5" s="1"/>
  <c r="K23" i="8" s="1"/>
  <c r="H19" i="13" s="1"/>
  <c r="P44" i="3"/>
  <c r="H19" i="5" s="1"/>
  <c r="J23" i="8" s="1"/>
  <c r="G19" i="13" s="1"/>
  <c r="S44" i="3"/>
  <c r="K19" i="5" s="1"/>
  <c r="M23" i="8" s="1"/>
  <c r="J19" i="13" s="1"/>
  <c r="T44" i="3"/>
  <c r="L19" i="5" s="1"/>
  <c r="N23" i="8" s="1"/>
  <c r="K19" i="13" s="1"/>
  <c r="T45" i="3"/>
  <c r="L20" i="5" s="1"/>
  <c r="N24" i="8" s="1"/>
  <c r="K20" i="13" s="1"/>
  <c r="S45" i="3"/>
  <c r="K20" i="5" s="1"/>
  <c r="M24" i="8" s="1"/>
  <c r="J20" i="13" s="1"/>
  <c r="P46" i="3"/>
  <c r="H21" i="5" s="1"/>
  <c r="J25" i="8" s="1"/>
  <c r="G21" i="13" s="1"/>
  <c r="P47" i="3"/>
  <c r="H22" i="5" s="1"/>
  <c r="J26" i="8" s="1"/>
  <c r="G22" i="13" s="1"/>
  <c r="P48" i="3"/>
  <c r="H23" i="5" s="1"/>
  <c r="J30" i="8" s="1"/>
  <c r="G26" i="13" s="1"/>
  <c r="Q48" i="3"/>
  <c r="I23" i="5" s="1"/>
  <c r="K30" i="8" s="1"/>
  <c r="H26" i="13" s="1"/>
  <c r="R48" i="3"/>
  <c r="J23" i="5" s="1"/>
  <c r="L30" i="8" s="1"/>
  <c r="I26" i="13" s="1"/>
  <c r="S48" i="3"/>
  <c r="K23" i="5" s="1"/>
  <c r="M30" i="8" s="1"/>
  <c r="J26" i="13" s="1"/>
  <c r="T48" i="3"/>
  <c r="L23" i="5" s="1"/>
  <c r="N30" i="8" s="1"/>
  <c r="K26" i="13" s="1"/>
  <c r="T49" i="3"/>
  <c r="L24" i="5" s="1"/>
  <c r="N31" i="8" s="1"/>
  <c r="K27" i="13" s="1"/>
  <c r="S49" i="3"/>
  <c r="K24" i="5" s="1"/>
  <c r="M31" i="8" s="1"/>
  <c r="J27" i="13" s="1"/>
  <c r="P50" i="3"/>
  <c r="H25" i="5" s="1"/>
  <c r="J34" i="8" s="1"/>
  <c r="G34" i="13" s="1"/>
  <c r="P51" i="3"/>
  <c r="H26" i="5" s="1"/>
  <c r="J35" i="8" s="1"/>
  <c r="G35" i="13" s="1"/>
  <c r="S52" i="3"/>
  <c r="K27" i="5" s="1"/>
  <c r="M36" i="8" s="1"/>
  <c r="J36" i="13" s="1"/>
  <c r="T53" i="3"/>
  <c r="L28" i="5" s="1"/>
  <c r="N37" i="8" s="1"/>
  <c r="K37" i="13" s="1"/>
  <c r="S53" i="3"/>
  <c r="K28" i="5" s="1"/>
  <c r="M37" i="8" s="1"/>
  <c r="J37" i="13" s="1"/>
  <c r="P54" i="3"/>
  <c r="H29" i="5" s="1"/>
  <c r="J38" i="8" s="1"/>
  <c r="G38" i="13" s="1"/>
  <c r="P55" i="3"/>
  <c r="H30" i="5" s="1"/>
  <c r="J39" i="8" s="1"/>
  <c r="G39" i="13" s="1"/>
  <c r="S56" i="3"/>
  <c r="K31" i="5" s="1"/>
  <c r="M40" i="8" s="1"/>
  <c r="J40" i="13" s="1"/>
  <c r="T57" i="3"/>
  <c r="L32" i="5" s="1"/>
  <c r="N41" i="8" s="1"/>
  <c r="K41" i="13" s="1"/>
  <c r="S57" i="3"/>
  <c r="K32" i="5" s="1"/>
  <c r="M41" i="8" s="1"/>
  <c r="J41" i="13" s="1"/>
  <c r="P58" i="3"/>
  <c r="H33" i="5" s="1"/>
  <c r="J43" i="8" s="1"/>
  <c r="G43" i="13" s="1"/>
  <c r="P59" i="3"/>
  <c r="H34" i="5" s="1"/>
  <c r="J44" i="8" s="1"/>
  <c r="G44" i="13" s="1"/>
  <c r="Q60" i="3"/>
  <c r="I35" i="5" s="1"/>
  <c r="P60" i="3"/>
  <c r="H35" i="5" s="1"/>
  <c r="S60" i="3"/>
  <c r="K35" i="5" s="1"/>
  <c r="T60" i="3"/>
  <c r="L35" i="5" s="1"/>
  <c r="T61" i="3"/>
  <c r="L36" i="5" s="1"/>
  <c r="S61" i="3"/>
  <c r="K36" i="5" s="1"/>
  <c r="P62" i="3"/>
  <c r="H37" i="5" s="1"/>
  <c r="O63" i="3"/>
  <c r="P63" i="3" s="1"/>
  <c r="H38" i="5" s="1"/>
  <c r="J51" i="8" s="1"/>
  <c r="G28" i="13" s="1"/>
  <c r="U63" i="3"/>
  <c r="V63" i="3" s="1"/>
  <c r="Z63" i="3"/>
  <c r="O64" i="3"/>
  <c r="T64" i="3" s="1"/>
  <c r="L39" i="5" s="1"/>
  <c r="N52" i="8" s="1"/>
  <c r="K29" i="13" s="1"/>
  <c r="S64" i="3"/>
  <c r="K39" i="5" s="1"/>
  <c r="M52" i="8" s="1"/>
  <c r="J29" i="13" s="1"/>
  <c r="U64" i="3"/>
  <c r="V64" i="3" s="1"/>
  <c r="Z64" i="3"/>
  <c r="O65" i="3"/>
  <c r="P65" i="3" s="1"/>
  <c r="H40" i="5" s="1"/>
  <c r="J53" i="8" s="1"/>
  <c r="G30" i="13" s="1"/>
  <c r="U65" i="3"/>
  <c r="V65" i="3" s="1"/>
  <c r="Z65" i="3"/>
  <c r="T66" i="3"/>
  <c r="L41" i="5" s="1"/>
  <c r="N55" i="8" s="1"/>
  <c r="K51" i="13" s="1"/>
  <c r="S66" i="3"/>
  <c r="K41" i="5" s="1"/>
  <c r="M55" i="8" s="1"/>
  <c r="J51" i="13" s="1"/>
  <c r="O72" i="3"/>
  <c r="Q72" i="3" s="1"/>
  <c r="P83" i="3" l="1"/>
  <c r="Q83" i="3" s="1"/>
  <c r="P72" i="3"/>
  <c r="AB64" i="3"/>
  <c r="S114" i="3"/>
  <c r="G39" i="5" s="1"/>
  <c r="O68" i="3"/>
  <c r="P82" i="3"/>
  <c r="Q82" i="3" s="1"/>
  <c r="AB65" i="3"/>
  <c r="S115" i="3"/>
  <c r="G40" i="5" s="1"/>
  <c r="AB63" i="3"/>
  <c r="S113" i="3"/>
  <c r="G38" i="5" s="1"/>
  <c r="P81" i="3"/>
  <c r="Q81" i="3" s="1"/>
  <c r="Q87" i="3"/>
  <c r="S31" i="3"/>
  <c r="K6" i="5" s="1"/>
  <c r="M10" i="8" s="1"/>
  <c r="J6" i="13" s="1"/>
  <c r="T31" i="3"/>
  <c r="L6" i="5" s="1"/>
  <c r="N10" i="8" s="1"/>
  <c r="K6" i="13" s="1"/>
  <c r="R52" i="3"/>
  <c r="J27" i="5" s="1"/>
  <c r="L36" i="8" s="1"/>
  <c r="I36" i="13" s="1"/>
  <c r="R36" i="3"/>
  <c r="J11" i="5" s="1"/>
  <c r="L15" i="8" s="1"/>
  <c r="I11" i="13" s="1"/>
  <c r="Q52" i="3"/>
  <c r="I27" i="5" s="1"/>
  <c r="K36" i="8" s="1"/>
  <c r="H36" i="13" s="1"/>
  <c r="Q36" i="3"/>
  <c r="I11" i="5" s="1"/>
  <c r="K15" i="8" s="1"/>
  <c r="H11" i="13" s="1"/>
  <c r="P56" i="3"/>
  <c r="H31" i="5" s="1"/>
  <c r="J40" i="8" s="1"/>
  <c r="G40" i="13" s="1"/>
  <c r="P52" i="3"/>
  <c r="H27" i="5" s="1"/>
  <c r="J36" i="8" s="1"/>
  <c r="G36" i="13" s="1"/>
  <c r="P40" i="3"/>
  <c r="H15" i="5" s="1"/>
  <c r="J19" i="8" s="1"/>
  <c r="G15" i="13" s="1"/>
  <c r="P36" i="3"/>
  <c r="H11" i="5" s="1"/>
  <c r="J15" i="8" s="1"/>
  <c r="G11" i="13" s="1"/>
  <c r="I158" i="3"/>
  <c r="K158" i="3" s="1"/>
  <c r="T32" i="3"/>
  <c r="L7" i="5" s="1"/>
  <c r="N11" i="8" s="1"/>
  <c r="K7" i="13" s="1"/>
  <c r="P101" i="3"/>
  <c r="Q101" i="3" s="1"/>
  <c r="P103" i="3"/>
  <c r="Q103" i="3" s="1"/>
  <c r="P102" i="3"/>
  <c r="Q102" i="3" s="1"/>
  <c r="R56" i="3"/>
  <c r="J31" i="5" s="1"/>
  <c r="L40" i="8" s="1"/>
  <c r="I40" i="13" s="1"/>
  <c r="T52" i="3"/>
  <c r="L27" i="5" s="1"/>
  <c r="N36" i="8" s="1"/>
  <c r="K36" i="13" s="1"/>
  <c r="R40" i="3"/>
  <c r="J15" i="5" s="1"/>
  <c r="L19" i="8" s="1"/>
  <c r="I15" i="13" s="1"/>
  <c r="T36" i="3"/>
  <c r="L11" i="5" s="1"/>
  <c r="N15" i="8" s="1"/>
  <c r="K11" i="13" s="1"/>
  <c r="S33" i="3"/>
  <c r="K8" i="5" s="1"/>
  <c r="M12" i="8" s="1"/>
  <c r="J8" i="13" s="1"/>
  <c r="Q56" i="3"/>
  <c r="I31" i="5" s="1"/>
  <c r="K40" i="8" s="1"/>
  <c r="H40" i="13" s="1"/>
  <c r="Q40" i="3"/>
  <c r="I15" i="5" s="1"/>
  <c r="K19" i="8" s="1"/>
  <c r="H15" i="13" s="1"/>
  <c r="R33" i="3"/>
  <c r="J8" i="5" s="1"/>
  <c r="L12" i="8" s="1"/>
  <c r="I8" i="13" s="1"/>
  <c r="T72" i="3"/>
  <c r="R60" i="3"/>
  <c r="J35" i="5" s="1"/>
  <c r="T56" i="3"/>
  <c r="L31" i="5" s="1"/>
  <c r="N40" i="8" s="1"/>
  <c r="K40" i="13" s="1"/>
  <c r="R44" i="3"/>
  <c r="J19" i="5" s="1"/>
  <c r="L23" i="8" s="1"/>
  <c r="I19" i="13" s="1"/>
  <c r="T40" i="3"/>
  <c r="L15" i="5" s="1"/>
  <c r="N19" i="8" s="1"/>
  <c r="K15" i="13" s="1"/>
  <c r="Q32" i="3"/>
  <c r="I7" i="5" s="1"/>
  <c r="K11" i="8" s="1"/>
  <c r="H7" i="13" s="1"/>
  <c r="S72" i="3"/>
  <c r="T68" i="3"/>
  <c r="L43" i="5" s="1"/>
  <c r="P69" i="3"/>
  <c r="R66" i="3"/>
  <c r="J41" i="5" s="1"/>
  <c r="L55" i="8" s="1"/>
  <c r="I51" i="13" s="1"/>
  <c r="R64" i="3"/>
  <c r="J39" i="5" s="1"/>
  <c r="L52" i="8" s="1"/>
  <c r="I29" i="13" s="1"/>
  <c r="T62" i="3"/>
  <c r="L37" i="5" s="1"/>
  <c r="R61" i="3"/>
  <c r="J36" i="5" s="1"/>
  <c r="T58" i="3"/>
  <c r="L33" i="5" s="1"/>
  <c r="N43" i="8" s="1"/>
  <c r="K43" i="13" s="1"/>
  <c r="R57" i="3"/>
  <c r="J32" i="5" s="1"/>
  <c r="L41" i="8" s="1"/>
  <c r="I41" i="13" s="1"/>
  <c r="T54" i="3"/>
  <c r="L29" i="5" s="1"/>
  <c r="N38" i="8" s="1"/>
  <c r="K38" i="13" s="1"/>
  <c r="R53" i="3"/>
  <c r="J28" i="5" s="1"/>
  <c r="L37" i="8" s="1"/>
  <c r="I37" i="13" s="1"/>
  <c r="T50" i="3"/>
  <c r="L25" i="5" s="1"/>
  <c r="N34" i="8" s="1"/>
  <c r="K34" i="13" s="1"/>
  <c r="R49" i="3"/>
  <c r="J24" i="5" s="1"/>
  <c r="L31" i="8" s="1"/>
  <c r="I27" i="13" s="1"/>
  <c r="T46" i="3"/>
  <c r="L21" i="5" s="1"/>
  <c r="N25" i="8" s="1"/>
  <c r="K21" i="13" s="1"/>
  <c r="R45" i="3"/>
  <c r="J20" i="5" s="1"/>
  <c r="L24" i="8" s="1"/>
  <c r="I20" i="13" s="1"/>
  <c r="T42" i="3"/>
  <c r="L17" i="5" s="1"/>
  <c r="N21" i="8" s="1"/>
  <c r="K17" i="13" s="1"/>
  <c r="R41" i="3"/>
  <c r="J16" i="5" s="1"/>
  <c r="L20" i="8" s="1"/>
  <c r="I16" i="13" s="1"/>
  <c r="T38" i="3"/>
  <c r="L13" i="5" s="1"/>
  <c r="N17" i="8" s="1"/>
  <c r="K13" i="13" s="1"/>
  <c r="R37" i="3"/>
  <c r="J12" i="5" s="1"/>
  <c r="L16" i="8" s="1"/>
  <c r="I12" i="13" s="1"/>
  <c r="T34" i="3"/>
  <c r="L9" i="5" s="1"/>
  <c r="N13" i="8" s="1"/>
  <c r="K9" i="13" s="1"/>
  <c r="R72" i="3"/>
  <c r="Q66" i="3"/>
  <c r="I41" i="5" s="1"/>
  <c r="K55" i="8" s="1"/>
  <c r="H51" i="13" s="1"/>
  <c r="Q64" i="3"/>
  <c r="I39" i="5" s="1"/>
  <c r="K52" i="8" s="1"/>
  <c r="H29" i="13" s="1"/>
  <c r="S62" i="3"/>
  <c r="K37" i="5" s="1"/>
  <c r="Q61" i="3"/>
  <c r="I36" i="5" s="1"/>
  <c r="S58" i="3"/>
  <c r="K33" i="5" s="1"/>
  <c r="M43" i="8" s="1"/>
  <c r="J43" i="13" s="1"/>
  <c r="Q57" i="3"/>
  <c r="I32" i="5" s="1"/>
  <c r="K41" i="8" s="1"/>
  <c r="H41" i="13" s="1"/>
  <c r="S54" i="3"/>
  <c r="K29" i="5" s="1"/>
  <c r="M38" i="8" s="1"/>
  <c r="J38" i="13" s="1"/>
  <c r="Q53" i="3"/>
  <c r="I28" i="5" s="1"/>
  <c r="K37" i="8" s="1"/>
  <c r="H37" i="13" s="1"/>
  <c r="S50" i="3"/>
  <c r="K25" i="5" s="1"/>
  <c r="M34" i="8" s="1"/>
  <c r="J34" i="13" s="1"/>
  <c r="Q49" i="3"/>
  <c r="I24" i="5" s="1"/>
  <c r="K31" i="8" s="1"/>
  <c r="H27" i="13" s="1"/>
  <c r="S46" i="3"/>
  <c r="K21" i="5" s="1"/>
  <c r="M25" i="8" s="1"/>
  <c r="J21" i="13" s="1"/>
  <c r="Q45" i="3"/>
  <c r="I20" i="5" s="1"/>
  <c r="K24" i="8" s="1"/>
  <c r="H20" i="13" s="1"/>
  <c r="S42" i="3"/>
  <c r="K17" i="5" s="1"/>
  <c r="M21" i="8" s="1"/>
  <c r="J17" i="13" s="1"/>
  <c r="Q41" i="3"/>
  <c r="I16" i="5" s="1"/>
  <c r="K20" i="8" s="1"/>
  <c r="H16" i="13" s="1"/>
  <c r="S38" i="3"/>
  <c r="K13" i="5" s="1"/>
  <c r="M17" i="8" s="1"/>
  <c r="J13" i="13" s="1"/>
  <c r="Q37" i="3"/>
  <c r="I12" i="5" s="1"/>
  <c r="K16" i="8" s="1"/>
  <c r="H12" i="13" s="1"/>
  <c r="S34" i="3"/>
  <c r="K9" i="5" s="1"/>
  <c r="M13" i="8" s="1"/>
  <c r="J9" i="13" s="1"/>
  <c r="Q33" i="3"/>
  <c r="I8" i="5" s="1"/>
  <c r="K12" i="8" s="1"/>
  <c r="H8" i="13" s="1"/>
  <c r="P66" i="3"/>
  <c r="H41" i="5" s="1"/>
  <c r="J55" i="8" s="1"/>
  <c r="G51" i="13" s="1"/>
  <c r="T65" i="3"/>
  <c r="L40" i="5" s="1"/>
  <c r="N53" i="8" s="1"/>
  <c r="K30" i="13" s="1"/>
  <c r="P64" i="3"/>
  <c r="H39" i="5" s="1"/>
  <c r="J52" i="8" s="1"/>
  <c r="G29" i="13" s="1"/>
  <c r="T63" i="3"/>
  <c r="L38" i="5" s="1"/>
  <c r="N51" i="8" s="1"/>
  <c r="K28" i="13" s="1"/>
  <c r="R62" i="3"/>
  <c r="J37" i="5" s="1"/>
  <c r="P61" i="3"/>
  <c r="H36" i="5" s="1"/>
  <c r="T59" i="3"/>
  <c r="L34" i="5" s="1"/>
  <c r="N44" i="8" s="1"/>
  <c r="K44" i="13" s="1"/>
  <c r="R58" i="3"/>
  <c r="J33" i="5" s="1"/>
  <c r="L43" i="8" s="1"/>
  <c r="I43" i="13" s="1"/>
  <c r="P57" i="3"/>
  <c r="H32" i="5" s="1"/>
  <c r="J41" i="8" s="1"/>
  <c r="G41" i="13" s="1"/>
  <c r="T55" i="3"/>
  <c r="L30" i="5" s="1"/>
  <c r="N39" i="8" s="1"/>
  <c r="K39" i="13" s="1"/>
  <c r="R54" i="3"/>
  <c r="J29" i="5" s="1"/>
  <c r="L38" i="8" s="1"/>
  <c r="I38" i="13" s="1"/>
  <c r="P53" i="3"/>
  <c r="H28" i="5" s="1"/>
  <c r="J37" i="8" s="1"/>
  <c r="G37" i="13" s="1"/>
  <c r="T51" i="3"/>
  <c r="L26" i="5" s="1"/>
  <c r="N35" i="8" s="1"/>
  <c r="K35" i="13" s="1"/>
  <c r="R50" i="3"/>
  <c r="J25" i="5" s="1"/>
  <c r="L34" i="8" s="1"/>
  <c r="I34" i="13" s="1"/>
  <c r="P49" i="3"/>
  <c r="H24" i="5" s="1"/>
  <c r="J31" i="8" s="1"/>
  <c r="G27" i="13" s="1"/>
  <c r="T47" i="3"/>
  <c r="L22" i="5" s="1"/>
  <c r="N26" i="8" s="1"/>
  <c r="K22" i="13" s="1"/>
  <c r="R46" i="3"/>
  <c r="J21" i="5" s="1"/>
  <c r="L25" i="8" s="1"/>
  <c r="I21" i="13" s="1"/>
  <c r="P45" i="3"/>
  <c r="H20" i="5" s="1"/>
  <c r="J24" i="8" s="1"/>
  <c r="G20" i="13" s="1"/>
  <c r="T43" i="3"/>
  <c r="L18" i="5" s="1"/>
  <c r="N22" i="8" s="1"/>
  <c r="K18" i="13" s="1"/>
  <c r="R42" i="3"/>
  <c r="J17" i="5" s="1"/>
  <c r="L21" i="8" s="1"/>
  <c r="I17" i="13" s="1"/>
  <c r="P41" i="3"/>
  <c r="H16" i="5" s="1"/>
  <c r="J20" i="8" s="1"/>
  <c r="G16" i="13" s="1"/>
  <c r="T39" i="3"/>
  <c r="L14" i="5" s="1"/>
  <c r="N18" i="8" s="1"/>
  <c r="K14" i="13" s="1"/>
  <c r="R38" i="3"/>
  <c r="J13" i="5" s="1"/>
  <c r="L17" i="8" s="1"/>
  <c r="I13" i="13" s="1"/>
  <c r="P37" i="3"/>
  <c r="H12" i="5" s="1"/>
  <c r="J16" i="8" s="1"/>
  <c r="G12" i="13" s="1"/>
  <c r="T35" i="3"/>
  <c r="L10" i="5" s="1"/>
  <c r="N14" i="8" s="1"/>
  <c r="K10" i="13" s="1"/>
  <c r="R34" i="3"/>
  <c r="J9" i="5" s="1"/>
  <c r="L13" i="8" s="1"/>
  <c r="I9" i="13" s="1"/>
  <c r="P33" i="3"/>
  <c r="H8" i="5" s="1"/>
  <c r="J12" i="8" s="1"/>
  <c r="G8" i="13" s="1"/>
  <c r="S68" i="3"/>
  <c r="K43" i="5" s="1"/>
  <c r="S65" i="3"/>
  <c r="K40" i="5" s="1"/>
  <c r="M53" i="8" s="1"/>
  <c r="J30" i="13" s="1"/>
  <c r="S63" i="3"/>
  <c r="K38" i="5" s="1"/>
  <c r="M51" i="8" s="1"/>
  <c r="J28" i="13" s="1"/>
  <c r="Q62" i="3"/>
  <c r="I37" i="5" s="1"/>
  <c r="S59" i="3"/>
  <c r="K34" i="5" s="1"/>
  <c r="M44" i="8" s="1"/>
  <c r="J44" i="13" s="1"/>
  <c r="Q58" i="3"/>
  <c r="I33" i="5" s="1"/>
  <c r="K43" i="8" s="1"/>
  <c r="H43" i="13" s="1"/>
  <c r="S55" i="3"/>
  <c r="K30" i="5" s="1"/>
  <c r="M39" i="8" s="1"/>
  <c r="J39" i="13" s="1"/>
  <c r="Q54" i="3"/>
  <c r="I29" i="5" s="1"/>
  <c r="K38" i="8" s="1"/>
  <c r="H38" i="13" s="1"/>
  <c r="S51" i="3"/>
  <c r="K26" i="5" s="1"/>
  <c r="M35" i="8" s="1"/>
  <c r="J35" i="13" s="1"/>
  <c r="Q50" i="3"/>
  <c r="I25" i="5" s="1"/>
  <c r="K34" i="8" s="1"/>
  <c r="H34" i="13" s="1"/>
  <c r="S47" i="3"/>
  <c r="K22" i="5" s="1"/>
  <c r="M26" i="8" s="1"/>
  <c r="J22" i="13" s="1"/>
  <c r="Q46" i="3"/>
  <c r="I21" i="5" s="1"/>
  <c r="K25" i="8" s="1"/>
  <c r="H21" i="13" s="1"/>
  <c r="S43" i="3"/>
  <c r="K18" i="5" s="1"/>
  <c r="M22" i="8" s="1"/>
  <c r="J18" i="13" s="1"/>
  <c r="Q42" i="3"/>
  <c r="I17" i="5" s="1"/>
  <c r="K21" i="8" s="1"/>
  <c r="H17" i="13" s="1"/>
  <c r="S39" i="3"/>
  <c r="K14" i="5" s="1"/>
  <c r="M18" i="8" s="1"/>
  <c r="J14" i="13" s="1"/>
  <c r="Q38" i="3"/>
  <c r="I13" i="5" s="1"/>
  <c r="K17" i="8" s="1"/>
  <c r="H13" i="13" s="1"/>
  <c r="S35" i="3"/>
  <c r="K10" i="5" s="1"/>
  <c r="M14" i="8" s="1"/>
  <c r="J10" i="13" s="1"/>
  <c r="Q34" i="3"/>
  <c r="I9" i="5" s="1"/>
  <c r="K13" i="8" s="1"/>
  <c r="H9" i="13" s="1"/>
  <c r="R65" i="3"/>
  <c r="J40" i="5" s="1"/>
  <c r="L53" i="8" s="1"/>
  <c r="I30" i="13" s="1"/>
  <c r="R63" i="3"/>
  <c r="J38" i="5" s="1"/>
  <c r="L51" i="8" s="1"/>
  <c r="I28" i="13" s="1"/>
  <c r="R59" i="3"/>
  <c r="J34" i="5" s="1"/>
  <c r="L44" i="8" s="1"/>
  <c r="I44" i="13" s="1"/>
  <c r="R55" i="3"/>
  <c r="J30" i="5" s="1"/>
  <c r="L39" i="8" s="1"/>
  <c r="I39" i="13" s="1"/>
  <c r="R51" i="3"/>
  <c r="J26" i="5" s="1"/>
  <c r="L35" i="8" s="1"/>
  <c r="I35" i="13" s="1"/>
  <c r="R47" i="3"/>
  <c r="J22" i="5" s="1"/>
  <c r="L26" i="8" s="1"/>
  <c r="I22" i="13" s="1"/>
  <c r="R43" i="3"/>
  <c r="J18" i="5" s="1"/>
  <c r="L22" i="8" s="1"/>
  <c r="I18" i="13" s="1"/>
  <c r="R39" i="3"/>
  <c r="J14" i="5" s="1"/>
  <c r="L18" i="8" s="1"/>
  <c r="I14" i="13" s="1"/>
  <c r="R35" i="3"/>
  <c r="J10" i="5" s="1"/>
  <c r="L14" i="8" s="1"/>
  <c r="I10" i="13" s="1"/>
  <c r="Q65" i="3"/>
  <c r="I40" i="5" s="1"/>
  <c r="K53" i="8" s="1"/>
  <c r="H30" i="13" s="1"/>
  <c r="Q63" i="3"/>
  <c r="I38" i="5" s="1"/>
  <c r="K51" i="8" s="1"/>
  <c r="H28" i="13" s="1"/>
  <c r="Q59" i="3"/>
  <c r="I34" i="5" s="1"/>
  <c r="K44" i="8" s="1"/>
  <c r="H44" i="13" s="1"/>
  <c r="Q55" i="3"/>
  <c r="I30" i="5" s="1"/>
  <c r="K39" i="8" s="1"/>
  <c r="H39" i="13" s="1"/>
  <c r="Q51" i="3"/>
  <c r="I26" i="5" s="1"/>
  <c r="K35" i="8" s="1"/>
  <c r="H35" i="13" s="1"/>
  <c r="Q47" i="3"/>
  <c r="I22" i="5" s="1"/>
  <c r="K26" i="8" s="1"/>
  <c r="H22" i="13" s="1"/>
  <c r="Q43" i="3"/>
  <c r="I18" i="5" s="1"/>
  <c r="K22" i="8" s="1"/>
  <c r="H18" i="13" s="1"/>
  <c r="Q39" i="3"/>
  <c r="I14" i="5" s="1"/>
  <c r="K18" i="8" s="1"/>
  <c r="H14" i="13" s="1"/>
  <c r="Q35" i="3"/>
  <c r="I10" i="5" s="1"/>
  <c r="K14" i="8" s="1"/>
  <c r="H10" i="13" s="1"/>
  <c r="F40" i="5" l="1"/>
  <c r="O40" i="5"/>
  <c r="I53" i="8" s="1"/>
  <c r="G43" i="5"/>
  <c r="O39" i="5"/>
  <c r="I52" i="8" s="1"/>
  <c r="F39" i="5"/>
  <c r="O38" i="5"/>
  <c r="I51" i="8" s="1"/>
  <c r="F38" i="5"/>
  <c r="R31" i="3"/>
  <c r="J6" i="5" s="1"/>
  <c r="L10" i="8" s="1"/>
  <c r="I6" i="13" s="1"/>
  <c r="P31" i="3"/>
  <c r="H6" i="5" s="1"/>
  <c r="J10" i="8" s="1"/>
  <c r="G6" i="13" s="1"/>
  <c r="Q31" i="3"/>
  <c r="I6" i="5" s="1"/>
  <c r="K10" i="8" s="1"/>
  <c r="H6" i="13" s="1"/>
  <c r="T67" i="3"/>
  <c r="L42" i="5" s="1"/>
  <c r="N56" i="8" s="1"/>
  <c r="K52" i="13" s="1"/>
  <c r="R68" i="3"/>
  <c r="J43" i="5" s="1"/>
  <c r="Q68" i="3"/>
  <c r="I43" i="5" s="1"/>
  <c r="Q69" i="3"/>
  <c r="T69" i="3"/>
  <c r="R69" i="3"/>
  <c r="S69" i="3"/>
  <c r="P68" i="3"/>
  <c r="H43" i="5" s="1"/>
  <c r="E7" i="3"/>
  <c r="H52" i="8" l="1"/>
  <c r="H50" i="12" s="1"/>
  <c r="F29" i="13"/>
  <c r="H51" i="8"/>
  <c r="F28" i="13"/>
  <c r="H53" i="8"/>
  <c r="H51" i="12" s="1"/>
  <c r="F30" i="13"/>
  <c r="H49" i="12"/>
  <c r="P51" i="8"/>
  <c r="M28" i="13" s="1"/>
  <c r="F43" i="5"/>
  <c r="O43" i="5"/>
  <c r="P67" i="3"/>
  <c r="H42" i="5" s="1"/>
  <c r="J56" i="8" s="1"/>
  <c r="G52" i="13" s="1"/>
  <c r="Q67" i="3"/>
  <c r="I42" i="5" s="1"/>
  <c r="K56" i="8" s="1"/>
  <c r="H52" i="13" s="1"/>
  <c r="R67" i="3"/>
  <c r="J42" i="5" s="1"/>
  <c r="L56" i="8" s="1"/>
  <c r="I52" i="13" s="1"/>
  <c r="P53" i="8" l="1"/>
  <c r="M30" i="13" s="1"/>
  <c r="P52" i="8"/>
  <c r="M29" i="13" s="1"/>
  <c r="B14" i="3"/>
  <c r="B16" i="3" s="1"/>
  <c r="P2" i="5" s="1"/>
  <c r="P4" i="5" s="1"/>
  <c r="L134" i="3" l="1"/>
  <c r="M15" i="5" s="1"/>
  <c r="N15" i="5" s="1"/>
  <c r="O19" i="8" s="1"/>
  <c r="G17" i="12" s="1"/>
  <c r="L141" i="3"/>
  <c r="M22" i="5" s="1"/>
  <c r="N22" i="5" s="1"/>
  <c r="O26" i="8" s="1"/>
  <c r="G24" i="12" s="1"/>
  <c r="L145" i="3"/>
  <c r="M26" i="5" s="1"/>
  <c r="N26" i="5" s="1"/>
  <c r="L137" i="3"/>
  <c r="M18" i="5" s="1"/>
  <c r="N18" i="5" s="1"/>
  <c r="O22" i="8" s="1"/>
  <c r="G20" i="12" s="1"/>
  <c r="L125" i="3"/>
  <c r="M6" i="5" s="1"/>
  <c r="N6" i="5" s="1"/>
  <c r="O10" i="8" s="1"/>
  <c r="G8" i="12" s="1"/>
  <c r="L150" i="3"/>
  <c r="M31" i="5" s="1"/>
  <c r="N31" i="5" s="1"/>
  <c r="O40" i="8" s="1"/>
  <c r="G38" i="12" s="1"/>
  <c r="L153" i="3"/>
  <c r="M34" i="5" s="1"/>
  <c r="N34" i="5" s="1"/>
  <c r="O44" i="8" s="1"/>
  <c r="G42" i="12" s="1"/>
  <c r="L126" i="3"/>
  <c r="M7" i="5" s="1"/>
  <c r="N7" i="5" s="1"/>
  <c r="O11" i="8" s="1"/>
  <c r="G9" i="12" s="1"/>
  <c r="L157" i="3"/>
  <c r="M38" i="5" s="1"/>
  <c r="N38" i="5" s="1"/>
  <c r="O51" i="8" s="1"/>
  <c r="L138" i="3"/>
  <c r="M19" i="5" s="1"/>
  <c r="N19" i="5" s="1"/>
  <c r="O23" i="8" s="1"/>
  <c r="G21" i="12" s="1"/>
  <c r="L135" i="3"/>
  <c r="M16" i="5" s="1"/>
  <c r="N16" i="5" s="1"/>
  <c r="O20" i="8" s="1"/>
  <c r="G18" i="12" s="1"/>
  <c r="L152" i="3"/>
  <c r="M33" i="5" s="1"/>
  <c r="N33" i="5" s="1"/>
  <c r="O43" i="8" s="1"/>
  <c r="G41" i="12" s="1"/>
  <c r="L132" i="3"/>
  <c r="M13" i="5" s="1"/>
  <c r="N13" i="5" s="1"/>
  <c r="O17" i="8" s="1"/>
  <c r="G15" i="12" s="1"/>
  <c r="L156" i="3"/>
  <c r="M37" i="5" s="1"/>
  <c r="N37" i="5" s="1"/>
  <c r="O50" i="8" s="1"/>
  <c r="G48" i="12" s="1"/>
  <c r="L146" i="3"/>
  <c r="M27" i="5" s="1"/>
  <c r="N27" i="5" s="1"/>
  <c r="O36" i="8" s="1"/>
  <c r="G34" i="12" s="1"/>
  <c r="L143" i="3"/>
  <c r="M24" i="5" s="1"/>
  <c r="N24" i="5" s="1"/>
  <c r="G29" i="12" s="1"/>
  <c r="L128" i="3"/>
  <c r="M9" i="5" s="1"/>
  <c r="N9" i="5" s="1"/>
  <c r="O13" i="8" s="1"/>
  <c r="G11" i="12" s="1"/>
  <c r="L148" i="3"/>
  <c r="M29" i="5" s="1"/>
  <c r="N29" i="5" s="1"/>
  <c r="O38" i="8" s="1"/>
  <c r="G36" i="12" s="1"/>
  <c r="L151" i="3"/>
  <c r="M32" i="5" s="1"/>
  <c r="N32" i="5" s="1"/>
  <c r="O41" i="8" s="1"/>
  <c r="G39" i="12" s="1"/>
  <c r="L149" i="3"/>
  <c r="M30" i="5" s="1"/>
  <c r="N30" i="5" s="1"/>
  <c r="O39" i="8" s="1"/>
  <c r="G37" i="12" s="1"/>
  <c r="L160" i="3"/>
  <c r="M41" i="5" s="1"/>
  <c r="N41" i="5" s="1"/>
  <c r="O55" i="8" s="1"/>
  <c r="G53" i="12" s="1"/>
  <c r="L142" i="3"/>
  <c r="M23" i="5" s="1"/>
  <c r="N23" i="5" s="1"/>
  <c r="G28" i="12" s="1"/>
  <c r="L130" i="3"/>
  <c r="M11" i="5" s="1"/>
  <c r="N11" i="5" s="1"/>
  <c r="O15" i="8" s="1"/>
  <c r="G13" i="12" s="1"/>
  <c r="L129" i="3"/>
  <c r="M10" i="5" s="1"/>
  <c r="N10" i="5" s="1"/>
  <c r="O14" i="8" s="1"/>
  <c r="G12" i="12" s="1"/>
  <c r="L139" i="3"/>
  <c r="M20" i="5" s="1"/>
  <c r="N20" i="5" s="1"/>
  <c r="O24" i="8" s="1"/>
  <c r="G22" i="12" s="1"/>
  <c r="L163" i="3"/>
  <c r="L154" i="3"/>
  <c r="M35" i="5" s="1"/>
  <c r="N35" i="5" s="1"/>
  <c r="O48" i="8" s="1"/>
  <c r="G46" i="12" s="1"/>
  <c r="L155" i="3"/>
  <c r="M36" i="5" s="1"/>
  <c r="N36" i="5" s="1"/>
  <c r="O49" i="8" s="1"/>
  <c r="G47" i="12" s="1"/>
  <c r="L136" i="3"/>
  <c r="M17" i="5" s="1"/>
  <c r="N17" i="5" s="1"/>
  <c r="O21" i="8" s="1"/>
  <c r="G19" i="12" s="1"/>
  <c r="L133" i="3"/>
  <c r="M14" i="5" s="1"/>
  <c r="N14" i="5" s="1"/>
  <c r="O18" i="8" s="1"/>
  <c r="G16" i="12" s="1"/>
  <c r="L144" i="3"/>
  <c r="M25" i="5" s="1"/>
  <c r="N25" i="5" s="1"/>
  <c r="O34" i="8" s="1"/>
  <c r="L161" i="3"/>
  <c r="M42" i="5" s="1"/>
  <c r="N42" i="5" s="1"/>
  <c r="O56" i="8" s="1"/>
  <c r="G54" i="12" s="1"/>
  <c r="L147" i="3"/>
  <c r="M28" i="5" s="1"/>
  <c r="N28" i="5" s="1"/>
  <c r="O37" i="8" s="1"/>
  <c r="G35" i="12" s="1"/>
  <c r="L159" i="3"/>
  <c r="M40" i="5" s="1"/>
  <c r="N40" i="5" s="1"/>
  <c r="O53" i="8" s="1"/>
  <c r="L127" i="3"/>
  <c r="M8" i="5" s="1"/>
  <c r="N8" i="5" s="1"/>
  <c r="O12" i="8" s="1"/>
  <c r="G10" i="12" s="1"/>
  <c r="L162" i="3"/>
  <c r="M43" i="5" s="1"/>
  <c r="N43" i="5" s="1"/>
  <c r="L131" i="3"/>
  <c r="M12" i="5" s="1"/>
  <c r="N12" i="5" s="1"/>
  <c r="O16" i="8" s="1"/>
  <c r="G14" i="12" s="1"/>
  <c r="L140" i="3"/>
  <c r="M21" i="5" s="1"/>
  <c r="N21" i="5" s="1"/>
  <c r="O25" i="8" s="1"/>
  <c r="G23" i="12" s="1"/>
  <c r="L158" i="3"/>
  <c r="M39" i="5" s="1"/>
  <c r="N39" i="5" s="1"/>
  <c r="O52" i="8" s="1"/>
  <c r="B8" i="3"/>
  <c r="G51" i="12" l="1"/>
  <c r="L30" i="13"/>
  <c r="G50" i="12"/>
  <c r="L29" i="13"/>
  <c r="G49" i="12"/>
  <c r="L28" i="13"/>
  <c r="O35" i="8"/>
  <c r="G33" i="12" s="1"/>
  <c r="G32" i="12"/>
  <c r="R92" i="3"/>
  <c r="T92" i="3" s="1"/>
  <c r="R91" i="3"/>
  <c r="T91" i="3" s="1"/>
  <c r="R107" i="3"/>
  <c r="T107" i="3" s="1"/>
  <c r="R108" i="3"/>
  <c r="T108" i="3" s="1"/>
  <c r="R105" i="3"/>
  <c r="T105" i="3" s="1"/>
  <c r="R106" i="3"/>
  <c r="T106" i="3" s="1"/>
  <c r="R94" i="3"/>
  <c r="T94" i="3" s="1"/>
  <c r="R90" i="3"/>
  <c r="T90" i="3" s="1"/>
  <c r="R93" i="3"/>
  <c r="T93" i="3" s="1"/>
  <c r="R104" i="3"/>
  <c r="T104" i="3" s="1"/>
  <c r="R97" i="3"/>
  <c r="T97" i="3" s="1"/>
  <c r="R96" i="3"/>
  <c r="T96" i="3" s="1"/>
  <c r="R109" i="3"/>
  <c r="T109" i="3" s="1"/>
  <c r="R99" i="3"/>
  <c r="T99" i="3" s="1"/>
  <c r="R89" i="3"/>
  <c r="T89" i="3" s="1"/>
  <c r="R111" i="3"/>
  <c r="T111" i="3" s="1"/>
  <c r="R86" i="3"/>
  <c r="T86" i="3" s="1"/>
  <c r="R85" i="3"/>
  <c r="T85" i="3" s="1"/>
  <c r="R100" i="3"/>
  <c r="T100" i="3" s="1"/>
  <c r="R112" i="3"/>
  <c r="T112" i="3" s="1"/>
  <c r="R98" i="3"/>
  <c r="T98" i="3" s="1"/>
  <c r="R117" i="3"/>
  <c r="T117" i="3" s="1"/>
  <c r="R88" i="3"/>
  <c r="T88" i="3" s="1"/>
  <c r="R83" i="3"/>
  <c r="T83" i="3" s="1"/>
  <c r="R95" i="3"/>
  <c r="T95" i="3" s="1"/>
  <c r="R110" i="3"/>
  <c r="T110" i="3" s="1"/>
  <c r="R84" i="3"/>
  <c r="T84" i="3" s="1"/>
  <c r="R116" i="3"/>
  <c r="T116" i="3" s="1"/>
  <c r="R87" i="3"/>
  <c r="T87" i="3" s="1"/>
  <c r="R102" i="3"/>
  <c r="T102" i="3" s="1"/>
  <c r="R82" i="3"/>
  <c r="T82" i="3" s="1"/>
  <c r="R101" i="3"/>
  <c r="T101" i="3" s="1"/>
  <c r="R81" i="3"/>
  <c r="T81" i="3" s="1"/>
  <c r="R103" i="3"/>
  <c r="T103" i="3" s="1"/>
  <c r="S87" i="3" l="1"/>
  <c r="G12" i="5" s="1"/>
  <c r="S103" i="3"/>
  <c r="G28" i="5" s="1"/>
  <c r="S86" i="3"/>
  <c r="G11" i="5" s="1"/>
  <c r="S94" i="3"/>
  <c r="G19" i="5" s="1"/>
  <c r="V94" i="3"/>
  <c r="V97" i="3"/>
  <c r="S97" i="3"/>
  <c r="G22" i="5" s="1"/>
  <c r="S90" i="3"/>
  <c r="G15" i="5" s="1"/>
  <c r="S108" i="3"/>
  <c r="G33" i="5" s="1"/>
  <c r="S89" i="3"/>
  <c r="G14" i="5" s="1"/>
  <c r="V89" i="3"/>
  <c r="S91" i="3"/>
  <c r="G16" i="5" s="1"/>
  <c r="S111" i="3"/>
  <c r="G36" i="5" s="1"/>
  <c r="S109" i="3"/>
  <c r="G34" i="5" s="1"/>
  <c r="S92" i="3"/>
  <c r="G17" i="5" s="1"/>
  <c r="V92" i="3"/>
  <c r="S105" i="3"/>
  <c r="G30" i="5" s="1"/>
  <c r="S93" i="3"/>
  <c r="G18" i="5" s="1"/>
  <c r="V93" i="3"/>
  <c r="V95" i="3"/>
  <c r="S95" i="3"/>
  <c r="G20" i="5" s="1"/>
  <c r="S116" i="3"/>
  <c r="G41" i="5" s="1"/>
  <c r="S98" i="3"/>
  <c r="G23" i="5" s="1"/>
  <c r="V98" i="3"/>
  <c r="S106" i="3"/>
  <c r="G31" i="5" s="1"/>
  <c r="S83" i="3"/>
  <c r="G8" i="5" s="1"/>
  <c r="S96" i="3"/>
  <c r="G21" i="5" s="1"/>
  <c r="V96" i="3"/>
  <c r="S102" i="3"/>
  <c r="G27" i="5" s="1"/>
  <c r="S82" i="3"/>
  <c r="G7" i="5" s="1"/>
  <c r="S85" i="3"/>
  <c r="G10" i="5" s="1"/>
  <c r="V85" i="3"/>
  <c r="S112" i="3"/>
  <c r="G37" i="5" s="1"/>
  <c r="S110" i="3"/>
  <c r="G35" i="5" s="1"/>
  <c r="S100" i="3"/>
  <c r="G25" i="5" s="1"/>
  <c r="S88" i="3"/>
  <c r="G13" i="5" s="1"/>
  <c r="V88" i="3"/>
  <c r="V84" i="3"/>
  <c r="S84" i="3"/>
  <c r="G9" i="5" s="1"/>
  <c r="S107" i="3"/>
  <c r="G32" i="5" s="1"/>
  <c r="S101" i="3"/>
  <c r="G26" i="5" s="1"/>
  <c r="S117" i="3"/>
  <c r="G42" i="5" s="1"/>
  <c r="O42" i="5" s="1"/>
  <c r="I56" i="8" s="1"/>
  <c r="F52" i="13" s="1"/>
  <c r="S81" i="3"/>
  <c r="G6" i="5" s="1"/>
  <c r="S104" i="3"/>
  <c r="G29" i="5" s="1"/>
  <c r="S99" i="3"/>
  <c r="G24" i="5" s="1"/>
  <c r="O17" i="5" l="1"/>
  <c r="I21" i="8" s="1"/>
  <c r="F17" i="5"/>
  <c r="F22" i="5"/>
  <c r="O22" i="5"/>
  <c r="I26" i="8" s="1"/>
  <c r="F7" i="5"/>
  <c r="O7" i="5"/>
  <c r="I11" i="8" s="1"/>
  <c r="F34" i="5"/>
  <c r="O34" i="5"/>
  <c r="I44" i="8" s="1"/>
  <c r="F24" i="5"/>
  <c r="O24" i="5"/>
  <c r="I31" i="8" s="1"/>
  <c r="F27" i="5"/>
  <c r="O27" i="5"/>
  <c r="I36" i="8" s="1"/>
  <c r="F20" i="5"/>
  <c r="O20" i="5"/>
  <c r="I24" i="8" s="1"/>
  <c r="F36" i="5"/>
  <c r="O36" i="5"/>
  <c r="F32" i="5"/>
  <c r="O32" i="5"/>
  <c r="I41" i="8" s="1"/>
  <c r="O15" i="5"/>
  <c r="I19" i="8" s="1"/>
  <c r="F15" i="5"/>
  <c r="F23" i="5"/>
  <c r="O23" i="5"/>
  <c r="I30" i="8" s="1"/>
  <c r="O13" i="5"/>
  <c r="I17" i="8" s="1"/>
  <c r="F13" i="5"/>
  <c r="F11" i="5"/>
  <c r="O11" i="5"/>
  <c r="I15" i="8" s="1"/>
  <c r="F9" i="5"/>
  <c r="O9" i="5"/>
  <c r="I13" i="8" s="1"/>
  <c r="F19" i="5"/>
  <c r="O19" i="5"/>
  <c r="I23" i="8" s="1"/>
  <c r="F25" i="5"/>
  <c r="O25" i="5"/>
  <c r="I34" i="8" s="1"/>
  <c r="F35" i="5"/>
  <c r="O35" i="5"/>
  <c r="F18" i="5"/>
  <c r="O18" i="5"/>
  <c r="I22" i="8" s="1"/>
  <c r="F14" i="5"/>
  <c r="O14" i="5"/>
  <c r="I18" i="8" s="1"/>
  <c r="F28" i="5"/>
  <c r="O28" i="5"/>
  <c r="I37" i="8" s="1"/>
  <c r="F10" i="5"/>
  <c r="O10" i="5"/>
  <c r="I14" i="8" s="1"/>
  <c r="F29" i="5"/>
  <c r="O29" i="5"/>
  <c r="I38" i="8" s="1"/>
  <c r="F16" i="5"/>
  <c r="O16" i="5"/>
  <c r="I20" i="8" s="1"/>
  <c r="F6" i="5"/>
  <c r="O6" i="5"/>
  <c r="I10" i="8" s="1"/>
  <c r="F21" i="5"/>
  <c r="O21" i="5"/>
  <c r="I25" i="8" s="1"/>
  <c r="F8" i="5"/>
  <c r="O8" i="5"/>
  <c r="I12" i="8" s="1"/>
  <c r="F26" i="5"/>
  <c r="O26" i="5"/>
  <c r="I35" i="8" s="1"/>
  <c r="F37" i="5"/>
  <c r="O37" i="5"/>
  <c r="F31" i="5"/>
  <c r="O31" i="5"/>
  <c r="I40" i="8" s="1"/>
  <c r="F30" i="5"/>
  <c r="O30" i="5"/>
  <c r="I39" i="8" s="1"/>
  <c r="F33" i="5"/>
  <c r="O33" i="5"/>
  <c r="I43" i="8" s="1"/>
  <c r="F12" i="5"/>
  <c r="O12" i="5"/>
  <c r="I16" i="8" s="1"/>
  <c r="F41" i="5"/>
  <c r="O41" i="5"/>
  <c r="I55" i="8" s="1"/>
  <c r="S67" i="3"/>
  <c r="H17" i="8" l="1"/>
  <c r="F13" i="13"/>
  <c r="L13" i="13" s="1"/>
  <c r="M13" i="13" s="1"/>
  <c r="H19" i="8"/>
  <c r="F15" i="13"/>
  <c r="L15" i="13" s="1"/>
  <c r="M15" i="13" s="1"/>
  <c r="H43" i="8"/>
  <c r="F43" i="13"/>
  <c r="L43" i="13" s="1"/>
  <c r="M43" i="13" s="1"/>
  <c r="H25" i="8"/>
  <c r="F21" i="13"/>
  <c r="L21" i="13" s="1"/>
  <c r="M21" i="13" s="1"/>
  <c r="H20" i="8"/>
  <c r="F16" i="13"/>
  <c r="L16" i="13" s="1"/>
  <c r="M16" i="13" s="1"/>
  <c r="H14" i="8"/>
  <c r="F10" i="13"/>
  <c r="L10" i="13" s="1"/>
  <c r="M10" i="13" s="1"/>
  <c r="H18" i="8"/>
  <c r="F14" i="13"/>
  <c r="L14" i="13" s="1"/>
  <c r="M14" i="13" s="1"/>
  <c r="H23" i="8"/>
  <c r="F19" i="13"/>
  <c r="L19" i="13" s="1"/>
  <c r="M19" i="13" s="1"/>
  <c r="H15" i="8"/>
  <c r="F11" i="13"/>
  <c r="L11" i="13" s="1"/>
  <c r="M11" i="13" s="1"/>
  <c r="H30" i="8"/>
  <c r="F26" i="13"/>
  <c r="L26" i="13" s="1"/>
  <c r="M26" i="13" s="1"/>
  <c r="H41" i="8"/>
  <c r="F41" i="13"/>
  <c r="L41" i="13" s="1"/>
  <c r="M41" i="13" s="1"/>
  <c r="H24" i="8"/>
  <c r="F20" i="13"/>
  <c r="L20" i="13" s="1"/>
  <c r="M20" i="13" s="1"/>
  <c r="H31" i="8"/>
  <c r="F27" i="13"/>
  <c r="L27" i="13" s="1"/>
  <c r="M27" i="13" s="1"/>
  <c r="H11" i="8"/>
  <c r="F7" i="13"/>
  <c r="L7" i="13" s="1"/>
  <c r="M7" i="13" s="1"/>
  <c r="H55" i="8"/>
  <c r="F51" i="13"/>
  <c r="L51" i="13" s="1"/>
  <c r="M51" i="13" s="1"/>
  <c r="H35" i="8"/>
  <c r="F35" i="13"/>
  <c r="L35" i="13" s="1"/>
  <c r="M35" i="13" s="1"/>
  <c r="H21" i="8"/>
  <c r="F17" i="13"/>
  <c r="L17" i="13" s="1"/>
  <c r="M17" i="13" s="1"/>
  <c r="H40" i="8"/>
  <c r="F40" i="13"/>
  <c r="L40" i="13" s="1"/>
  <c r="M40" i="13" s="1"/>
  <c r="H16" i="8"/>
  <c r="F12" i="13"/>
  <c r="L12" i="13" s="1"/>
  <c r="M12" i="13" s="1"/>
  <c r="H39" i="8"/>
  <c r="H37" i="12" s="1"/>
  <c r="F39" i="13"/>
  <c r="L39" i="13" s="1"/>
  <c r="M39" i="13" s="1"/>
  <c r="H12" i="8"/>
  <c r="F8" i="13"/>
  <c r="L8" i="13" s="1"/>
  <c r="M8" i="13" s="1"/>
  <c r="H10" i="8"/>
  <c r="F6" i="13"/>
  <c r="L6" i="13" s="1"/>
  <c r="M6" i="13" s="1"/>
  <c r="H38" i="8"/>
  <c r="F38" i="13"/>
  <c r="L38" i="13" s="1"/>
  <c r="M38" i="13" s="1"/>
  <c r="H37" i="8"/>
  <c r="F37" i="13"/>
  <c r="L37" i="13" s="1"/>
  <c r="M37" i="13" s="1"/>
  <c r="H22" i="8"/>
  <c r="F18" i="13"/>
  <c r="L18" i="13" s="1"/>
  <c r="M18" i="13" s="1"/>
  <c r="H34" i="8"/>
  <c r="F34" i="13"/>
  <c r="L34" i="13" s="1"/>
  <c r="M34" i="13" s="1"/>
  <c r="H13" i="8"/>
  <c r="F9" i="13"/>
  <c r="L9" i="13" s="1"/>
  <c r="M9" i="13" s="1"/>
  <c r="H36" i="8"/>
  <c r="F36" i="13"/>
  <c r="L36" i="13" s="1"/>
  <c r="M36" i="13" s="1"/>
  <c r="H44" i="8"/>
  <c r="F44" i="13"/>
  <c r="L44" i="13" s="1"/>
  <c r="M44" i="13" s="1"/>
  <c r="H26" i="8"/>
  <c r="F22" i="13"/>
  <c r="L22" i="13" s="1"/>
  <c r="M22" i="13" s="1"/>
  <c r="P39" i="8"/>
  <c r="H10" i="12"/>
  <c r="P12" i="8"/>
  <c r="H36" i="12"/>
  <c r="P38" i="8"/>
  <c r="H35" i="12"/>
  <c r="P37" i="8"/>
  <c r="H20" i="12"/>
  <c r="P22" i="8"/>
  <c r="H32" i="12"/>
  <c r="P34" i="8"/>
  <c r="H11" i="12"/>
  <c r="P13" i="8"/>
  <c r="H34" i="12"/>
  <c r="P36" i="8"/>
  <c r="H42" i="12"/>
  <c r="P44" i="8"/>
  <c r="H24" i="12"/>
  <c r="P26" i="8"/>
  <c r="H14" i="12"/>
  <c r="P16" i="8"/>
  <c r="H8" i="12"/>
  <c r="P10" i="8"/>
  <c r="H15" i="12"/>
  <c r="P17" i="8"/>
  <c r="H17" i="12"/>
  <c r="P19" i="8"/>
  <c r="H53" i="12"/>
  <c r="P55" i="8"/>
  <c r="H38" i="12"/>
  <c r="P40" i="8"/>
  <c r="H18" i="12"/>
  <c r="P20" i="8"/>
  <c r="H16" i="12"/>
  <c r="P18" i="8"/>
  <c r="H21" i="12"/>
  <c r="P23" i="8"/>
  <c r="H13" i="12"/>
  <c r="P15" i="8"/>
  <c r="H28" i="12"/>
  <c r="P30" i="8"/>
  <c r="H39" i="12"/>
  <c r="P41" i="8"/>
  <c r="H22" i="12"/>
  <c r="P24" i="8"/>
  <c r="H29" i="12"/>
  <c r="P31" i="8"/>
  <c r="H9" i="12"/>
  <c r="P11" i="8"/>
  <c r="H41" i="12"/>
  <c r="P43" i="8"/>
  <c r="H33" i="12"/>
  <c r="P35" i="8"/>
  <c r="H23" i="12"/>
  <c r="P25" i="8"/>
  <c r="H12" i="12"/>
  <c r="P14" i="8"/>
  <c r="H19" i="12"/>
  <c r="P21" i="8"/>
  <c r="K42" i="5"/>
  <c r="M56" i="8" s="1"/>
  <c r="O67" i="3"/>
  <c r="H56" i="8" l="1"/>
  <c r="J52" i="13"/>
  <c r="L52" i="13" s="1"/>
  <c r="M52" i="13" s="1"/>
  <c r="H54" i="12"/>
  <c r="P56" i="8"/>
  <c r="F42" i="5"/>
</calcChain>
</file>

<file path=xl/sharedStrings.xml><?xml version="1.0" encoding="utf-8"?>
<sst xmlns="http://schemas.openxmlformats.org/spreadsheetml/2006/main" count="1014" uniqueCount="549">
  <si>
    <t>Relevant</t>
  </si>
  <si>
    <t>Est. Dagskost</t>
  </si>
  <si>
    <t>ref.størrelse</t>
  </si>
  <si>
    <t>Mannskap</t>
  </si>
  <si>
    <t>Stores</t>
  </si>
  <si>
    <t>Rep/Vedl</t>
  </si>
  <si>
    <t>Forsikring</t>
  </si>
  <si>
    <t>Admin.</t>
  </si>
  <si>
    <t>Totalt</t>
  </si>
  <si>
    <t>Break bulk lolo, 1000dwt</t>
  </si>
  <si>
    <t>Break bulk lolo,, 2500dwt</t>
  </si>
  <si>
    <t>Break bulk lolo,, 5000 dwt</t>
  </si>
  <si>
    <t>Break bulk lolo,, 10000 dwt</t>
  </si>
  <si>
    <t>Break bulk lolo, 20000 dwt</t>
  </si>
  <si>
    <t>Break bulk lolo, 40000 dwt</t>
  </si>
  <si>
    <t>Dry bulk 1000 dwt</t>
  </si>
  <si>
    <t>Dry bulk 2500 dwt</t>
  </si>
  <si>
    <t>Dry bulk 5000 dwt</t>
  </si>
  <si>
    <t>Dry bulk 10000 dwt</t>
  </si>
  <si>
    <t>Dry bulk 20000 dwt</t>
  </si>
  <si>
    <t>Dry bulk 40000 dwt</t>
  </si>
  <si>
    <t>Dry bulk 60000 dwt</t>
  </si>
  <si>
    <t>Dry bulk 80000 dwt</t>
  </si>
  <si>
    <t>Container lo/lo 5300 dwt</t>
  </si>
  <si>
    <t xml:space="preserve"> 8,5/ 700 teu</t>
  </si>
  <si>
    <t>Container lo/lo 16000 dwt</t>
  </si>
  <si>
    <t>14,2/1000 "</t>
  </si>
  <si>
    <t>Container lo/lo 27200 dwt</t>
  </si>
  <si>
    <t>23,0/1700 "</t>
  </si>
  <si>
    <t>Ro/ro (cargo) 10070 dwt</t>
  </si>
  <si>
    <t>8000/2.5' lm</t>
  </si>
  <si>
    <t>Ro/ro (cargo) 15990 dwt</t>
  </si>
  <si>
    <t>15000/4' lm</t>
  </si>
  <si>
    <t>Reefer 5000 dwt</t>
  </si>
  <si>
    <t>426,000 cbf</t>
  </si>
  <si>
    <t>Tanker vessel 3500 dwt</t>
  </si>
  <si>
    <t>Tanker vessel 9500 dwt</t>
  </si>
  <si>
    <t>Tanker vessel 17000 dwt</t>
  </si>
  <si>
    <t>Tanker vessel 40000 dwt</t>
  </si>
  <si>
    <t>Tanker vessel 100000 dwt</t>
  </si>
  <si>
    <t>Tanker vessel 160000dwt</t>
  </si>
  <si>
    <t>Tanker vesssel 300000dwt</t>
  </si>
  <si>
    <t>Kjem/prod tank 8000dwt</t>
  </si>
  <si>
    <t>coated</t>
  </si>
  <si>
    <t>Kjem/Prod tank 19000dwt</t>
  </si>
  <si>
    <t>LPG 30000dwt</t>
  </si>
  <si>
    <t>35,000 cbm</t>
  </si>
  <si>
    <t>LPG 50000 dwt</t>
  </si>
  <si>
    <t>57,000 cbm</t>
  </si>
  <si>
    <t>LNG 160 000 dwt</t>
  </si>
  <si>
    <t>145,000 cbm</t>
  </si>
  <si>
    <t>GC coast s.p. 1250dwt</t>
  </si>
  <si>
    <t>GC coast s.p. 2530 dwt</t>
  </si>
  <si>
    <t xml:space="preserve">  2530 dwt</t>
  </si>
  <si>
    <t>GC coast roro 4440 dwt</t>
  </si>
  <si>
    <t>Supply vsl offshore 160t      S</t>
  </si>
  <si>
    <t>3,000 dwt</t>
  </si>
  <si>
    <t>Hurtigbåt kyst  400 br.t.</t>
  </si>
  <si>
    <t>Sideport, live animals</t>
  </si>
  <si>
    <t>Brønnbåt 1000 dwt</t>
  </si>
  <si>
    <t>Brønnbåt 2500 dwt</t>
  </si>
  <si>
    <t>REF:</t>
  </si>
  <si>
    <t xml:space="preserve">Kjem/prod </t>
  </si>
  <si>
    <t>32,000 dwt</t>
  </si>
  <si>
    <t>Nummer (kostmodell Logistikkmodell)</t>
  </si>
  <si>
    <t>dwt</t>
  </si>
  <si>
    <t>GC (coastal sideport) 1250 dwt</t>
  </si>
  <si>
    <t>GC (coastal sideport) 2530 dwt</t>
  </si>
  <si>
    <t>Mode logistikkmodellen</t>
  </si>
  <si>
    <t>n.a.</t>
  </si>
  <si>
    <t>Break bulk lolo,, 9000 dwt</t>
  </si>
  <si>
    <t>Break bulk lolo, 17000 dwt</t>
  </si>
  <si>
    <t>Dry bulk 9000 dwt</t>
  </si>
  <si>
    <t>Dry bulk 17000 dwt</t>
  </si>
  <si>
    <t>Dry bulk 45000 dwt</t>
  </si>
  <si>
    <t>Dry bulk 56000 dwt</t>
  </si>
  <si>
    <t>Dry bulk 76000 dwt</t>
  </si>
  <si>
    <t>Container lo/lo 8500 dwt</t>
  </si>
  <si>
    <t>Container lo/lo 14200 dwt</t>
  </si>
  <si>
    <t>Container lo/lo 23000 dwt</t>
  </si>
  <si>
    <t>Ro/ro (cargo) 8000 dwt</t>
  </si>
  <si>
    <t>Ro/ro (cargo) 15000 dwt</t>
  </si>
  <si>
    <t>Gas tanker, 35000 cbm</t>
  </si>
  <si>
    <t>Gas tanker,57000cbm</t>
  </si>
  <si>
    <t>Gas tanker, 145000 cbm</t>
  </si>
  <si>
    <t>Reefer 426000 cbf</t>
  </si>
  <si>
    <t>Tanker vessel 37000 dwt</t>
  </si>
  <si>
    <t>Tanker vessel 150000 dwt</t>
  </si>
  <si>
    <t>Chemical prod tanker coated 8000 dwt</t>
  </si>
  <si>
    <t>Chemical prod tanker coated 19000 dwt</t>
  </si>
  <si>
    <t>Tanker vessel 310000 dw</t>
  </si>
  <si>
    <t>GC (coastal roro) 4440 dwt</t>
  </si>
  <si>
    <t>Supply vessel offshore 3000 dwt (total).</t>
  </si>
  <si>
    <t>Kostnader pr time</t>
  </si>
  <si>
    <t>Input-data:</t>
  </si>
  <si>
    <t>USD - NOK:</t>
  </si>
  <si>
    <t>Kapital</t>
  </si>
  <si>
    <t>Dagskost og timecharter-rater i USD/dag.        Skipspriser i millioner USD</t>
  </si>
  <si>
    <t>Nybygningspris</t>
  </si>
  <si>
    <t>12 m T/C moderne skip</t>
  </si>
  <si>
    <t>Start 2010</t>
  </si>
  <si>
    <t>Start 2009</t>
  </si>
  <si>
    <t>Start 2008</t>
  </si>
  <si>
    <t>Y-T-D 2010</t>
  </si>
  <si>
    <t>18,5 E</t>
  </si>
  <si>
    <t>17,7 E</t>
  </si>
  <si>
    <t>21,7 E</t>
  </si>
  <si>
    <t>28,2 E</t>
  </si>
  <si>
    <t>24,5 E</t>
  </si>
  <si>
    <t>23,5 E</t>
  </si>
  <si>
    <t>28,8 E</t>
  </si>
  <si>
    <t>37,4 E</t>
  </si>
  <si>
    <t>39,5 E</t>
  </si>
  <si>
    <t>46,4 E</t>
  </si>
  <si>
    <t>60,3 E</t>
  </si>
  <si>
    <t>N.A.</t>
  </si>
  <si>
    <t>7 E</t>
  </si>
  <si>
    <t>6,4 E</t>
  </si>
  <si>
    <t>9,4 E</t>
  </si>
  <si>
    <t>9,6 E</t>
  </si>
  <si>
    <t>8,5 E</t>
  </si>
  <si>
    <t>7,8 E</t>
  </si>
  <si>
    <t>11,4 E</t>
  </si>
  <si>
    <t>12 E</t>
  </si>
  <si>
    <t>5000 E</t>
  </si>
  <si>
    <t>3300 E</t>
  </si>
  <si>
    <t>spot</t>
  </si>
  <si>
    <t>11,5 E</t>
  </si>
  <si>
    <t xml:space="preserve"> 15,4 E</t>
  </si>
  <si>
    <t>16,2 E</t>
  </si>
  <si>
    <t>4000 E</t>
  </si>
  <si>
    <t>2600 E</t>
  </si>
  <si>
    <t>14  E</t>
  </si>
  <si>
    <t>12,8 E</t>
  </si>
  <si>
    <t>18,7 E</t>
  </si>
  <si>
    <t>19,7 E</t>
  </si>
  <si>
    <t>22,1 E</t>
  </si>
  <si>
    <t>20,2 E</t>
  </si>
  <si>
    <t>15,4 E</t>
  </si>
  <si>
    <t>26,1 E</t>
  </si>
  <si>
    <t>20,4 E</t>
  </si>
  <si>
    <t>18,1 E</t>
  </si>
  <si>
    <t>23,8 E</t>
  </si>
  <si>
    <t>25 E</t>
  </si>
  <si>
    <t>22,2 E</t>
  </si>
  <si>
    <t>29,2 E</t>
  </si>
  <si>
    <t>32 E</t>
  </si>
  <si>
    <t xml:space="preserve">40 E  </t>
  </si>
  <si>
    <t>38,5 E</t>
  </si>
  <si>
    <t>46,5 E</t>
  </si>
  <si>
    <t>55 E</t>
  </si>
  <si>
    <t xml:space="preserve">47,5 E </t>
  </si>
  <si>
    <t xml:space="preserve">45,5 E  </t>
  </si>
  <si>
    <t>65 E</t>
  </si>
  <si>
    <t>58 E</t>
  </si>
  <si>
    <t>69 E</t>
  </si>
  <si>
    <t>Snitt byggekost Mill USD</t>
  </si>
  <si>
    <t>Snitt byggekost MillNOK</t>
  </si>
  <si>
    <t>Årlige kostnader NOK</t>
  </si>
  <si>
    <t>CRF:</t>
  </si>
  <si>
    <t>Kapital-Kostnader pr time NOK</t>
  </si>
  <si>
    <t>Årlige kostnader inkl drift</t>
  </si>
  <si>
    <t>Reefer 13700 dwt</t>
  </si>
  <si>
    <t>Hurtigbåt kyst 360 brt</t>
  </si>
  <si>
    <t>Total - modell 2005</t>
  </si>
  <si>
    <t>Korrigert 2010</t>
  </si>
  <si>
    <t>Drift</t>
  </si>
  <si>
    <t>Sum</t>
  </si>
  <si>
    <t>CRF, gml:</t>
  </si>
  <si>
    <t>na</t>
  </si>
  <si>
    <t>Kostnader pr km</t>
  </si>
  <si>
    <t>Hastighet (knop)</t>
  </si>
  <si>
    <t>kw</t>
  </si>
  <si>
    <t>forbruk t pr dag</t>
  </si>
  <si>
    <t>tillegg hjelpemaskin</t>
  </si>
  <si>
    <t>Fuel-pris pr tonn:</t>
  </si>
  <si>
    <t>NOK/tonn</t>
  </si>
  <si>
    <t>NOK/liter</t>
  </si>
  <si>
    <t>Fuel pr hp*time</t>
  </si>
  <si>
    <t>km-kost</t>
  </si>
  <si>
    <t>totalt forbruk pr km</t>
  </si>
  <si>
    <t>forbruk t/km</t>
  </si>
  <si>
    <t>maks 17.5</t>
  </si>
  <si>
    <t>maks 18.5</t>
  </si>
  <si>
    <t>maks 21.8</t>
  </si>
  <si>
    <t>Forbruk t/km med spesifisert hastighet</t>
  </si>
  <si>
    <t>Båt</t>
  </si>
  <si>
    <t>Estimet nybyggingspris (mill NOK)</t>
  </si>
  <si>
    <t>Båttype</t>
  </si>
  <si>
    <t>Endringer 2010-2011</t>
  </si>
  <si>
    <t>Bulk 10-20000</t>
  </si>
  <si>
    <t>Handysize</t>
  </si>
  <si>
    <t>Bulk 20-40000</t>
  </si>
  <si>
    <t>Handymax</t>
  </si>
  <si>
    <t>Bulk 40-60000</t>
  </si>
  <si>
    <t>Panamax</t>
  </si>
  <si>
    <t>Bulk 60-100000</t>
  </si>
  <si>
    <t>Capesize</t>
  </si>
  <si>
    <t>Bulk 100'+</t>
  </si>
  <si>
    <t>Tank 5-10000</t>
  </si>
  <si>
    <t>Product tanker</t>
  </si>
  <si>
    <t>Tank 10-30000</t>
  </si>
  <si>
    <t>tank 30-55000</t>
  </si>
  <si>
    <t>Tank 55-80000</t>
  </si>
  <si>
    <t>Aframax</t>
  </si>
  <si>
    <t>Tank 80-120000</t>
  </si>
  <si>
    <t>Suezmax</t>
  </si>
  <si>
    <t>Tank 120-200000</t>
  </si>
  <si>
    <t>VLCC</t>
  </si>
  <si>
    <t>Tank 250-320000</t>
  </si>
  <si>
    <t>Chemical</t>
  </si>
  <si>
    <t>Tanker 15-40000</t>
  </si>
  <si>
    <t>Tanker 40-50000</t>
  </si>
  <si>
    <t>LPG</t>
  </si>
  <si>
    <t>3-8000 cbm</t>
  </si>
  <si>
    <t>10-40000 cbm</t>
  </si>
  <si>
    <t>VLGC</t>
  </si>
  <si>
    <t>70-85000 cbm</t>
  </si>
  <si>
    <t>Feedermax</t>
  </si>
  <si>
    <t>Main line</t>
  </si>
  <si>
    <t>Container2000-6000 teu</t>
  </si>
  <si>
    <t>Container 100-1000 teu</t>
  </si>
  <si>
    <t>Container 1000-2000 teu</t>
  </si>
  <si>
    <t>Dry cargo</t>
  </si>
  <si>
    <t>lolo - 5-25000 dwt</t>
  </si>
  <si>
    <t>lolo - 25000 +</t>
  </si>
  <si>
    <t>Roro 5-30000</t>
  </si>
  <si>
    <t>Reefer 150'+ cbf</t>
  </si>
  <si>
    <t>Coastal tanker</t>
  </si>
  <si>
    <t>Tanker 1000-5000</t>
  </si>
  <si>
    <t>Coastal dry cargo</t>
  </si>
  <si>
    <t>lolo 1000-5000</t>
  </si>
  <si>
    <t>Endringer 2010-2012</t>
  </si>
  <si>
    <t>Endringer 2011-2012</t>
  </si>
  <si>
    <t>Korreksjon, aggregert</t>
  </si>
  <si>
    <t>Skipstype</t>
  </si>
  <si>
    <t>DWT</t>
  </si>
  <si>
    <t>BT</t>
  </si>
  <si>
    <t>Lengde</t>
  </si>
  <si>
    <t>Annet</t>
  </si>
  <si>
    <t>Utenlandsferger/cruiseskip</t>
  </si>
  <si>
    <t>Cruiseskip</t>
  </si>
  <si>
    <t>Break bulk</t>
  </si>
  <si>
    <t>Dry bulk</t>
  </si>
  <si>
    <t>Containerskip</t>
  </si>
  <si>
    <t>RoRo lasteskip</t>
  </si>
  <si>
    <t>Kjøle/fryseskip</t>
  </si>
  <si>
    <t>Oljetankere</t>
  </si>
  <si>
    <t>Produkt- og kjemikalieskip</t>
  </si>
  <si>
    <t>Gasstankskip</t>
  </si>
  <si>
    <t>Stykkgodsskip</t>
  </si>
  <si>
    <t>Offshore supplyskip</t>
  </si>
  <si>
    <t>Brønnbåt</t>
  </si>
  <si>
    <t>Hurtigbåt</t>
  </si>
  <si>
    <t>Maskineri - hk</t>
  </si>
  <si>
    <t>Liter pr time</t>
  </si>
  <si>
    <t>Speed</t>
  </si>
  <si>
    <t>Liter per km</t>
  </si>
  <si>
    <t>Kr per km</t>
  </si>
  <si>
    <t>Investering</t>
  </si>
  <si>
    <t>Passasjerer</t>
  </si>
  <si>
    <t>Kapitalkostnad per år</t>
  </si>
  <si>
    <t>Kapitalkostnad per time:</t>
  </si>
  <si>
    <t>Lønn per år:</t>
  </si>
  <si>
    <t>Lønn per time:</t>
  </si>
  <si>
    <t>Utenlandsferge/cruiseskip</t>
  </si>
  <si>
    <t>Cruise</t>
  </si>
  <si>
    <t>crf-beregning:</t>
  </si>
  <si>
    <t>Kilde: Bunker world</t>
  </si>
  <si>
    <t>kapitalkost per mill per år:</t>
  </si>
  <si>
    <t>Mill USD</t>
  </si>
  <si>
    <t>USD kurs:</t>
  </si>
  <si>
    <t>AIDAmar</t>
  </si>
  <si>
    <t>AiIDAsol</t>
  </si>
  <si>
    <t>Pr mnd</t>
  </si>
  <si>
    <t>USD:</t>
  </si>
  <si>
    <t>AIDAstella</t>
  </si>
  <si>
    <t>Ferge, Color Line:</t>
  </si>
  <si>
    <t>USD</t>
  </si>
  <si>
    <t>Snittlønn - Norden:</t>
  </si>
  <si>
    <t>CostaVictoria</t>
  </si>
  <si>
    <t>Byggepris NOK</t>
  </si>
  <si>
    <t>Snittlønn offiserer:</t>
  </si>
  <si>
    <t>Norwegian Sky</t>
  </si>
  <si>
    <t>Byggepris Euro</t>
  </si>
  <si>
    <t>Snittlønn cruisemannskap:</t>
  </si>
  <si>
    <t>Kasko</t>
  </si>
  <si>
    <t>P&amp;O</t>
  </si>
  <si>
    <t>Pr time</t>
  </si>
  <si>
    <t>MVOceania (PO)</t>
  </si>
  <si>
    <t>Verdi</t>
  </si>
  <si>
    <t>Investering/(mannskap+passasjer)</t>
  </si>
  <si>
    <t>MV Aurora (PO)</t>
  </si>
  <si>
    <t>DFDS:</t>
  </si>
  <si>
    <t>GT</t>
  </si>
  <si>
    <t>Vektet snitt cruise:</t>
  </si>
  <si>
    <t>Store cruiseskip:</t>
  </si>
  <si>
    <t>Dawn Princess</t>
  </si>
  <si>
    <t>Peal - 128 m</t>
  </si>
  <si>
    <t>Sea Princess</t>
  </si>
  <si>
    <t>Crown</t>
  </si>
  <si>
    <t>Mv Sovereign (Pullmantur)</t>
  </si>
  <si>
    <t>RCCL Vision</t>
  </si>
  <si>
    <t>Nøkkeltall for mannskap - cruise:</t>
  </si>
  <si>
    <t>Daglig kapitalkostnad</t>
  </si>
  <si>
    <t>%</t>
  </si>
  <si>
    <t>Vedlikehold</t>
  </si>
  <si>
    <t>Admin</t>
  </si>
  <si>
    <t>TUI Mein Schiff 1</t>
  </si>
  <si>
    <t>1.5-3 passasjerer per mannskap, bransjesnitt 2.5</t>
  </si>
  <si>
    <t>TUI Mein Schiff 2</t>
  </si>
  <si>
    <t>Passasjerer per mannskap øker med større skip</t>
  </si>
  <si>
    <t>kr</t>
  </si>
  <si>
    <t>Carnival Splendour</t>
  </si>
  <si>
    <t>Junior kelner, pr mnd:</t>
  </si>
  <si>
    <t>Independence of the seas</t>
  </si>
  <si>
    <t>Kelner</t>
  </si>
  <si>
    <t>Carnival Breeze</t>
  </si>
  <si>
    <t>Assisterende kelner</t>
  </si>
  <si>
    <t>Carnival Magic</t>
  </si>
  <si>
    <t>Bar</t>
  </si>
  <si>
    <t>Celebrity Eclipse</t>
  </si>
  <si>
    <t>Bartender</t>
  </si>
  <si>
    <t>Celebrity Equinox</t>
  </si>
  <si>
    <t>Disney Dream</t>
  </si>
  <si>
    <t>Disney Fantasy</t>
  </si>
  <si>
    <t>MSC Splendia</t>
  </si>
  <si>
    <t>AIDA Aurora</t>
  </si>
  <si>
    <t>AIDA Cara</t>
  </si>
  <si>
    <t>AIDA Vita</t>
  </si>
  <si>
    <t>cont main--&gt;</t>
  </si>
  <si>
    <t>Seven Seas Voyager</t>
  </si>
  <si>
    <t>32000 GT</t>
  </si>
  <si>
    <t>Gjennomsnitt</t>
  </si>
  <si>
    <t>Norske:</t>
  </si>
  <si>
    <t>Gjennomsnitt offiserer:</t>
  </si>
  <si>
    <t>roro</t>
  </si>
  <si>
    <t>Snitt alle</t>
  </si>
  <si>
    <t>Snitt ro og cont</t>
  </si>
  <si>
    <t>NB Price</t>
  </si>
  <si>
    <t>CRF/355</t>
  </si>
  <si>
    <t xml:space="preserve">Capital </t>
  </si>
  <si>
    <t>Opex</t>
  </si>
  <si>
    <t>T/C</t>
  </si>
  <si>
    <t>Latest</t>
  </si>
  <si>
    <t>Spot range</t>
  </si>
  <si>
    <t>8% - 25 yrs</t>
  </si>
  <si>
    <t>element</t>
  </si>
  <si>
    <t>equiv.</t>
  </si>
  <si>
    <t>1-yr  T/C</t>
  </si>
  <si>
    <t>2012 ytd</t>
  </si>
  <si>
    <t>MS</t>
  </si>
  <si>
    <t>USD m</t>
  </si>
  <si>
    <t>USD/d</t>
  </si>
  <si>
    <t>000 USD/d</t>
  </si>
  <si>
    <t>Must be</t>
  </si>
  <si>
    <t>rounded</t>
  </si>
  <si>
    <t>000 cbm</t>
  </si>
  <si>
    <t>F/R    3</t>
  </si>
  <si>
    <t xml:space="preserve">  5.3  -  11.3</t>
  </si>
  <si>
    <t>E   4500</t>
  </si>
  <si>
    <t>Spot range coaster Europe</t>
  </si>
  <si>
    <t>ETH    8</t>
  </si>
  <si>
    <t xml:space="preserve">  6.1  -  50.9</t>
  </si>
  <si>
    <t>E   5500</t>
  </si>
  <si>
    <t>S/R   20</t>
  </si>
  <si>
    <t>24.3  -  29.6</t>
  </si>
  <si>
    <t>S/R   35</t>
  </si>
  <si>
    <t>24.6  -  28.7</t>
  </si>
  <si>
    <t>S/R   60</t>
  </si>
  <si>
    <t>23.8  -  39.4</t>
  </si>
  <si>
    <t>S/R   82</t>
  </si>
  <si>
    <t>S/R    6.5</t>
  </si>
  <si>
    <t xml:space="preserve">  E            23</t>
  </si>
  <si>
    <t>14.1  -  17.1</t>
  </si>
  <si>
    <t>Source: Fearngas</t>
  </si>
  <si>
    <t>hp/kw</t>
  </si>
  <si>
    <t>LNG</t>
  </si>
  <si>
    <t>coaster 5</t>
  </si>
  <si>
    <t>E     6500</t>
  </si>
  <si>
    <t xml:space="preserve">          NA</t>
  </si>
  <si>
    <t>Modern 160</t>
  </si>
  <si>
    <t>E    18000</t>
  </si>
  <si>
    <t>Source: Fearnsale</t>
  </si>
  <si>
    <t>cbm</t>
  </si>
  <si>
    <t>Investering mill USD</t>
  </si>
  <si>
    <t>kr/år</t>
  </si>
  <si>
    <t>kr/time</t>
  </si>
  <si>
    <t>Opex pr dag</t>
  </si>
  <si>
    <t>Nøkler:</t>
  </si>
  <si>
    <t>Hoved maskineri pr km</t>
  </si>
  <si>
    <t>Kostnader per time</t>
  </si>
  <si>
    <t>km/time</t>
  </si>
  <si>
    <t>Justering for hjelpe-maskiner</t>
  </si>
  <si>
    <t>Investering USD</t>
  </si>
  <si>
    <t>Kapitalkostnader - USD per dag</t>
  </si>
  <si>
    <t>OPX USD per dag</t>
  </si>
  <si>
    <t>HP</t>
  </si>
  <si>
    <t>Kapitalkostnader - kr/time</t>
  </si>
  <si>
    <t>Opex - kr/time</t>
  </si>
  <si>
    <t>Roro lasteskip</t>
  </si>
  <si>
    <t>Kjøle-/fryseskip</t>
  </si>
  <si>
    <t>Produkt og kjemikalieskip</t>
  </si>
  <si>
    <t>Fuel-pris pr tonn, USD:</t>
  </si>
  <si>
    <t>Fuelpris NOK per ton:</t>
  </si>
  <si>
    <t>hp/kw:</t>
  </si>
  <si>
    <t>Stores &amp; prov</t>
  </si>
  <si>
    <t>Rep. og vedlikehold</t>
  </si>
  <si>
    <t>Containerskip - opexfordeling</t>
  </si>
  <si>
    <t>Investering ny brønnbåt, ca 2200 bruttotonn er ca. 200 mill kr. I hht Skipsrevyen.</t>
  </si>
  <si>
    <t>Reefer</t>
  </si>
  <si>
    <t>Denne har motorkraft på 2*913kW. Annen båt i litt større størrelse er oppgitt til 921 kw - benyttet i beregning for største båt.</t>
  </si>
  <si>
    <t>Product and chemicals - costal</t>
  </si>
  <si>
    <t>Det er lite publiserte data på brønnbåter og investeringskost - benytter 200 mill NOK som grunnlag for beregningene for 2200 GT</t>
  </si>
  <si>
    <t>For øvrige størrelser justeres tilsvarende.</t>
  </si>
  <si>
    <t>Product and chemicals - large</t>
  </si>
  <si>
    <t>USD - basis:</t>
  </si>
  <si>
    <t>Roro</t>
  </si>
  <si>
    <t>For motorkraft mindre båter er det hentet data fra båtspesifikasjoner på nettet.</t>
  </si>
  <si>
    <t>År:</t>
  </si>
  <si>
    <t>i:</t>
  </si>
  <si>
    <t>Fuelpris, USD per tonn:</t>
  </si>
  <si>
    <t>Gml  USD:</t>
  </si>
  <si>
    <t>Ny USD:</t>
  </si>
  <si>
    <t>Ny fuelpris:</t>
  </si>
  <si>
    <t>ForholdUSD ny/gml</t>
  </si>
  <si>
    <t>Ny/gml fuelpris:</t>
  </si>
  <si>
    <t>Pris-korrigerte kost pr km til 2012</t>
  </si>
  <si>
    <t>CRF - gml tonnasje</t>
  </si>
  <si>
    <t>CRF - nyere tonnasje</t>
  </si>
  <si>
    <t>Forholdstall ny/gml</t>
  </si>
  <si>
    <t>Gml:</t>
  </si>
  <si>
    <t>Justerte kapital-kostnader</t>
  </si>
  <si>
    <t>Kr pr km</t>
  </si>
  <si>
    <t>Kr pr time</t>
  </si>
  <si>
    <t>Annet (cbm)</t>
  </si>
  <si>
    <t>Rente, kapitalkostnad, avkastning, (gml tonnasje):</t>
  </si>
  <si>
    <t>(Ny tonnasje har tillegg 2 %)</t>
  </si>
  <si>
    <t>NB: Korreksjoner av OPEX er i denne versjonen basert på korreksjonsfaktorer fra Stephens &amp; More for utviklingen fra 2010 til 2012.</t>
  </si>
  <si>
    <t>Skipstyper som er nye i 2012 versjonen er beregnet direkte i separate ark.</t>
  </si>
  <si>
    <t>Detaljering av tids-kostnader per time på kostnadsarter.</t>
  </si>
  <si>
    <t>Opex 2011</t>
  </si>
  <si>
    <t>Opex 2010</t>
  </si>
  <si>
    <t>Beregnede korreksjonsfaktorer for Opex-elementer 2010-2012</t>
  </si>
  <si>
    <t>Dette regnearket inneholder beregningsgrunnlag for  2010. Beregningene korrigeres til 2012 nivå basert på nye drivstoffpriser i andre deler av beregningene.</t>
  </si>
  <si>
    <t>Info-kollonne-endrede ref størrelser fra 2005 til 2010</t>
  </si>
  <si>
    <t>Innsamlede data om OPEX, på dagsbasis 2010*</t>
  </si>
  <si>
    <t>*: Kilder: Stephen Moore, Hammer Maritime Strategies, meglerhus, rederier.</t>
  </si>
  <si>
    <t>Fordeling av utgifter i %*</t>
  </si>
  <si>
    <t xml:space="preserve">Fordelingsnøkkel for driftskostnader basert på Stephen Moore, 2010. Mellomliggende størrelser er estimert. </t>
  </si>
  <si>
    <t>Est. Dagskost (USD per dag)</t>
  </si>
  <si>
    <t>Beregnede kostnader i NOK per time.</t>
  </si>
  <si>
    <t>Korreksjonsberegninger kystbåter fra 2005 til 2010.</t>
  </si>
  <si>
    <t>Estimert investering (grunnlag kap kost) USD</t>
  </si>
  <si>
    <t>Invest. NOK</t>
  </si>
  <si>
    <t>Årlig kap kost</t>
  </si>
  <si>
    <t>Kap kost per time</t>
  </si>
  <si>
    <t>Tabellen nedenfor A78 - O115 er støtte-informasjon innsamlet for beregning av kapitalkostnader og for sammenligning av TC-kostnader mot beregnede verdier.</t>
  </si>
  <si>
    <t>Byggekostnader estimert kollonne P som grunnlag for kap kost er snittpriser 2008-2010, to datapunkt 2010. Gule celler angir hvor snittprisgrunnlag mangler, og hvor alternative verdier er estimert eller innhentet i bransjen.</t>
  </si>
  <si>
    <t>Årlig TC - kun for sammenligning med kost-beregninger</t>
  </si>
  <si>
    <t>Kost/TC - sammenlining</t>
  </si>
  <si>
    <t>Beregninger av drivstofforbruk og km-kost</t>
  </si>
  <si>
    <t>Båttype (log modell)</t>
  </si>
  <si>
    <t>Estimerte forbrukstall, matematisk modell eller basert på spesifikke data om motorstørrelse.</t>
  </si>
  <si>
    <t>Fra AIS-data</t>
  </si>
  <si>
    <t>Beregning basert på hastighet</t>
  </si>
  <si>
    <t>NB: Dataark - skal normalt ikke oppdateres.</t>
  </si>
  <si>
    <t>OPEX elementene korrigert med USD kurs 2012</t>
  </si>
  <si>
    <t>Kost per km korrigert med ny pris og dollarkurs</t>
  </si>
  <si>
    <t>Gml fuelpris 2010:</t>
  </si>
  <si>
    <t>Kapitalkost justert ut ifra CRF 2012/CRF 2010</t>
  </si>
  <si>
    <t>Alternative CRF - faktorer</t>
  </si>
  <si>
    <t>STØTTEINFO - OVERSIKT INVESTERING OG PASSASJER BÅTER SISTE 15 ÅR</t>
  </si>
  <si>
    <t>Basert på støtteinfo + data ferger</t>
  </si>
  <si>
    <t>SSB</t>
  </si>
  <si>
    <t>Kilde SSB - 2012</t>
  </si>
  <si>
    <t>Byggeprisdata - Ferger</t>
  </si>
  <si>
    <t>Passasjertall ferger</t>
  </si>
  <si>
    <t>Cruise: 5% offiserer, 95 % mannskap</t>
  </si>
  <si>
    <t>Med endring i fuelpriser, endrede USD kurser og kalkulasjonsrente, endres tids- og distansekostnadene der hvor disse faktorene inngår i bergningene.</t>
  </si>
  <si>
    <t>Dette regnearket korrigerer 2010 beregningene for endre USD-kurs, endret rentesats for kapitalkostberegning, og for endret fuelpris.</t>
  </si>
  <si>
    <t>Tabellene nedenfor beregner CRF faktorer basert på input om renter</t>
  </si>
  <si>
    <t>Forsikring (Mash):</t>
  </si>
  <si>
    <t>Beregningene nedenfor er estimimering av forsikringskostnader</t>
  </si>
  <si>
    <t>Beregninger</t>
  </si>
  <si>
    <t>Beregninger basert på lønnsforutsetninger  i regneark</t>
  </si>
  <si>
    <t>Estimert andel ut ifra fordeling andre  skip - se tabell S&amp;M nederst på arket</t>
  </si>
  <si>
    <t>Direkte bergnet - egen beregning Q22/23 til AF20/24</t>
  </si>
  <si>
    <t>Beregning av kapitalkost og OPEX</t>
  </si>
  <si>
    <t>Beregning time og km kostnader</t>
  </si>
  <si>
    <t>Beregning av drivstoffforbruk - hk estimert basert på utvalg av representative båter for segmentet</t>
  </si>
  <si>
    <t>Beregning av kapitalkostnader- investeringer estimert basert på utvalg av representative båter for segmentet</t>
  </si>
  <si>
    <r>
      <t xml:space="preserve">Data innhentet fra megler og redere </t>
    </r>
    <r>
      <rPr>
        <b/>
        <sz val="10"/>
        <color theme="3"/>
        <rFont val="Calibri"/>
        <family val="2"/>
        <scheme val="minor"/>
      </rPr>
      <t>(Hammer Maritime Strategies)</t>
    </r>
  </si>
  <si>
    <t>Inv: For Ro/ro basert på publiserte data, for brønnbåter estimert ut i fra størrelse og publiserte data andre størrelser</t>
  </si>
  <si>
    <t>Direkte innhentet fra meglere og rederier, samt Clarcson via HMS</t>
  </si>
  <si>
    <t>Direkte innhentet fra meglere og rederier, samt Clarcson via HMS. Brønnbåter og roro lasteskip beregnet fra investering</t>
  </si>
  <si>
    <t>Direkte innhentet fra sett av repesentative skip for størrelse og type</t>
  </si>
  <si>
    <t>Direkte beregning</t>
  </si>
  <si>
    <t>Omregning</t>
  </si>
  <si>
    <t>Fordeling av OPEX basert på Stephens Moore</t>
  </si>
  <si>
    <t>Direkte beregning basert på representative maskinstørrelser</t>
  </si>
  <si>
    <t>Tidligere data, brønnbåter</t>
  </si>
  <si>
    <t>CRF beregninger.</t>
  </si>
  <si>
    <t>Fra AIS</t>
  </si>
  <si>
    <t>Dette arket er underlag som normalt ikke skal oppdateres.</t>
  </si>
  <si>
    <t>Tabellen til venstre er basert på de CRF faktorene som er benyttet.</t>
  </si>
  <si>
    <t>Fordelingsnøkler basert på Moore Stephens</t>
  </si>
  <si>
    <t>Disse må eventuelt oppdateres i neste ark.</t>
  </si>
  <si>
    <t>Tall som er hentet som input fra Moore Stephens rapport for 2012, er markert med blå celler.</t>
  </si>
  <si>
    <t>Faktorendringer 2011-2012 (input fra Moore Stephens)</t>
  </si>
  <si>
    <t>Nøkler for kostnadsfordeling, fra Moore Stephens</t>
  </si>
  <si>
    <t>Fra Moore</t>
  </si>
  <si>
    <t>Stephens:</t>
  </si>
  <si>
    <t>OPEX-endringer 2011-2012 (input fra Moore Stephens)</t>
  </si>
  <si>
    <t>Kr per time</t>
  </si>
  <si>
    <t>Totalt uten forsikring</t>
  </si>
  <si>
    <t>Skiptstype</t>
  </si>
  <si>
    <t>Ny matrise</t>
  </si>
  <si>
    <t>Oljetankskip</t>
  </si>
  <si>
    <t>Kjemikalie-/produkttankskip</t>
  </si>
  <si>
    <t>Bulkskip</t>
  </si>
  <si>
    <t>Stykkgods/Roro-skip</t>
  </si>
  <si>
    <t>Passasjerbåt</t>
  </si>
  <si>
    <t>Passasjerskip/Roro</t>
  </si>
  <si>
    <t xml:space="preserve">Offshore supplyskip </t>
  </si>
  <si>
    <t>Andre offshorefartøy</t>
  </si>
  <si>
    <t>Slepefartøy</t>
  </si>
  <si>
    <t>Andre servicefartøy</t>
  </si>
  <si>
    <t>Fiskefartøy</t>
  </si>
  <si>
    <t>0.8339*BT + 2166.8</t>
  </si>
  <si>
    <t>0.0705*BT + 1870</t>
  </si>
  <si>
    <t>0.0264*DWT + 2756.6</t>
  </si>
  <si>
    <t>0.095*DWT + 1802.6</t>
  </si>
  <si>
    <t>1.691*BT + 337.24</t>
  </si>
  <si>
    <t>840.86*ln(dwt)-5240.8</t>
  </si>
  <si>
    <t>1128.7*ln(bt)-6998.3</t>
  </si>
  <si>
    <t>gasskap</t>
  </si>
  <si>
    <t>0.1003*gasskap+2127.5</t>
  </si>
  <si>
    <t>(BT/3000)*4898</t>
  </si>
  <si>
    <t>BT_ny</t>
  </si>
  <si>
    <t>BT_gammel</t>
  </si>
  <si>
    <t>0.0275*dwt+2878</t>
  </si>
  <si>
    <t>0.0992*dwt + 1881.2</t>
  </si>
  <si>
    <t>0.1047*gasskap+2221.2</t>
  </si>
  <si>
    <t>883.21*ln(dwt)-5518.4</t>
  </si>
  <si>
    <t>0.0736*BT+1952.7</t>
  </si>
  <si>
    <t>0.8706*BT+2261.9</t>
  </si>
  <si>
    <t>(bt/3000)*4898</t>
  </si>
  <si>
    <t>Se Vista-rapport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</si>
</sst>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%"/>
    <numFmt numFmtId="166" formatCode="0.000"/>
    <numFmt numFmtId="167" formatCode="0.00000000"/>
    <numFmt numFmtId="168" formatCode="0.000000"/>
    <numFmt numFmtId="169" formatCode="0.0000000"/>
    <numFmt numFmtId="170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Tahoma"/>
      <family val="2"/>
    </font>
    <font>
      <sz val="14"/>
      <color indexed="8"/>
      <name val="Calibri"/>
      <family val="2"/>
    </font>
    <font>
      <sz val="1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</cellStyleXfs>
  <cellXfs count="141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2" borderId="0" xfId="0" applyFont="1" applyFill="1"/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4" fillId="0" borderId="0" xfId="0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5" fillId="4" borderId="0" xfId="0" applyFont="1" applyFill="1"/>
    <xf numFmtId="0" fontId="6" fillId="4" borderId="0" xfId="0" applyFont="1" applyFill="1"/>
    <xf numFmtId="16" fontId="0" fillId="4" borderId="0" xfId="0" applyNumberFormat="1" applyFill="1"/>
    <xf numFmtId="0" fontId="0" fillId="6" borderId="0" xfId="0" applyFill="1"/>
    <xf numFmtId="3" fontId="5" fillId="4" borderId="0" xfId="0" applyNumberFormat="1" applyFont="1" applyFill="1"/>
    <xf numFmtId="0" fontId="0" fillId="7" borderId="0" xfId="0" applyFill="1"/>
    <xf numFmtId="164" fontId="0" fillId="0" borderId="0" xfId="0" applyNumberFormat="1"/>
    <xf numFmtId="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1" xfId="0" applyFill="1" applyBorder="1" applyAlignment="1">
      <alignment wrapText="1"/>
    </xf>
    <xf numFmtId="17" fontId="0" fillId="0" borderId="1" xfId="0" applyNumberFormat="1" applyBorder="1"/>
    <xf numFmtId="1" fontId="0" fillId="0" borderId="1" xfId="0" applyNumberFormat="1" applyBorder="1"/>
    <xf numFmtId="0" fontId="7" fillId="0" borderId="1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164" fontId="0" fillId="6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2" fontId="0" fillId="0" borderId="0" xfId="0" applyNumberFormat="1"/>
    <xf numFmtId="0" fontId="0" fillId="2" borderId="5" xfId="0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6" xfId="0" applyBorder="1"/>
    <xf numFmtId="2" fontId="0" fillId="0" borderId="1" xfId="0" applyNumberFormat="1" applyBorder="1"/>
    <xf numFmtId="164" fontId="0" fillId="0" borderId="1" xfId="0" applyNumberFormat="1" applyBorder="1"/>
    <xf numFmtId="1" fontId="0" fillId="0" borderId="6" xfId="0" applyNumberFormat="1" applyBorder="1"/>
    <xf numFmtId="0" fontId="0" fillId="0" borderId="7" xfId="0" applyFill="1" applyBorder="1" applyAlignment="1">
      <alignment wrapText="1"/>
    </xf>
    <xf numFmtId="165" fontId="0" fillId="0" borderId="0" xfId="1" applyNumberFormat="1" applyFont="1"/>
    <xf numFmtId="166" fontId="0" fillId="0" borderId="0" xfId="0" applyNumberFormat="1"/>
    <xf numFmtId="10" fontId="0" fillId="0" borderId="1" xfId="0" applyNumberFormat="1" applyBorder="1"/>
    <xf numFmtId="0" fontId="10" fillId="0" borderId="1" xfId="0" applyFont="1" applyBorder="1"/>
    <xf numFmtId="0" fontId="0" fillId="0" borderId="8" xfId="0" applyBorder="1"/>
    <xf numFmtId="0" fontId="10" fillId="0" borderId="9" xfId="0" applyFont="1" applyBorder="1"/>
    <xf numFmtId="0" fontId="0" fillId="0" borderId="9" xfId="0" applyBorder="1"/>
    <xf numFmtId="17" fontId="0" fillId="0" borderId="9" xfId="0" applyNumberFormat="1" applyBorder="1"/>
    <xf numFmtId="0" fontId="10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" xfId="0" applyFont="1" applyBorder="1"/>
    <xf numFmtId="10" fontId="0" fillId="0" borderId="6" xfId="0" applyNumberFormat="1" applyBorder="1"/>
    <xf numFmtId="2" fontId="0" fillId="0" borderId="8" xfId="0" applyNumberFormat="1" applyBorder="1"/>
    <xf numFmtId="0" fontId="11" fillId="0" borderId="0" xfId="2"/>
    <xf numFmtId="167" fontId="0" fillId="0" borderId="0" xfId="0" applyNumberFormat="1"/>
    <xf numFmtId="9" fontId="0" fillId="0" borderId="0" xfId="1" applyFont="1"/>
    <xf numFmtId="0" fontId="12" fillId="0" borderId="0" xfId="0" applyFont="1"/>
    <xf numFmtId="0" fontId="10" fillId="0" borderId="0" xfId="0" applyFont="1"/>
    <xf numFmtId="0" fontId="10" fillId="6" borderId="0" xfId="0" applyFont="1" applyFill="1"/>
    <xf numFmtId="0" fontId="13" fillId="0" borderId="0" xfId="0" applyFont="1"/>
    <xf numFmtId="0" fontId="14" fillId="0" borderId="0" xfId="0" applyFont="1"/>
    <xf numFmtId="0" fontId="0" fillId="0" borderId="0" xfId="0" quotePrefix="1"/>
    <xf numFmtId="0" fontId="9" fillId="0" borderId="0" xfId="0" applyFont="1"/>
    <xf numFmtId="0" fontId="15" fillId="0" borderId="0" xfId="0" applyFont="1"/>
    <xf numFmtId="0" fontId="0" fillId="0" borderId="0" xfId="0" quotePrefix="1" applyFont="1"/>
    <xf numFmtId="0" fontId="0" fillId="6" borderId="0" xfId="0" applyFont="1" applyFill="1"/>
    <xf numFmtId="0" fontId="0" fillId="0" borderId="0" xfId="0" applyBorder="1"/>
    <xf numFmtId="9" fontId="0" fillId="0" borderId="1" xfId="1" applyFont="1" applyBorder="1"/>
    <xf numFmtId="166" fontId="0" fillId="0" borderId="1" xfId="0" applyNumberFormat="1" applyBorder="1"/>
    <xf numFmtId="3" fontId="0" fillId="0" borderId="0" xfId="0" applyNumberFormat="1"/>
    <xf numFmtId="0" fontId="0" fillId="0" borderId="6" xfId="0" applyBorder="1" applyAlignment="1">
      <alignment wrapText="1"/>
    </xf>
    <xf numFmtId="9" fontId="0" fillId="0" borderId="0" xfId="1" applyFont="1" applyBorder="1"/>
    <xf numFmtId="2" fontId="0" fillId="0" borderId="7" xfId="0" applyNumberFormat="1" applyFill="1" applyBorder="1"/>
    <xf numFmtId="0" fontId="16" fillId="0" borderId="0" xfId="0" applyFont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3" xfId="0" applyBorder="1" applyAlignment="1">
      <alignment wrapText="1"/>
    </xf>
    <xf numFmtId="165" fontId="0" fillId="0" borderId="6" xfId="1" applyNumberFormat="1" applyFont="1" applyBorder="1"/>
    <xf numFmtId="165" fontId="0" fillId="0" borderId="24" xfId="1" applyNumberFormat="1" applyFont="1" applyBorder="1"/>
    <xf numFmtId="0" fontId="0" fillId="0" borderId="25" xfId="0" applyBorder="1" applyAlignment="1">
      <alignment wrapText="1"/>
    </xf>
    <xf numFmtId="0" fontId="17" fillId="0" borderId="0" xfId="0" applyFont="1"/>
    <xf numFmtId="0" fontId="0" fillId="4" borderId="1" xfId="0" applyFill="1" applyBorder="1"/>
    <xf numFmtId="0" fontId="0" fillId="0" borderId="27" xfId="0" applyBorder="1" applyAlignment="1">
      <alignment wrapText="1"/>
    </xf>
    <xf numFmtId="17" fontId="0" fillId="0" borderId="8" xfId="0" applyNumberFormat="1" applyBorder="1"/>
    <xf numFmtId="10" fontId="0" fillId="0" borderId="8" xfId="0" applyNumberFormat="1" applyBorder="1"/>
    <xf numFmtId="0" fontId="0" fillId="0" borderId="13" xfId="0" applyBorder="1" applyAlignment="1">
      <alignment wrapText="1"/>
    </xf>
    <xf numFmtId="165" fontId="0" fillId="0" borderId="16" xfId="1" applyNumberFormat="1" applyFont="1" applyBorder="1"/>
    <xf numFmtId="166" fontId="0" fillId="0" borderId="17" xfId="0" applyNumberFormat="1" applyBorder="1"/>
    <xf numFmtId="165" fontId="0" fillId="0" borderId="18" xfId="1" applyNumberFormat="1" applyFont="1" applyBorder="1"/>
    <xf numFmtId="166" fontId="0" fillId="0" borderId="20" xfId="0" applyNumberFormat="1" applyBorder="1"/>
    <xf numFmtId="0" fontId="0" fillId="0" borderId="26" xfId="0" applyBorder="1"/>
    <xf numFmtId="0" fontId="0" fillId="0" borderId="21" xfId="0" applyBorder="1"/>
    <xf numFmtId="0" fontId="0" fillId="3" borderId="21" xfId="0" applyFill="1" applyBorder="1"/>
    <xf numFmtId="0" fontId="0" fillId="2" borderId="21" xfId="0" applyFill="1" applyBorder="1"/>
    <xf numFmtId="0" fontId="0" fillId="0" borderId="22" xfId="0" applyBorder="1"/>
    <xf numFmtId="0" fontId="0" fillId="0" borderId="21" xfId="0" applyFill="1" applyBorder="1"/>
    <xf numFmtId="3" fontId="2" fillId="2" borderId="21" xfId="0" applyNumberFormat="1" applyFont="1" applyFill="1" applyBorder="1"/>
    <xf numFmtId="0" fontId="2" fillId="2" borderId="21" xfId="0" applyFont="1" applyFill="1" applyBorder="1"/>
    <xf numFmtId="0" fontId="0" fillId="0" borderId="10" xfId="0" applyBorder="1" applyAlignment="1"/>
    <xf numFmtId="0" fontId="0" fillId="0" borderId="11" xfId="0" applyBorder="1" applyAlignment="1">
      <alignment wrapText="1"/>
    </xf>
    <xf numFmtId="0" fontId="2" fillId="2" borderId="1" xfId="0" applyFont="1" applyFill="1" applyBorder="1"/>
    <xf numFmtId="1" fontId="0" fillId="8" borderId="30" xfId="0" applyNumberFormat="1" applyFill="1" applyBorder="1"/>
    <xf numFmtId="0" fontId="0" fillId="0" borderId="10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21" fillId="0" borderId="0" xfId="0" applyFont="1"/>
    <xf numFmtId="0" fontId="21" fillId="0" borderId="1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3" fillId="0" borderId="0" xfId="0" applyFont="1"/>
    <xf numFmtId="1" fontId="21" fillId="0" borderId="0" xfId="0" applyNumberFormat="1" applyFont="1"/>
    <xf numFmtId="0" fontId="21" fillId="0" borderId="0" xfId="0" applyFont="1" applyAlignment="1">
      <alignment wrapText="1"/>
    </xf>
    <xf numFmtId="0" fontId="21" fillId="0" borderId="3" xfId="0" applyFont="1" applyBorder="1"/>
    <xf numFmtId="0" fontId="21" fillId="4" borderId="1" xfId="0" applyFont="1" applyFill="1" applyBorder="1"/>
    <xf numFmtId="165" fontId="0" fillId="0" borderId="1" xfId="1" applyNumberFormat="1" applyFont="1" applyBorder="1"/>
    <xf numFmtId="0" fontId="0" fillId="4" borderId="16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18" xfId="0" applyFill="1" applyBorder="1" applyProtection="1">
      <protection locked="0"/>
    </xf>
    <xf numFmtId="0" fontId="0" fillId="4" borderId="19" xfId="0" applyFill="1" applyBorder="1" applyProtection="1">
      <protection locked="0"/>
    </xf>
    <xf numFmtId="165" fontId="0" fillId="4" borderId="28" xfId="1" applyNumberFormat="1" applyFont="1" applyFill="1" applyBorder="1" applyProtection="1">
      <protection locked="0"/>
    </xf>
    <xf numFmtId="165" fontId="0" fillId="4" borderId="29" xfId="1" applyNumberFormat="1" applyFont="1" applyFill="1" applyBorder="1" applyProtection="1">
      <protection locked="0"/>
    </xf>
    <xf numFmtId="10" fontId="0" fillId="4" borderId="8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" fontId="0" fillId="4" borderId="1" xfId="0" applyNumberFormat="1" applyFill="1" applyBorder="1" applyProtection="1">
      <protection locked="0"/>
    </xf>
    <xf numFmtId="0" fontId="24" fillId="0" borderId="0" xfId="0" applyFont="1"/>
    <xf numFmtId="0" fontId="0" fillId="4" borderId="0" xfId="0" applyFill="1" applyProtection="1">
      <protection locked="0"/>
    </xf>
    <xf numFmtId="168" fontId="0" fillId="0" borderId="1" xfId="0" applyNumberFormat="1" applyBorder="1"/>
    <xf numFmtId="169" fontId="0" fillId="0" borderId="1" xfId="0" applyNumberFormat="1" applyBorder="1"/>
    <xf numFmtId="170" fontId="0" fillId="0" borderId="0" xfId="3" applyNumberFormat="1" applyFont="1"/>
    <xf numFmtId="170" fontId="0" fillId="0" borderId="1" xfId="3" applyNumberFormat="1" applyFont="1" applyBorder="1"/>
    <xf numFmtId="170" fontId="0" fillId="0" borderId="0" xfId="3" applyNumberFormat="1" applyFont="1" applyFill="1"/>
    <xf numFmtId="0" fontId="26" fillId="10" borderId="31" xfId="5" applyBorder="1"/>
    <xf numFmtId="0" fontId="26" fillId="9" borderId="1" xfId="4" applyBorder="1"/>
    <xf numFmtId="170" fontId="0" fillId="0" borderId="0" xfId="0" applyNumberFormat="1"/>
  </cellXfs>
  <cellStyles count="6">
    <cellStyle name="60 % – uthevingsfarge 1" xfId="4" builtinId="32"/>
    <cellStyle name="60 % – uthevingsfarge 2" xfId="5" builtinId="36"/>
    <cellStyle name="Hyperkobling" xfId="2" builtinId="8"/>
    <cellStyle name="Komma" xfId="3" builtinId="3"/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Cruiseskip (BT)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'Menon estimering'!$D$2:$D$5</c:f>
              <c:numCache>
                <c:formatCode>General</c:formatCode>
                <c:ptCount val="4"/>
                <c:pt idx="0">
                  <c:v>40000</c:v>
                </c:pt>
                <c:pt idx="1">
                  <c:v>75000</c:v>
                </c:pt>
                <c:pt idx="2">
                  <c:v>77000</c:v>
                </c:pt>
                <c:pt idx="3">
                  <c:v>128000</c:v>
                </c:pt>
              </c:numCache>
            </c:numRef>
          </c:xVal>
          <c:yVal>
            <c:numRef>
              <c:f>'Menon estimering'!$M$2:$M$5</c:f>
              <c:numCache>
                <c:formatCode>_-* #\ ##0_-;\-* #\ ##0_-;_-* "-"??_-;_-@_-</c:formatCode>
                <c:ptCount val="4"/>
                <c:pt idx="0">
                  <c:v>42544.805758082184</c:v>
                </c:pt>
                <c:pt idx="1">
                  <c:v>57265.300244931495</c:v>
                </c:pt>
                <c:pt idx="2">
                  <c:v>61991.668853424657</c:v>
                </c:pt>
                <c:pt idx="3">
                  <c:v>113706.36384296388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1-473F-90F7-58931B8C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Containerskip (BT)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'Menon estimering'!$D$20:$D$24</c:f>
              <c:numCache>
                <c:formatCode>General</c:formatCode>
                <c:ptCount val="5"/>
                <c:pt idx="0">
                  <c:v>6500</c:v>
                </c:pt>
                <c:pt idx="1">
                  <c:v>12500</c:v>
                </c:pt>
                <c:pt idx="2">
                  <c:v>16800</c:v>
                </c:pt>
                <c:pt idx="3">
                  <c:v>26400</c:v>
                </c:pt>
                <c:pt idx="4">
                  <c:v>40500</c:v>
                </c:pt>
              </c:numCache>
            </c:numRef>
          </c:xVal>
          <c:yVal>
            <c:numRef>
              <c:f>'Menon estimering'!$M$20:$M$24</c:f>
              <c:numCache>
                <c:formatCode>_-* #\ ##0_-;\-* #\ ##0_-;_-* "-"??_-;_-@_-</c:formatCode>
                <c:ptCount val="5"/>
                <c:pt idx="0">
                  <c:v>2457.5000650003522</c:v>
                </c:pt>
                <c:pt idx="1">
                  <c:v>2644.7652642533922</c:v>
                </c:pt>
                <c:pt idx="2">
                  <c:v>3090.684428391346</c:v>
                </c:pt>
                <c:pt idx="3">
                  <c:v>3572.5901552393266</c:v>
                </c:pt>
                <c:pt idx="4">
                  <c:v>4827.5945385942214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3-42DB-AB70-4BD2B7667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Oljetankskip (DWT)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'Menon estimering'!$C$35:$C$41</c:f>
              <c:numCache>
                <c:formatCode>General</c:formatCode>
                <c:ptCount val="7"/>
                <c:pt idx="0">
                  <c:v>3500</c:v>
                </c:pt>
                <c:pt idx="1">
                  <c:v>9500</c:v>
                </c:pt>
                <c:pt idx="2">
                  <c:v>17000</c:v>
                </c:pt>
                <c:pt idx="3">
                  <c:v>37000</c:v>
                </c:pt>
                <c:pt idx="4">
                  <c:v>100000</c:v>
                </c:pt>
                <c:pt idx="5">
                  <c:v>150000</c:v>
                </c:pt>
                <c:pt idx="6">
                  <c:v>310000</c:v>
                </c:pt>
              </c:numCache>
            </c:numRef>
          </c:xVal>
          <c:yVal>
            <c:numRef>
              <c:f>'Menon estimering'!$M$35:$M$41</c:f>
              <c:numCache>
                <c:formatCode>_-* #\ ##0_-;\-* #\ ##0_-;_-* "-"??_-;_-@_-</c:formatCode>
                <c:ptCount val="7"/>
                <c:pt idx="0">
                  <c:v>1864.6201019011414</c:v>
                </c:pt>
                <c:pt idx="1">
                  <c:v>2310.7890266301101</c:v>
                </c:pt>
                <c:pt idx="2">
                  <c:v>3417.204889875994</c:v>
                </c:pt>
                <c:pt idx="3">
                  <c:v>4549.8970288961509</c:v>
                </c:pt>
                <c:pt idx="4">
                  <c:v>6076.195375162406</c:v>
                </c:pt>
                <c:pt idx="5">
                  <c:v>7227.6092457458417</c:v>
                </c:pt>
                <c:pt idx="6">
                  <c:v>10387.353892780828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0-4729-AEB3-A4933364E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Produkt- og kjemikalieskip (DWT)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'Menon estimering'!$C$42:$C$45</c:f>
              <c:numCache>
                <c:formatCode>General</c:formatCode>
                <c:ptCount val="4"/>
                <c:pt idx="0">
                  <c:v>3500</c:v>
                </c:pt>
                <c:pt idx="1">
                  <c:v>8000</c:v>
                </c:pt>
                <c:pt idx="2">
                  <c:v>19000</c:v>
                </c:pt>
                <c:pt idx="3">
                  <c:v>35000</c:v>
                </c:pt>
              </c:numCache>
            </c:numRef>
          </c:xVal>
          <c:yVal>
            <c:numRef>
              <c:f>'Menon estimering'!$M$42:$M$45</c:f>
              <c:numCache>
                <c:formatCode>_-* #\ ##0_-;\-* #\ ##0_-;_-* "-"??_-;_-@_-</c:formatCode>
                <c:ptCount val="4"/>
                <c:pt idx="0">
                  <c:v>1655.5580639730642</c:v>
                </c:pt>
                <c:pt idx="1">
                  <c:v>3048.8425287128739</c:v>
                </c:pt>
                <c:pt idx="2">
                  <c:v>3730.7448005317265</c:v>
                </c:pt>
                <c:pt idx="3">
                  <c:v>4997.2116666666661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E-4470-86B4-5AA0832E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Brønnbåter</a:t>
            </a:r>
            <a:r>
              <a:rPr lang="nb-NO" baseline="0"/>
              <a:t> (BT)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'Menon estimering'!$D$53:$D$55</c:f>
              <c:numCache>
                <c:formatCode>General</c:formatCode>
                <c:ptCount val="3"/>
                <c:pt idx="0">
                  <c:v>950</c:v>
                </c:pt>
                <c:pt idx="1">
                  <c:v>1250</c:v>
                </c:pt>
                <c:pt idx="2">
                  <c:v>2050</c:v>
                </c:pt>
              </c:numCache>
            </c:numRef>
          </c:xVal>
          <c:yVal>
            <c:numRef>
              <c:f>'Menon estimering'!$M$53:$M$55</c:f>
              <c:numCache>
                <c:formatCode>_-* #\ ##0_-;\-* #\ ##0_-;_-* "-"??_-;_-@_-</c:formatCode>
                <c:ptCount val="3"/>
                <c:pt idx="0">
                  <c:v>1870.6442406430456</c:v>
                </c:pt>
                <c:pt idx="1">
                  <c:v>2551.469759231235</c:v>
                </c:pt>
                <c:pt idx="2">
                  <c:v>3776.4281860452238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45-4839-897C-FDD98C13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Bulkskip (DWT)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840.86ln(x) - 5240.8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'Menon estimering'!$C$6:$C$19</c:f>
              <c:numCache>
                <c:formatCode>General</c:formatCode>
                <c:ptCount val="1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9000</c:v>
                </c:pt>
                <c:pt idx="4">
                  <c:v>17000</c:v>
                </c:pt>
                <c:pt idx="5">
                  <c:v>40000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9000</c:v>
                </c:pt>
                <c:pt idx="10">
                  <c:v>17000</c:v>
                </c:pt>
                <c:pt idx="11">
                  <c:v>45000</c:v>
                </c:pt>
                <c:pt idx="12">
                  <c:v>56000</c:v>
                </c:pt>
                <c:pt idx="13">
                  <c:v>76000</c:v>
                </c:pt>
              </c:numCache>
            </c:numRef>
          </c:xVal>
          <c:yVal>
            <c:numRef>
              <c:f>'Menon estimering'!$M$6:$M$19</c:f>
              <c:numCache>
                <c:formatCode>_-* #\ ##0_-;\-* #\ ##0_-;_-* "-"??_-;_-@_-</c:formatCode>
                <c:ptCount val="14"/>
                <c:pt idx="0">
                  <c:v>912.01285940503919</c:v>
                </c:pt>
                <c:pt idx="1">
                  <c:v>1319.9059513508053</c:v>
                </c:pt>
                <c:pt idx="2">
                  <c:v>1808.7143420732928</c:v>
                </c:pt>
                <c:pt idx="3">
                  <c:v>2469.1604512327722</c:v>
                </c:pt>
                <c:pt idx="4">
                  <c:v>3025.0970223428253</c:v>
                </c:pt>
                <c:pt idx="5">
                  <c:v>4302.0982466706828</c:v>
                </c:pt>
                <c:pt idx="6">
                  <c:v>885.35530445456141</c:v>
                </c:pt>
                <c:pt idx="7">
                  <c:v>1099.3999759920493</c:v>
                </c:pt>
                <c:pt idx="8">
                  <c:v>1485.4653425911124</c:v>
                </c:pt>
                <c:pt idx="9">
                  <c:v>2087.0778202384358</c:v>
                </c:pt>
                <c:pt idx="10">
                  <c:v>2729.0780892231251</c:v>
                </c:pt>
                <c:pt idx="11">
                  <c:v>3647.488593847625</c:v>
                </c:pt>
                <c:pt idx="12">
                  <c:v>3831.1909940770761</c:v>
                </c:pt>
                <c:pt idx="13">
                  <c:v>4382.2430038126886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8-4B08-8366-E7D01548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Stykkgods/roro (BT)</a:t>
            </a:r>
          </a:p>
        </c:rich>
      </c:tx>
      <c:layout>
        <c:manualLayout>
          <c:xMode val="edge"/>
          <c:yMode val="edge"/>
          <c:x val="0.328006780402449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'Menon estimering'!$D$25:$D$31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24000</c:v>
                </c:pt>
                <c:pt idx="3" formatCode="_-* #\ ##0_-;\-* #\ ##0_-;_-* &quot;-&quot;??_-;_-@_-">
                  <c:v>500</c:v>
                </c:pt>
                <c:pt idx="4" formatCode="_-* #\ ##0_-;\-* #\ ##0_-;_-* &quot;-&quot;??_-;_-@_-">
                  <c:v>1850</c:v>
                </c:pt>
                <c:pt idx="5" formatCode="_-* #\ ##0_-;\-* #\ ##0_-;_-* &quot;-&quot;??_-;_-@_-">
                  <c:v>3200</c:v>
                </c:pt>
                <c:pt idx="6" formatCode="_-* #\ ##0_-;\-* #\ ##0_-;_-* &quot;-&quot;??_-;_-@_-">
                  <c:v>6500</c:v>
                </c:pt>
              </c:numCache>
            </c:numRef>
          </c:xVal>
          <c:yVal>
            <c:numRef>
              <c:f>'Menon estimering'!$M$25:$M$31</c:f>
              <c:numCache>
                <c:formatCode>_-* #\ ##0_-;\-* #\ ##0_-;_-* "-"??_-;_-@_-</c:formatCode>
                <c:ptCount val="7"/>
                <c:pt idx="0">
                  <c:v>1745.4578178384616</c:v>
                </c:pt>
                <c:pt idx="1">
                  <c:v>4398.4345660224626</c:v>
                </c:pt>
                <c:pt idx="2">
                  <c:v>5113.7863697087068</c:v>
                </c:pt>
                <c:pt idx="3">
                  <c:v>864.05550501888752</c:v>
                </c:pt>
                <c:pt idx="4">
                  <c:v>1261.1433905751812</c:v>
                </c:pt>
                <c:pt idx="5">
                  <c:v>1724.8157567994642</c:v>
                </c:pt>
                <c:pt idx="6">
                  <c:v>1819.0365481506929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7-4A52-AA4D-D70F3CEBA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Gasstankere (gasskap)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'Menon estimering'!$E$46:$E$50</c:f>
              <c:numCache>
                <c:formatCode>General</c:formatCode>
                <c:ptCount val="5"/>
                <c:pt idx="0">
                  <c:v>7500</c:v>
                </c:pt>
                <c:pt idx="1">
                  <c:v>15000</c:v>
                </c:pt>
                <c:pt idx="2">
                  <c:v>35000</c:v>
                </c:pt>
                <c:pt idx="3">
                  <c:v>57000</c:v>
                </c:pt>
                <c:pt idx="4">
                  <c:v>145000</c:v>
                </c:pt>
              </c:numCache>
            </c:numRef>
          </c:xVal>
          <c:yVal>
            <c:numRef>
              <c:f>'Menon estimering'!$M$46:$M$50</c:f>
              <c:numCache>
                <c:formatCode>_-* #\ ##0_-;\-* #\ ##0_-;_-* "-"??_-;_-@_-</c:formatCode>
                <c:ptCount val="5"/>
                <c:pt idx="0">
                  <c:v>3643.0816461894074</c:v>
                </c:pt>
                <c:pt idx="1">
                  <c:v>4410.6354878723159</c:v>
                </c:pt>
                <c:pt idx="2">
                  <c:v>5340.8746556421811</c:v>
                </c:pt>
                <c:pt idx="3">
                  <c:v>5874.9621212064012</c:v>
                </c:pt>
                <c:pt idx="4">
                  <c:v>17399.245868526166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E-44C0-AAED-E2936FA0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Offshore supply </a:t>
            </a:r>
          </a:p>
        </c:rich>
      </c:tx>
      <c:layout>
        <c:manualLayout>
          <c:xMode val="edge"/>
          <c:yMode val="edge"/>
          <c:x val="0.328006780402449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'Menon estimering'!$C$51</c:f>
              <c:numCache>
                <c:formatCode>General</c:formatCode>
                <c:ptCount val="1"/>
                <c:pt idx="0">
                  <c:v>3000</c:v>
                </c:pt>
              </c:numCache>
            </c:numRef>
          </c:xVal>
          <c:yVal>
            <c:numRef>
              <c:f>'Menon estimering'!$M$51</c:f>
              <c:numCache>
                <c:formatCode>_-* #\ ##0_-;\-* #\ ##0_-;_-* "-"??_-;_-@_-</c:formatCode>
                <c:ptCount val="1"/>
                <c:pt idx="0">
                  <c:v>4898.4659034717542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9-4655-8E0C-206298EB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</xdr:row>
      <xdr:rowOff>14287</xdr:rowOff>
    </xdr:from>
    <xdr:to>
      <xdr:col>21</xdr:col>
      <xdr:colOff>9525</xdr:colOff>
      <xdr:row>16</xdr:row>
      <xdr:rowOff>90487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28E8B8E-9971-4619-AAA1-F06B04158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0</xdr:colOff>
      <xdr:row>31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1CA8966-5FBE-4575-8BDA-F9FF86E0E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32</xdr:row>
      <xdr:rowOff>0</xdr:rowOff>
    </xdr:from>
    <xdr:to>
      <xdr:col>21</xdr:col>
      <xdr:colOff>9525</xdr:colOff>
      <xdr:row>46</xdr:row>
      <xdr:rowOff>76200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E9C809AD-4B4E-4E0D-B0D4-0B27CF0DE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753596</xdr:colOff>
      <xdr:row>1</xdr:row>
      <xdr:rowOff>71157</xdr:rowOff>
    </xdr:from>
    <xdr:to>
      <xdr:col>31</xdr:col>
      <xdr:colOff>753596</xdr:colOff>
      <xdr:row>15</xdr:row>
      <xdr:rowOff>147357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4345B21D-D03D-459E-9AD6-3AB4D17F8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52668</xdr:colOff>
      <xdr:row>16</xdr:row>
      <xdr:rowOff>73959</xdr:rowOff>
    </xdr:from>
    <xdr:to>
      <xdr:col>32</xdr:col>
      <xdr:colOff>52668</xdr:colOff>
      <xdr:row>30</xdr:row>
      <xdr:rowOff>150159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129FD486-BDF7-46DC-A1E0-96098EFB7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100853</xdr:colOff>
      <xdr:row>31</xdr:row>
      <xdr:rowOff>134470</xdr:rowOff>
    </xdr:from>
    <xdr:to>
      <xdr:col>32</xdr:col>
      <xdr:colOff>100853</xdr:colOff>
      <xdr:row>46</xdr:row>
      <xdr:rowOff>20170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D0FE6B2A-C3FA-4F04-8B0E-89441604A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48</xdr:row>
      <xdr:rowOff>0</xdr:rowOff>
    </xdr:from>
    <xdr:to>
      <xdr:col>31</xdr:col>
      <xdr:colOff>0</xdr:colOff>
      <xdr:row>62</xdr:row>
      <xdr:rowOff>76200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83D5B729-AA52-4AB9-82AB-C18B2D4C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21</xdr:col>
      <xdr:colOff>0</xdr:colOff>
      <xdr:row>62</xdr:row>
      <xdr:rowOff>76200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D59303CB-5368-4FD2-8953-A419DB10C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63</xdr:row>
      <xdr:rowOff>0</xdr:rowOff>
    </xdr:from>
    <xdr:to>
      <xdr:col>31</xdr:col>
      <xdr:colOff>0</xdr:colOff>
      <xdr:row>77</xdr:row>
      <xdr:rowOff>76200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83D92A2-B100-490A-B080-19C63CFF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361035</xdr:colOff>
      <xdr:row>5</xdr:row>
      <xdr:rowOff>68395</xdr:rowOff>
    </xdr:from>
    <xdr:ext cx="6730304" cy="2315121"/>
    <xdr:sp macro="" textlink="">
      <xdr:nvSpPr>
        <xdr:cNvPr id="2" name="Rektange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85735" y="982795"/>
          <a:ext cx="6730304" cy="231512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nb-NO" sz="5400" b="1" cap="none" spc="30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Kostnader skip</a:t>
          </a:r>
          <a:r>
            <a:rPr lang="nb-NO" sz="5400" b="1" cap="none" spc="300" baseline="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2012</a:t>
          </a:r>
        </a:p>
        <a:p>
          <a:pPr algn="ctr"/>
          <a:r>
            <a:rPr lang="nb-NO" sz="2400" b="1" cap="none" spc="300" baseline="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Kostnad pr km og time  </a:t>
          </a:r>
        </a:p>
        <a:p>
          <a:pPr algn="ctr"/>
          <a:r>
            <a:rPr lang="nb-NO" sz="2400" b="1" cap="none" spc="300" baseline="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for forskjellige skipstyper</a:t>
          </a:r>
        </a:p>
        <a:p>
          <a:pPr algn="ctr"/>
          <a:r>
            <a:rPr lang="nb-NO" sz="4000" b="1" cap="none" spc="300" baseline="0">
              <a:ln w="11430" cmpd="sng">
                <a:solidFill>
                  <a:schemeClr val="accent1">
                    <a:tint val="10000"/>
                  </a:schemeClr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SITMA, 2013</a:t>
          </a:r>
          <a:endParaRPr lang="nb-NO" sz="4000" b="1" cap="none" spc="300">
            <a:ln w="11430" cmpd="sng">
              <a:solidFill>
                <a:schemeClr val="accent1">
                  <a:tint val="10000"/>
                </a:schemeClr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oneCellAnchor>
  <xdr:oneCellAnchor>
    <xdr:from>
      <xdr:col>10</xdr:col>
      <xdr:colOff>281940</xdr:colOff>
      <xdr:row>26</xdr:row>
      <xdr:rowOff>121920</xdr:rowOff>
    </xdr:from>
    <xdr:ext cx="2672848" cy="781240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991600" y="4876800"/>
          <a:ext cx="2672848" cy="7812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Totale kostnader for en time med båt i fart:</a:t>
          </a:r>
        </a:p>
        <a:p>
          <a:r>
            <a:rPr lang="en-GB" sz="1100"/>
            <a:t>(Kr pr time) + ((kr pr km)*(km/time).</a:t>
          </a:r>
        </a:p>
        <a:p>
          <a:r>
            <a:rPr lang="en-GB" sz="1100"/>
            <a:t>Totale kostnader pr km for båt i fart:</a:t>
          </a:r>
        </a:p>
        <a:p>
          <a:r>
            <a:rPr lang="en-GB" sz="1100"/>
            <a:t>(Kr</a:t>
          </a:r>
          <a:r>
            <a:rPr lang="en-GB" sz="1100" baseline="0"/>
            <a:t> pr km) + ((Kr pr time)*(timer/km))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69E8-EB1D-4267-B248-7BDA06F03783}">
  <sheetPr>
    <tabColor theme="7"/>
  </sheetPr>
  <dimension ref="A1:Y55"/>
  <sheetViews>
    <sheetView tabSelected="1" topLeftCell="A28" zoomScale="85" zoomScaleNormal="85" workbookViewId="0">
      <selection activeCell="L51" sqref="L51"/>
    </sheetView>
  </sheetViews>
  <sheetFormatPr baseColWidth="10" defaultRowHeight="14.4" x14ac:dyDescent="0.3"/>
  <cols>
    <col min="2" max="2" width="25.44140625" bestFit="1" customWidth="1"/>
    <col min="5" max="5" width="8.88671875" customWidth="1"/>
    <col min="6" max="12" width="11.5546875" customWidth="1"/>
    <col min="13" max="13" width="20.77734375" bestFit="1" customWidth="1"/>
    <col min="23" max="23" width="29.21875" customWidth="1"/>
    <col min="24" max="24" width="25.21875" customWidth="1"/>
    <col min="25" max="25" width="20.77734375" customWidth="1"/>
  </cols>
  <sheetData>
    <row r="1" spans="1:25" x14ac:dyDescent="0.3">
      <c r="A1" t="s">
        <v>516</v>
      </c>
      <c r="B1" t="str">
        <f>'Kostnader 2012'!C5</f>
        <v>Skipstype</v>
      </c>
      <c r="C1" t="str">
        <f>'Kostnader 2012'!D5</f>
        <v>DWT</v>
      </c>
      <c r="D1" t="str">
        <f>'Kostnader 2012'!E5</f>
        <v>BT</v>
      </c>
      <c r="E1" t="s">
        <v>536</v>
      </c>
      <c r="F1" t="str">
        <f>'Kostnader 2012'!I5</f>
        <v>Kapital</v>
      </c>
      <c r="G1" t="str">
        <f>'Kostnader 2012'!J5</f>
        <v>Mannskap</v>
      </c>
      <c r="H1" t="str">
        <f>'Kostnader 2012'!K5</f>
        <v>Stores</v>
      </c>
      <c r="I1" t="str">
        <f>'Kostnader 2012'!L5</f>
        <v>Rep/Vedl</v>
      </c>
      <c r="J1" t="str">
        <f>'Kostnader 2012'!M5</f>
        <v>Forsikring</v>
      </c>
      <c r="K1" t="str">
        <f>'Kostnader 2012'!N5</f>
        <v>Admin.</v>
      </c>
      <c r="L1" t="s">
        <v>8</v>
      </c>
      <c r="M1" t="s">
        <v>515</v>
      </c>
    </row>
    <row r="2" spans="1:25" x14ac:dyDescent="0.3">
      <c r="B2" t="str">
        <f>'Kostnader 2012'!C6</f>
        <v>Utenlandsferger/cruiseskip</v>
      </c>
      <c r="C2">
        <f>'Kostnader 2012'!D6</f>
        <v>0</v>
      </c>
      <c r="D2">
        <f>'Kostnader 2012'!E6</f>
        <v>40000</v>
      </c>
      <c r="F2" s="135">
        <f>'Kostnader 2012'!I6</f>
        <v>21512.855406392693</v>
      </c>
      <c r="G2" s="135">
        <f>'Kostnader 2012'!J6</f>
        <v>9630.1369863013697</v>
      </c>
      <c r="H2" s="135">
        <f>'Kostnader 2012'!K6</f>
        <v>3872.3139731506844</v>
      </c>
      <c r="I2" s="135">
        <f>'Kostnader 2012'!L6</f>
        <v>4302.5710812785392</v>
      </c>
      <c r="J2" s="135">
        <f>'Kostnader 2012'!M6</f>
        <v>882.96296296296293</v>
      </c>
      <c r="K2" s="135">
        <f>'Kostnader 2012'!N6</f>
        <v>3226.9283109589037</v>
      </c>
      <c r="L2" s="140">
        <f t="shared" ref="L2:L27" si="0">SUM(F2:K2)</f>
        <v>43427.768721045148</v>
      </c>
      <c r="M2" s="140">
        <f>L2-J2</f>
        <v>42544.805758082184</v>
      </c>
    </row>
    <row r="3" spans="1:25" x14ac:dyDescent="0.3">
      <c r="B3" t="str">
        <f>'Kostnader 2012'!C7</f>
        <v>Utenlandsferger/cruiseskip</v>
      </c>
      <c r="C3">
        <f>'Kostnader 2012'!D7</f>
        <v>0</v>
      </c>
      <c r="D3">
        <f>'Kostnader 2012'!E7</f>
        <v>75000</v>
      </c>
      <c r="F3" s="135">
        <f>'Kostnader 2012'!I7</f>
        <v>29146.449260273967</v>
      </c>
      <c r="G3" s="135">
        <f>'Kostnader 2012'!J7</f>
        <v>12671.232876712329</v>
      </c>
      <c r="H3" s="135">
        <f>'Kostnader 2012'!K7</f>
        <v>5246.3608668493134</v>
      </c>
      <c r="I3" s="135">
        <f>'Kostnader 2012'!L7</f>
        <v>5829.2898520547933</v>
      </c>
      <c r="J3" s="135">
        <f>'Kostnader 2012'!M7</f>
        <v>1161.1882716049381</v>
      </c>
      <c r="K3" s="135">
        <f>'Kostnader 2012'!N7</f>
        <v>4371.967389041095</v>
      </c>
      <c r="L3" s="140">
        <f t="shared" si="0"/>
        <v>58426.488516536432</v>
      </c>
      <c r="M3" s="140">
        <f t="shared" ref="M3:M55" si="1">L3-J3</f>
        <v>57265.300244931495</v>
      </c>
      <c r="W3" t="s">
        <v>517</v>
      </c>
      <c r="X3" t="s">
        <v>539</v>
      </c>
      <c r="Y3" t="s">
        <v>540</v>
      </c>
    </row>
    <row r="4" spans="1:25" x14ac:dyDescent="0.3">
      <c r="B4" t="str">
        <f>'Kostnader 2012'!C8</f>
        <v>Cruiseskip</v>
      </c>
      <c r="C4">
        <f>'Kostnader 2012'!D8</f>
        <v>0</v>
      </c>
      <c r="D4">
        <f>'Kostnader 2012'!E8</f>
        <v>77000</v>
      </c>
      <c r="F4" s="135">
        <f>'Kostnader 2012'!I8</f>
        <v>31228.338493150684</v>
      </c>
      <c r="G4" s="135">
        <f>'Kostnader 2012'!J8</f>
        <v>14212.310958904109</v>
      </c>
      <c r="H4" s="135">
        <f>'Kostnader 2012'!K8</f>
        <v>5621.1009287671232</v>
      </c>
      <c r="I4" s="135">
        <f>'Kostnader 2012'!L8</f>
        <v>6245.6676986301372</v>
      </c>
      <c r="J4" s="135">
        <f>'Kostnader 2012'!M8</f>
        <v>1193.3796296296296</v>
      </c>
      <c r="K4" s="135">
        <f>'Kostnader 2012'!N8</f>
        <v>4684.2507739726025</v>
      </c>
      <c r="L4" s="140">
        <f t="shared" si="0"/>
        <v>63185.048483054285</v>
      </c>
      <c r="M4" s="140">
        <f t="shared" si="1"/>
        <v>61991.668853424657</v>
      </c>
      <c r="W4" s="19" t="s">
        <v>518</v>
      </c>
      <c r="X4" s="19" t="s">
        <v>531</v>
      </c>
      <c r="Y4" s="19" t="s">
        <v>541</v>
      </c>
    </row>
    <row r="5" spans="1:25" x14ac:dyDescent="0.3">
      <c r="B5" t="str">
        <f>'Kostnader 2012'!C9</f>
        <v>Cruiseskip</v>
      </c>
      <c r="C5">
        <f>'Kostnader 2012'!D9</f>
        <v>0</v>
      </c>
      <c r="D5">
        <f>'Kostnader 2012'!E9</f>
        <v>128000</v>
      </c>
      <c r="F5" s="135">
        <f>'Kostnader 2012'!I9</f>
        <v>58986.861598173513</v>
      </c>
      <c r="G5" s="135">
        <f>'Kostnader 2012'!J9</f>
        <v>23456.465597758401</v>
      </c>
      <c r="H5" s="135">
        <f>'Kostnader 2012'!K9</f>
        <v>10617.635087671231</v>
      </c>
      <c r="I5" s="135">
        <f>'Kostnader 2012'!L9</f>
        <v>11797.372319634704</v>
      </c>
      <c r="J5" s="135">
        <f>'Kostnader 2012'!M9</f>
        <v>1997.3274410774413</v>
      </c>
      <c r="K5" s="135">
        <f>'Kostnader 2012'!N9</f>
        <v>8848.0292397260273</v>
      </c>
      <c r="L5" s="140">
        <f t="shared" si="0"/>
        <v>115703.69128404133</v>
      </c>
      <c r="M5" s="140">
        <f t="shared" si="1"/>
        <v>113706.36384296388</v>
      </c>
      <c r="W5" s="19" t="s">
        <v>519</v>
      </c>
      <c r="X5" s="19" t="s">
        <v>532</v>
      </c>
      <c r="Y5" s="19" t="s">
        <v>542</v>
      </c>
    </row>
    <row r="6" spans="1:25" x14ac:dyDescent="0.3">
      <c r="B6" t="str">
        <f>'Kostnader 2012'!C10</f>
        <v>Break bulk</v>
      </c>
      <c r="C6">
        <f>'Kostnader 2012'!D10</f>
        <v>1000</v>
      </c>
      <c r="D6">
        <f>'Kostnader 2012'!E10</f>
        <v>0</v>
      </c>
      <c r="F6" s="135">
        <f>'Kostnader 2012'!I10</f>
        <v>559.80865396003162</v>
      </c>
      <c r="G6" s="135">
        <f>'Kostnader 2012'!J10</f>
        <v>199.21032857142856</v>
      </c>
      <c r="H6" s="135">
        <f>'Kostnader 2012'!K10</f>
        <v>30.405228571428577</v>
      </c>
      <c r="I6" s="135">
        <f>'Kostnader 2012'!L10</f>
        <v>53.103050000000003</v>
      </c>
      <c r="J6" s="135">
        <f>'Kostnader 2012'!M10</f>
        <v>36.415035714285722</v>
      </c>
      <c r="K6" s="135">
        <f>'Kostnader 2012'!N10</f>
        <v>69.485598302150407</v>
      </c>
      <c r="L6" s="140">
        <f t="shared" si="0"/>
        <v>948.42789511932494</v>
      </c>
      <c r="M6" s="140">
        <f t="shared" si="1"/>
        <v>912.01285940503919</v>
      </c>
      <c r="W6" s="19" t="s">
        <v>249</v>
      </c>
      <c r="X6" s="19" t="s">
        <v>537</v>
      </c>
      <c r="Y6" s="19" t="s">
        <v>543</v>
      </c>
    </row>
    <row r="7" spans="1:25" x14ac:dyDescent="0.3">
      <c r="B7" t="str">
        <f>'Kostnader 2012'!C11</f>
        <v>Break bulk</v>
      </c>
      <c r="C7">
        <f>'Kostnader 2012'!D11</f>
        <v>2500</v>
      </c>
      <c r="D7">
        <f>'Kostnader 2012'!E11</f>
        <v>0</v>
      </c>
      <c r="F7" s="135">
        <f>'Kostnader 2012'!I11</f>
        <v>685.93838154979176</v>
      </c>
      <c r="G7" s="135">
        <f>'Kostnader 2012'!J11</f>
        <v>358.57859142857131</v>
      </c>
      <c r="H7" s="135">
        <f>'Kostnader 2012'!K11</f>
        <v>54.729411428571424</v>
      </c>
      <c r="I7" s="135">
        <f>'Kostnader 2012'!L11</f>
        <v>95.585490000000007</v>
      </c>
      <c r="J7" s="135">
        <f>'Kostnader 2012'!M11</f>
        <v>65.547064285714285</v>
      </c>
      <c r="K7" s="135">
        <f>'Kostnader 2012'!N11</f>
        <v>125.07407694387069</v>
      </c>
      <c r="L7" s="140">
        <f t="shared" si="0"/>
        <v>1385.4530156365195</v>
      </c>
      <c r="M7" s="140">
        <f t="shared" si="1"/>
        <v>1319.9059513508053</v>
      </c>
      <c r="W7" s="19" t="s">
        <v>520</v>
      </c>
      <c r="X7" s="19" t="s">
        <v>534</v>
      </c>
      <c r="Y7" s="19" t="s">
        <v>544</v>
      </c>
    </row>
    <row r="8" spans="1:25" x14ac:dyDescent="0.3">
      <c r="B8" t="str">
        <f>'Kostnader 2012'!C12</f>
        <v>Break bulk</v>
      </c>
      <c r="C8">
        <f>'Kostnader 2012'!D12</f>
        <v>5000</v>
      </c>
      <c r="D8">
        <f>'Kostnader 2012'!E12</f>
        <v>0</v>
      </c>
      <c r="F8" s="135">
        <f>'Kostnader 2012'!I12</f>
        <v>943.38125019190488</v>
      </c>
      <c r="G8" s="135">
        <f>'Kostnader 2012'!J12</f>
        <v>496.57554395846063</v>
      </c>
      <c r="H8" s="135">
        <f>'Kostnader 2012'!K12</f>
        <v>73.438009554062305</v>
      </c>
      <c r="I8" s="135">
        <f>'Kostnader 2012'!L12</f>
        <v>120.88059075137448</v>
      </c>
      <c r="J8" s="135">
        <f>'Kostnader 2012'!M12</f>
        <v>93.553959804520474</v>
      </c>
      <c r="K8" s="135">
        <f>'Kostnader 2012'!N12</f>
        <v>174.43894761749044</v>
      </c>
      <c r="L8" s="140">
        <f t="shared" si="0"/>
        <v>1902.2683018778132</v>
      </c>
      <c r="M8" s="140">
        <f t="shared" si="1"/>
        <v>1808.7143420732928</v>
      </c>
      <c r="W8" s="19" t="s">
        <v>521</v>
      </c>
      <c r="X8" s="19" t="s">
        <v>535</v>
      </c>
      <c r="Y8" s="19"/>
    </row>
    <row r="9" spans="1:25" x14ac:dyDescent="0.3">
      <c r="B9" t="str">
        <f>'Kostnader 2012'!C13</f>
        <v>Break bulk</v>
      </c>
      <c r="C9">
        <f>'Kostnader 2012'!D13</f>
        <v>9000</v>
      </c>
      <c r="D9">
        <f>'Kostnader 2012'!E13</f>
        <v>0</v>
      </c>
      <c r="F9" s="135">
        <f>'Kostnader 2012'!I13</f>
        <v>1416.7996797753888</v>
      </c>
      <c r="G9" s="135">
        <f>'Kostnader 2012'!J13</f>
        <v>487.80030045815511</v>
      </c>
      <c r="H9" s="135">
        <f>'Kostnader 2012'!K13</f>
        <v>145.13930942272452</v>
      </c>
      <c r="I9" s="135">
        <f>'Kostnader 2012'!L13</f>
        <v>220.52540204642639</v>
      </c>
      <c r="J9" s="135">
        <f>'Kostnader 2012'!M13</f>
        <v>102.40365870494809</v>
      </c>
      <c r="K9" s="135">
        <f>'Kostnader 2012'!N13</f>
        <v>198.89575953007781</v>
      </c>
      <c r="L9" s="140">
        <f t="shared" si="0"/>
        <v>2571.5641099377203</v>
      </c>
      <c r="M9" s="140">
        <f t="shared" si="1"/>
        <v>2469.1604512327722</v>
      </c>
      <c r="W9" s="19" t="s">
        <v>244</v>
      </c>
      <c r="X9" s="19" t="s">
        <v>530</v>
      </c>
      <c r="Y9" s="19" t="s">
        <v>545</v>
      </c>
    </row>
    <row r="10" spans="1:25" x14ac:dyDescent="0.3">
      <c r="B10" t="str">
        <f>'Kostnader 2012'!C14</f>
        <v>Break bulk</v>
      </c>
      <c r="C10">
        <f>'Kostnader 2012'!D14</f>
        <v>17000</v>
      </c>
      <c r="D10">
        <f>'Kostnader 2012'!E14</f>
        <v>0</v>
      </c>
      <c r="F10" s="135">
        <f>'Kostnader 2012'!I14</f>
        <v>1879.1930712003409</v>
      </c>
      <c r="G10" s="135">
        <f>'Kostnader 2012'!J14</f>
        <v>531.16032716554673</v>
      </c>
      <c r="H10" s="135">
        <f>'Kostnader 2012'!K14</f>
        <v>158.04058137141112</v>
      </c>
      <c r="I10" s="135">
        <f>'Kostnader 2012'!L14</f>
        <v>240.12766000610873</v>
      </c>
      <c r="J10" s="135">
        <f>'Kostnader 2012'!M14</f>
        <v>111.50620614538789</v>
      </c>
      <c r="K10" s="135">
        <f>'Kostnader 2012'!N14</f>
        <v>216.57538259941802</v>
      </c>
      <c r="L10" s="140">
        <f t="shared" si="0"/>
        <v>3136.6032284882131</v>
      </c>
      <c r="M10" s="140">
        <f t="shared" si="1"/>
        <v>3025.0970223428253</v>
      </c>
      <c r="W10" s="19" t="s">
        <v>522</v>
      </c>
      <c r="X10" s="19" t="s">
        <v>529</v>
      </c>
      <c r="Y10" s="19" t="s">
        <v>546</v>
      </c>
    </row>
    <row r="11" spans="1:25" x14ac:dyDescent="0.3">
      <c r="B11" t="str">
        <f>'Kostnader 2012'!C15</f>
        <v>Break bulk</v>
      </c>
      <c r="C11">
        <f>'Kostnader 2012'!D15</f>
        <v>40000</v>
      </c>
      <c r="D11">
        <f>'Kostnader 2012'!E15</f>
        <v>0</v>
      </c>
      <c r="F11" s="135">
        <f>'Kostnader 2012'!I15</f>
        <v>3055.7456508047576</v>
      </c>
      <c r="G11" s="135">
        <f>'Kostnader 2012'!J15</f>
        <v>600.90400545749856</v>
      </c>
      <c r="H11" s="135">
        <f>'Kostnader 2012'!K15</f>
        <v>203.65683021115319</v>
      </c>
      <c r="I11" s="135">
        <f>'Kostnader 2012'!L15</f>
        <v>263.77648606388738</v>
      </c>
      <c r="J11" s="135">
        <f>'Kostnader 2012'!M15</f>
        <v>145.25259917704383</v>
      </c>
      <c r="K11" s="135">
        <f>'Kostnader 2012'!N15</f>
        <v>178.0152741333859</v>
      </c>
      <c r="L11" s="140">
        <f t="shared" si="0"/>
        <v>4447.3508458477263</v>
      </c>
      <c r="M11" s="140">
        <f t="shared" si="1"/>
        <v>4302.0982466706828</v>
      </c>
      <c r="W11" s="19" t="s">
        <v>523</v>
      </c>
      <c r="X11" s="19" t="s">
        <v>529</v>
      </c>
      <c r="Y11" s="19" t="s">
        <v>546</v>
      </c>
    </row>
    <row r="12" spans="1:25" x14ac:dyDescent="0.3">
      <c r="B12" t="str">
        <f>'Kostnader 2012'!C16</f>
        <v>Dry bulk</v>
      </c>
      <c r="C12">
        <f>'Kostnader 2012'!D16</f>
        <v>1000</v>
      </c>
      <c r="D12">
        <f>'Kostnader 2012'!E16</f>
        <v>0</v>
      </c>
      <c r="F12" s="135">
        <f>'Kostnader 2012'!I16</f>
        <v>533.15109900955383</v>
      </c>
      <c r="G12" s="135">
        <f>'Kostnader 2012'!J16</f>
        <v>199.21032857142856</v>
      </c>
      <c r="H12" s="135">
        <f>'Kostnader 2012'!K16</f>
        <v>30.405228571428577</v>
      </c>
      <c r="I12" s="135">
        <f>'Kostnader 2012'!L16</f>
        <v>53.103050000000003</v>
      </c>
      <c r="J12" s="135">
        <f>'Kostnader 2012'!M16</f>
        <v>36.415035714285722</v>
      </c>
      <c r="K12" s="135">
        <f>'Kostnader 2012'!N16</f>
        <v>69.485598302150407</v>
      </c>
      <c r="L12" s="140">
        <f t="shared" si="0"/>
        <v>921.77034016884716</v>
      </c>
      <c r="M12" s="140">
        <f t="shared" si="1"/>
        <v>885.35530445456141</v>
      </c>
      <c r="W12" s="19" t="s">
        <v>241</v>
      </c>
      <c r="X12" s="19" t="s">
        <v>529</v>
      </c>
      <c r="Y12" s="19" t="s">
        <v>546</v>
      </c>
    </row>
    <row r="13" spans="1:25" x14ac:dyDescent="0.3">
      <c r="B13" t="str">
        <f>'Kostnader 2012'!C17</f>
        <v>Dry bulk</v>
      </c>
      <c r="C13">
        <f>'Kostnader 2012'!D17</f>
        <v>2500</v>
      </c>
      <c r="D13">
        <f>'Kostnader 2012'!E17</f>
        <v>0</v>
      </c>
      <c r="F13" s="135">
        <f>'Kostnader 2012'!I17</f>
        <v>653.27464909503988</v>
      </c>
      <c r="G13" s="135">
        <f>'Kostnader 2012'!J17</f>
        <v>252.33308285714284</v>
      </c>
      <c r="H13" s="135">
        <f>'Kostnader 2012'!K17</f>
        <v>38.513289523809519</v>
      </c>
      <c r="I13" s="135">
        <f>'Kostnader 2012'!L17</f>
        <v>67.263863333333333</v>
      </c>
      <c r="J13" s="135">
        <f>'Kostnader 2012'!M17</f>
        <v>46.1257119047619</v>
      </c>
      <c r="K13" s="135">
        <f>'Kostnader 2012'!N17</f>
        <v>88.015091182723822</v>
      </c>
      <c r="L13" s="140">
        <f t="shared" si="0"/>
        <v>1145.5256878968112</v>
      </c>
      <c r="M13" s="140">
        <f t="shared" si="1"/>
        <v>1099.3999759920493</v>
      </c>
      <c r="W13" s="19" t="s">
        <v>524</v>
      </c>
      <c r="X13" s="19" t="s">
        <v>538</v>
      </c>
      <c r="Y13" s="19" t="s">
        <v>547</v>
      </c>
    </row>
    <row r="14" spans="1:25" x14ac:dyDescent="0.3">
      <c r="B14" t="str">
        <f>'Kostnader 2012'!C18</f>
        <v>Dry bulk</v>
      </c>
      <c r="C14">
        <f>'Kostnader 2012'!D18</f>
        <v>5000</v>
      </c>
      <c r="D14">
        <f>'Kostnader 2012'!E18</f>
        <v>0</v>
      </c>
      <c r="F14" s="135">
        <f>'Kostnader 2012'!I18</f>
        <v>898.45833351609997</v>
      </c>
      <c r="G14" s="135">
        <f>'Kostnader 2012'!J18</f>
        <v>332.0172142857142</v>
      </c>
      <c r="H14" s="135">
        <f>'Kostnader 2012'!K18</f>
        <v>50.675380952380948</v>
      </c>
      <c r="I14" s="135">
        <f>'Kostnader 2012'!L18</f>
        <v>88.505083333333332</v>
      </c>
      <c r="J14" s="135">
        <f>'Kostnader 2012'!M18</f>
        <v>60.691726190476189</v>
      </c>
      <c r="K14" s="135">
        <f>'Kostnader 2012'!N18</f>
        <v>115.80933050358399</v>
      </c>
      <c r="L14" s="140">
        <f t="shared" si="0"/>
        <v>1546.1570687815886</v>
      </c>
      <c r="M14" s="140">
        <f t="shared" si="1"/>
        <v>1485.4653425911124</v>
      </c>
      <c r="W14" s="19" t="s">
        <v>525</v>
      </c>
      <c r="X14" s="19" t="s">
        <v>538</v>
      </c>
      <c r="Y14" s="19" t="s">
        <v>547</v>
      </c>
    </row>
    <row r="15" spans="1:25" x14ac:dyDescent="0.3">
      <c r="B15" t="str">
        <f>'Kostnader 2012'!C19</f>
        <v>Dry bulk</v>
      </c>
      <c r="C15">
        <f>'Kostnader 2012'!D19</f>
        <v>9000</v>
      </c>
      <c r="D15">
        <f>'Kostnader 2012'!E19</f>
        <v>0</v>
      </c>
      <c r="F15" s="135">
        <f>'Kostnader 2012'!I19</f>
        <v>1072.8843103525592</v>
      </c>
      <c r="G15" s="135">
        <f>'Kostnader 2012'!J19</f>
        <v>455.59287990430613</v>
      </c>
      <c r="H15" s="135">
        <f>'Kostnader 2012'!K19</f>
        <v>139.90098349282292</v>
      </c>
      <c r="I15" s="135">
        <f>'Kostnader 2012'!L19</f>
        <v>225.54326052631575</v>
      </c>
      <c r="J15" s="135">
        <f>'Kostnader 2012'!M19</f>
        <v>92.798804066985625</v>
      </c>
      <c r="K15" s="135">
        <f>'Kostnader 2012'!N19</f>
        <v>193.15638596243207</v>
      </c>
      <c r="L15" s="140">
        <f t="shared" si="0"/>
        <v>2179.8766243054215</v>
      </c>
      <c r="M15" s="140">
        <f t="shared" si="1"/>
        <v>2087.0778202384358</v>
      </c>
      <c r="W15" s="19" t="s">
        <v>252</v>
      </c>
      <c r="X15" s="19" t="s">
        <v>533</v>
      </c>
      <c r="Y15" s="19"/>
    </row>
    <row r="16" spans="1:25" x14ac:dyDescent="0.3">
      <c r="B16" t="str">
        <f>'Kostnader 2012'!C20</f>
        <v>Dry bulk</v>
      </c>
      <c r="C16">
        <f>'Kostnader 2012'!D20</f>
        <v>17000</v>
      </c>
      <c r="D16">
        <f>'Kostnader 2012'!E20</f>
        <v>0</v>
      </c>
      <c r="F16" s="135">
        <f>'Kostnader 2012'!I20</f>
        <v>1550.087454527777</v>
      </c>
      <c r="G16" s="135">
        <f>'Kostnader 2012'!J20</f>
        <v>607.45717320574147</v>
      </c>
      <c r="H16" s="135">
        <f>'Kostnader 2012'!K20</f>
        <v>163.2178140749601</v>
      </c>
      <c r="I16" s="135">
        <f>'Kostnader 2012'!L20</f>
        <v>213.01307938596489</v>
      </c>
      <c r="J16" s="135">
        <f>'Kostnader 2012'!M20</f>
        <v>108.26527141148323</v>
      </c>
      <c r="K16" s="135">
        <f>'Kostnader 2012'!N20</f>
        <v>195.30256802868138</v>
      </c>
      <c r="L16" s="140">
        <f t="shared" si="0"/>
        <v>2837.3433606346084</v>
      </c>
      <c r="M16" s="140">
        <f t="shared" si="1"/>
        <v>2729.0780892231251</v>
      </c>
      <c r="W16" t="s">
        <v>526</v>
      </c>
    </row>
    <row r="17" spans="2:25" x14ac:dyDescent="0.3">
      <c r="B17" t="str">
        <f>'Kostnader 2012'!C21</f>
        <v>Dry bulk</v>
      </c>
      <c r="C17">
        <f>'Kostnader 2012'!D21</f>
        <v>45000</v>
      </c>
      <c r="D17">
        <f>'Kostnader 2012'!E21</f>
        <v>0</v>
      </c>
      <c r="F17" s="135">
        <f>'Kostnader 2012'!I21</f>
        <v>2254.3734742070642</v>
      </c>
      <c r="G17" s="135">
        <f>'Kostnader 2012'!J21</f>
        <v>686.78788690199724</v>
      </c>
      <c r="H17" s="135">
        <f>'Kostnader 2012'!K21</f>
        <v>195.66336047375759</v>
      </c>
      <c r="I17" s="135">
        <f>'Kostnader 2012'!L21</f>
        <v>208.60513506734793</v>
      </c>
      <c r="J17" s="135">
        <f>'Kostnader 2012'!M21</f>
        <v>160.25803999071064</v>
      </c>
      <c r="K17" s="135">
        <f>'Kostnader 2012'!N21</f>
        <v>302.05873719745773</v>
      </c>
      <c r="L17" s="140">
        <f t="shared" si="0"/>
        <v>3807.7466338383356</v>
      </c>
      <c r="M17" s="140">
        <f t="shared" si="1"/>
        <v>3647.488593847625</v>
      </c>
      <c r="W17" t="s">
        <v>527</v>
      </c>
      <c r="X17" t="s">
        <v>533</v>
      </c>
      <c r="Y17" t="s">
        <v>547</v>
      </c>
    </row>
    <row r="18" spans="2:25" x14ac:dyDescent="0.3">
      <c r="B18" t="str">
        <f>'Kostnader 2012'!C22</f>
        <v>Dry bulk</v>
      </c>
      <c r="C18">
        <f>'Kostnader 2012'!D22</f>
        <v>56000</v>
      </c>
      <c r="D18">
        <f>'Kostnader 2012'!E22</f>
        <v>0</v>
      </c>
      <c r="F18" s="135">
        <f>'Kostnader 2012'!I22</f>
        <v>2402.4710017097182</v>
      </c>
      <c r="G18" s="135">
        <f>'Kostnader 2012'!J22</f>
        <v>698.23435168369724</v>
      </c>
      <c r="H18" s="135">
        <f>'Kostnader 2012'!K22</f>
        <v>214.22629467255001</v>
      </c>
      <c r="I18" s="135">
        <f>'Kostnader 2012'!L22</f>
        <v>227.23059355550396</v>
      </c>
      <c r="J18" s="135">
        <f>'Kostnader 2012'!M22</f>
        <v>148.11727938535381</v>
      </c>
      <c r="K18" s="135">
        <f>'Kostnader 2012'!N22</f>
        <v>289.02875245560659</v>
      </c>
      <c r="L18" s="140">
        <f t="shared" si="0"/>
        <v>3979.30827346243</v>
      </c>
      <c r="M18" s="140">
        <f t="shared" si="1"/>
        <v>3831.1909940770761</v>
      </c>
      <c r="W18" t="s">
        <v>528</v>
      </c>
      <c r="X18" s="19" t="s">
        <v>548</v>
      </c>
      <c r="Y18" s="19" t="s">
        <v>548</v>
      </c>
    </row>
    <row r="19" spans="2:25" x14ac:dyDescent="0.3">
      <c r="B19" t="str">
        <f>'Kostnader 2012'!C23</f>
        <v>Dry bulk</v>
      </c>
      <c r="C19">
        <f>'Kostnader 2012'!D23</f>
        <v>76000</v>
      </c>
      <c r="D19">
        <f>'Kostnader 2012'!E23</f>
        <v>0</v>
      </c>
      <c r="F19" s="135">
        <f>'Kostnader 2012'!I23</f>
        <v>2780.9424608831664</v>
      </c>
      <c r="G19" s="135">
        <f>'Kostnader 2012'!J23</f>
        <v>809.86676414695819</v>
      </c>
      <c r="H19" s="135">
        <f>'Kostnader 2012'!K23</f>
        <v>234.28611598393579</v>
      </c>
      <c r="I19" s="135">
        <f>'Kostnader 2012'!L23</f>
        <v>210.58278021121524</v>
      </c>
      <c r="J19" s="135">
        <f>'Kostnader 2012'!M23</f>
        <v>159.97657712330806</v>
      </c>
      <c r="K19" s="135">
        <f>'Kostnader 2012'!N23</f>
        <v>346.5648825874124</v>
      </c>
      <c r="L19" s="140">
        <f t="shared" si="0"/>
        <v>4542.2195809359964</v>
      </c>
      <c r="M19" s="140">
        <f t="shared" si="1"/>
        <v>4382.2430038126886</v>
      </c>
      <c r="W19" t="s">
        <v>239</v>
      </c>
    </row>
    <row r="20" spans="2:25" x14ac:dyDescent="0.3">
      <c r="B20" t="str">
        <f>'Kostnader 2012'!C24</f>
        <v>Containerskip</v>
      </c>
      <c r="C20">
        <f>'Kostnader 2012'!D24</f>
        <v>8500</v>
      </c>
      <c r="D20">
        <f>'Kostnader 2012'!E24</f>
        <v>6500</v>
      </c>
      <c r="F20" s="135">
        <f>'Kostnader 2012'!I24</f>
        <v>1378.9525338580438</v>
      </c>
      <c r="G20" s="135">
        <f>'Kostnader 2012'!J24</f>
        <v>639.19708158567778</v>
      </c>
      <c r="H20" s="135">
        <f>'Kostnader 2012'!K24</f>
        <v>141.35957723785162</v>
      </c>
      <c r="I20" s="135">
        <f>'Kostnader 2012'!L24</f>
        <v>152.99129462915602</v>
      </c>
      <c r="J20" s="135">
        <f>'Kostnader 2012'!M24</f>
        <v>118.02772058823527</v>
      </c>
      <c r="K20" s="135">
        <f>'Kostnader 2012'!N24</f>
        <v>144.99957768962292</v>
      </c>
      <c r="L20" s="140">
        <f t="shared" si="0"/>
        <v>2575.5277855885874</v>
      </c>
      <c r="M20" s="140">
        <f t="shared" si="1"/>
        <v>2457.5000650003522</v>
      </c>
    </row>
    <row r="21" spans="2:25" x14ac:dyDescent="0.3">
      <c r="B21" t="str">
        <f>'Kostnader 2012'!C25</f>
        <v>Containerskip</v>
      </c>
      <c r="C21">
        <f>'Kostnader 2012'!D25</f>
        <v>14200</v>
      </c>
      <c r="D21">
        <f>'Kostnader 2012'!E25</f>
        <v>12500</v>
      </c>
      <c r="F21" s="135">
        <f>'Kostnader 2012'!I25</f>
        <v>1454.6468256927335</v>
      </c>
      <c r="G21" s="135">
        <f>'Kostnader 2012'!J25</f>
        <v>634.3229935064935</v>
      </c>
      <c r="H21" s="135">
        <f>'Kostnader 2012'!K25</f>
        <v>183.76440909090911</v>
      </c>
      <c r="I21" s="135">
        <f>'Kostnader 2012'!L25</f>
        <v>180.73728219696969</v>
      </c>
      <c r="J21" s="135">
        <f>'Kostnader 2012'!M25</f>
        <v>143.26704761904762</v>
      </c>
      <c r="K21" s="135">
        <f>'Kostnader 2012'!N25</f>
        <v>191.29375376628644</v>
      </c>
      <c r="L21" s="140">
        <f t="shared" si="0"/>
        <v>2788.03231187244</v>
      </c>
      <c r="M21" s="140">
        <f t="shared" si="1"/>
        <v>2644.7652642533922</v>
      </c>
    </row>
    <row r="22" spans="2:25" x14ac:dyDescent="0.3">
      <c r="B22" t="str">
        <f>'Kostnader 2012'!C26</f>
        <v>Containerskip</v>
      </c>
      <c r="C22">
        <f>'Kostnader 2012'!D26</f>
        <v>23000</v>
      </c>
      <c r="D22">
        <f>'Kostnader 2012'!E26</f>
        <v>16800</v>
      </c>
      <c r="F22" s="135">
        <f>'Kostnader 2012'!I26</f>
        <v>1783.7524423652974</v>
      </c>
      <c r="G22" s="135">
        <f>'Kostnader 2012'!J26</f>
        <v>692.32810674486791</v>
      </c>
      <c r="H22" s="135">
        <f>'Kostnader 2012'!K26</f>
        <v>200.74930943304003</v>
      </c>
      <c r="I22" s="135">
        <f>'Kostnader 2012'!L26</f>
        <v>205.27157595307915</v>
      </c>
      <c r="J22" s="135">
        <f>'Kostnader 2012'!M26</f>
        <v>153.40595403225808</v>
      </c>
      <c r="K22" s="135">
        <f>'Kostnader 2012'!N26</f>
        <v>208.58299389506098</v>
      </c>
      <c r="L22" s="140">
        <f t="shared" si="0"/>
        <v>3244.0903824236043</v>
      </c>
      <c r="M22" s="140">
        <f t="shared" si="1"/>
        <v>3090.684428391346</v>
      </c>
    </row>
    <row r="23" spans="2:25" x14ac:dyDescent="0.3">
      <c r="B23" t="str">
        <f>'Kostnader 2012'!C27</f>
        <v>Containerskip</v>
      </c>
      <c r="C23">
        <f>'Kostnader 2012'!D27</f>
        <v>34200</v>
      </c>
      <c r="D23">
        <f>'Kostnader 2012'!E27</f>
        <v>26400</v>
      </c>
      <c r="F23" s="135">
        <f>'Kostnader 2012'!I27</f>
        <v>2069.1133333333332</v>
      </c>
      <c r="G23" s="135">
        <f>'Kostnader 2012'!J27</f>
        <v>725.15582147477357</v>
      </c>
      <c r="H23" s="135">
        <f>'Kostnader 2012'!K27</f>
        <v>242.579581716257</v>
      </c>
      <c r="I23" s="135">
        <f>'Kostnader 2012'!L27</f>
        <v>307.58316084519191</v>
      </c>
      <c r="J23" s="135">
        <f>'Kostnader 2012'!M27</f>
        <v>160.35651142733934</v>
      </c>
      <c r="K23" s="135">
        <f>'Kostnader 2012'!N27</f>
        <v>228.15825786977143</v>
      </c>
      <c r="L23" s="140">
        <f t="shared" si="0"/>
        <v>3732.9466666666658</v>
      </c>
      <c r="M23" s="140">
        <f t="shared" si="1"/>
        <v>3572.5901552393266</v>
      </c>
    </row>
    <row r="24" spans="2:25" x14ac:dyDescent="0.3">
      <c r="B24" t="str">
        <f>'Kostnader 2012'!C28</f>
        <v>Containerskip</v>
      </c>
      <c r="C24">
        <f>'Kostnader 2012'!D28</f>
        <v>50300</v>
      </c>
      <c r="D24">
        <f>'Kostnader 2012'!E28</f>
        <v>40500</v>
      </c>
      <c r="F24" s="135">
        <f>'Kostnader 2012'!I28</f>
        <v>3032.3983333333331</v>
      </c>
      <c r="G24" s="135">
        <f>'Kostnader 2012'!J28</f>
        <v>865.85769728331184</v>
      </c>
      <c r="H24" s="135">
        <f>'Kostnader 2012'!K28</f>
        <v>289.64726175075464</v>
      </c>
      <c r="I24" s="135">
        <f>'Kostnader 2012'!L28</f>
        <v>367.26347563605003</v>
      </c>
      <c r="J24" s="135">
        <f>'Kostnader 2012'!M28</f>
        <v>191.47046140577834</v>
      </c>
      <c r="K24" s="135">
        <f>'Kostnader 2012'!N28</f>
        <v>272.4277705907719</v>
      </c>
      <c r="L24" s="140">
        <f t="shared" si="0"/>
        <v>5019.0649999999996</v>
      </c>
      <c r="M24" s="140">
        <f t="shared" si="1"/>
        <v>4827.5945385942214</v>
      </c>
    </row>
    <row r="25" spans="2:25" x14ac:dyDescent="0.3">
      <c r="B25" t="str">
        <f>'Kostnader 2012'!C29</f>
        <v>RoRo lasteskip</v>
      </c>
      <c r="C25">
        <f>'Kostnader 2012'!D29</f>
        <v>3500</v>
      </c>
      <c r="D25">
        <f>'Kostnader 2012'!E29</f>
        <v>5000</v>
      </c>
      <c r="F25" s="135">
        <f>'Kostnader 2012'!I29</f>
        <v>926.00711886362478</v>
      </c>
      <c r="G25" s="135">
        <f>'Kostnader 2012'!J29</f>
        <v>461.31220876048462</v>
      </c>
      <c r="H25" s="135">
        <f>'Kostnader 2012'!K29</f>
        <v>105.24547996272133</v>
      </c>
      <c r="I25" s="135">
        <f>'Kostnader 2012'!L29</f>
        <v>149.30493942218078</v>
      </c>
      <c r="J25" s="135">
        <f>'Kostnader 2012'!M29</f>
        <v>69.749301025163092</v>
      </c>
      <c r="K25" s="135">
        <f>'Kostnader 2012'!N29</f>
        <v>103.58807082945013</v>
      </c>
      <c r="L25" s="140">
        <f t="shared" si="0"/>
        <v>1815.2071188636246</v>
      </c>
      <c r="M25" s="140">
        <f t="shared" si="1"/>
        <v>1745.4578178384616</v>
      </c>
    </row>
    <row r="26" spans="2:25" x14ac:dyDescent="0.3">
      <c r="B26" t="str">
        <f>'Kostnader 2012'!C30</f>
        <v>RoRo lasteskip</v>
      </c>
      <c r="C26">
        <f>'Kostnader 2012'!D30</f>
        <v>8000</v>
      </c>
      <c r="D26">
        <f>'Kostnader 2012'!E30</f>
        <v>10000</v>
      </c>
      <c r="F26" s="135">
        <f>'Kostnader 2012'!I30</f>
        <v>2961.9505500530772</v>
      </c>
      <c r="G26" s="135">
        <f>'Kostnader 2012'!J30</f>
        <v>781.78186619090104</v>
      </c>
      <c r="H26" s="135">
        <f>'Kostnader 2012'!K30</f>
        <v>220.27564531668153</v>
      </c>
      <c r="I26" s="135">
        <f>'Kostnader 2012'!L30</f>
        <v>200.48525530776092</v>
      </c>
      <c r="J26" s="135">
        <f>'Kostnader 2012'!M30</f>
        <v>169.52435789473682</v>
      </c>
      <c r="K26" s="135">
        <f>'Kostnader 2012'!N30</f>
        <v>233.94124915404134</v>
      </c>
      <c r="L26" s="140">
        <f t="shared" si="0"/>
        <v>4567.9589239171992</v>
      </c>
      <c r="M26" s="140">
        <f t="shared" si="1"/>
        <v>4398.4345660224626</v>
      </c>
    </row>
    <row r="27" spans="2:25" x14ac:dyDescent="0.3">
      <c r="B27" t="str">
        <f>'Kostnader 2012'!C31</f>
        <v>RoRo lasteskip</v>
      </c>
      <c r="C27">
        <f>'Kostnader 2012'!D31</f>
        <v>15000</v>
      </c>
      <c r="D27">
        <f>'Kostnader 2012'!E31</f>
        <v>24000</v>
      </c>
      <c r="F27" s="135">
        <f>'Kostnader 2012'!I31</f>
        <v>3504.9748175628079</v>
      </c>
      <c r="G27" s="135">
        <f>'Kostnader 2012'!J31</f>
        <v>895.79172167707407</v>
      </c>
      <c r="H27" s="135">
        <f>'Kostnader 2012'!K31</f>
        <v>207.68846558429968</v>
      </c>
      <c r="I27" s="135">
        <f>'Kostnader 2012'!L31</f>
        <v>267.79101958965208</v>
      </c>
      <c r="J27" s="135">
        <f>'Kostnader 2012'!M31</f>
        <v>152.57192210526313</v>
      </c>
      <c r="K27" s="135">
        <f>'Kostnader 2012'!N31</f>
        <v>237.54034529487271</v>
      </c>
      <c r="L27" s="140">
        <f t="shared" si="0"/>
        <v>5266.35829181397</v>
      </c>
      <c r="M27" s="140">
        <f t="shared" si="1"/>
        <v>5113.7863697087068</v>
      </c>
    </row>
    <row r="28" spans="2:25" x14ac:dyDescent="0.3">
      <c r="B28" s="135" t="str">
        <f>'Kostnader 2012'!C51</f>
        <v>Stykkgodsskip</v>
      </c>
      <c r="C28" s="135">
        <f>'Kostnader 2012'!D51</f>
        <v>1250</v>
      </c>
      <c r="D28" s="135">
        <f>'Kostnader 2012'!E51</f>
        <v>500</v>
      </c>
      <c r="E28" s="135"/>
      <c r="F28" s="135">
        <f>'Kostnader 2012'!I51</f>
        <v>511.85129957387994</v>
      </c>
      <c r="G28" s="135">
        <f>'Kostnader 2012'!J51</f>
        <v>199.21032857142856</v>
      </c>
      <c r="H28" s="135">
        <f>'Kostnader 2012'!K51</f>
        <v>30.405228571428577</v>
      </c>
      <c r="I28" s="135">
        <f>'Kostnader 2012'!L51</f>
        <v>53.103050000000003</v>
      </c>
      <c r="J28" s="135">
        <f>'Kostnader 2012'!M51</f>
        <v>36.415035714285722</v>
      </c>
      <c r="K28" s="135">
        <f>'Kostnader 2012'!N51</f>
        <v>69.485598302150407</v>
      </c>
      <c r="L28" s="135">
        <f>'Kostnader 2012'!O51</f>
        <v>51.278015801980821</v>
      </c>
      <c r="M28" s="135">
        <f>'Kostnader 2012'!P51</f>
        <v>864.05550501888752</v>
      </c>
    </row>
    <row r="29" spans="2:25" x14ac:dyDescent="0.3">
      <c r="B29" s="135" t="str">
        <f>'Kostnader 2012'!C52</f>
        <v>Stykkgodsskip</v>
      </c>
      <c r="C29" s="135">
        <f>'Kostnader 2012'!D52</f>
        <v>2530</v>
      </c>
      <c r="D29" s="135">
        <f>'Kostnader 2012'!E52</f>
        <v>1850</v>
      </c>
      <c r="E29" s="135"/>
      <c r="F29" s="135">
        <f>'Kostnader 2012'!I52</f>
        <v>627.17582077416773</v>
      </c>
      <c r="G29" s="135">
        <f>'Kostnader 2012'!J52</f>
        <v>358.57859142857131</v>
      </c>
      <c r="H29" s="135">
        <f>'Kostnader 2012'!K52</f>
        <v>54.729411428571424</v>
      </c>
      <c r="I29" s="135">
        <f>'Kostnader 2012'!L52</f>
        <v>95.585490000000007</v>
      </c>
      <c r="J29" s="135">
        <f>'Kostnader 2012'!M52</f>
        <v>65.547064285714285</v>
      </c>
      <c r="K29" s="135">
        <f>'Kostnader 2012'!N52</f>
        <v>125.07407694387069</v>
      </c>
      <c r="L29" s="135">
        <f>'Kostnader 2012'!O52</f>
        <v>79.149871217719323</v>
      </c>
      <c r="M29" s="135">
        <f>'Kostnader 2012'!P52</f>
        <v>1261.1433905751812</v>
      </c>
    </row>
    <row r="30" spans="2:25" x14ac:dyDescent="0.3">
      <c r="B30" s="135" t="str">
        <f>'Kostnader 2012'!C53</f>
        <v>Stykkgodsskip</v>
      </c>
      <c r="C30" s="135">
        <f>'Kostnader 2012'!D53</f>
        <v>4440</v>
      </c>
      <c r="D30" s="135">
        <f>'Kostnader 2012'!E53</f>
        <v>3200</v>
      </c>
      <c r="E30" s="135"/>
      <c r="F30" s="135">
        <f>'Kostnader 2012'!I53</f>
        <v>862.56422705968657</v>
      </c>
      <c r="G30" s="135">
        <f>'Kostnader 2012'!J53</f>
        <v>510.28491857142848</v>
      </c>
      <c r="H30" s="135">
        <f>'Kostnader 2012'!K53</f>
        <v>112.49934571428571</v>
      </c>
      <c r="I30" s="135">
        <f>'Kostnader 2012'!L53</f>
        <v>121.63127166666666</v>
      </c>
      <c r="J30" s="135">
        <f>'Kostnader 2012'!M53</f>
        <v>89.823754761904766</v>
      </c>
      <c r="K30" s="135">
        <f>'Kostnader 2012'!N53</f>
        <v>117.83599378739672</v>
      </c>
      <c r="L30" s="135">
        <f>'Kostnader 2012'!O53</f>
        <v>100.65637398048395</v>
      </c>
      <c r="M30" s="135">
        <f>'Kostnader 2012'!P53</f>
        <v>1724.8157567994642</v>
      </c>
    </row>
    <row r="31" spans="2:25" x14ac:dyDescent="0.3">
      <c r="B31" s="135" t="str">
        <f>'Kostnader 2012'!C54</f>
        <v>Stykkgodsskip</v>
      </c>
      <c r="C31" s="135">
        <f>'Kostnader 2012'!D54</f>
        <v>9500</v>
      </c>
      <c r="D31" s="135">
        <f>'Kostnader 2012'!E54</f>
        <v>6500</v>
      </c>
      <c r="E31" s="135"/>
      <c r="F31" s="135">
        <f>'Kostnader 2012'!I54</f>
        <v>749.22166666666669</v>
      </c>
      <c r="G31" s="135">
        <f>'Kostnader 2012'!J54</f>
        <v>629.15979388526273</v>
      </c>
      <c r="H31" s="135">
        <f>'Kostnader 2012'!K54</f>
        <v>82.698838886980411</v>
      </c>
      <c r="I31" s="135">
        <f>'Kostnader 2012'!L54</f>
        <v>167.01922363448983</v>
      </c>
      <c r="J31" s="135">
        <f>'Kostnader 2012'!M54</f>
        <v>110.26511851597388</v>
      </c>
      <c r="K31" s="135">
        <f>'Kostnader 2012'!N54</f>
        <v>190.93702507729301</v>
      </c>
      <c r="L31" s="135">
        <f>'Kostnader 2012'!O54</f>
        <v>181.33216328293736</v>
      </c>
      <c r="M31" s="135">
        <f>'Kostnader 2012'!P54</f>
        <v>1819.0365481506929</v>
      </c>
    </row>
    <row r="32" spans="2:25" x14ac:dyDescent="0.3">
      <c r="B32" t="str">
        <f>'Kostnader 2012'!C32</f>
        <v>Kjøle/fryseskip</v>
      </c>
      <c r="C32">
        <f>'Kostnader 2012'!D32</f>
        <v>3500</v>
      </c>
      <c r="D32">
        <f>'Kostnader 2012'!E32</f>
        <v>3100</v>
      </c>
      <c r="F32" s="135">
        <f>'Kostnader 2012'!I32</f>
        <v>274.40833333333336</v>
      </c>
      <c r="G32" s="135">
        <f>'Kostnader 2012'!J32</f>
        <v>486.83349729463845</v>
      </c>
      <c r="H32" s="135">
        <f>'Kostnader 2012'!K32</f>
        <v>153.91047712739794</v>
      </c>
      <c r="I32" s="135">
        <f>'Kostnader 2012'!L32</f>
        <v>267.51106738809642</v>
      </c>
      <c r="J32" s="135">
        <f>'Kostnader 2012'!M32</f>
        <v>89.231431382193804</v>
      </c>
      <c r="K32" s="135">
        <f>'Kostnader 2012'!N32</f>
        <v>120.01352680767339</v>
      </c>
      <c r="L32" s="140">
        <f t="shared" ref="L32:L55" si="2">SUM(F32:K32)</f>
        <v>1391.9083333333331</v>
      </c>
      <c r="M32" s="140">
        <f t="shared" si="1"/>
        <v>1302.6769019511394</v>
      </c>
    </row>
    <row r="33" spans="2:13" x14ac:dyDescent="0.3">
      <c r="B33" t="str">
        <f>'Kostnader 2012'!C33</f>
        <v>Kjøle/fryseskip</v>
      </c>
      <c r="C33">
        <f>'Kostnader 2012'!D33</f>
        <v>6500</v>
      </c>
      <c r="D33">
        <f>'Kostnader 2012'!E33</f>
        <v>6000</v>
      </c>
      <c r="F33" s="135">
        <f>'Kostnader 2012'!I33</f>
        <v>238.89666666666665</v>
      </c>
      <c r="G33" s="135">
        <f>'Kostnader 2012'!J33</f>
        <v>595.01871891566918</v>
      </c>
      <c r="H33" s="135">
        <f>'Kostnader 2012'!K33</f>
        <v>188.11280537793081</v>
      </c>
      <c r="I33" s="135">
        <f>'Kostnader 2012'!L33</f>
        <v>326.95797125211783</v>
      </c>
      <c r="J33" s="135">
        <f>'Kostnader 2012'!M33</f>
        <v>109.06063835601465</v>
      </c>
      <c r="K33" s="135">
        <f>'Kostnader 2012'!N33</f>
        <v>146.6831994316008</v>
      </c>
      <c r="L33" s="140">
        <f t="shared" si="2"/>
        <v>1604.7299999999998</v>
      </c>
      <c r="M33" s="140">
        <f t="shared" si="1"/>
        <v>1495.6693616439852</v>
      </c>
    </row>
    <row r="34" spans="2:13" x14ac:dyDescent="0.3">
      <c r="B34" t="str">
        <f>'Kostnader 2012'!C34</f>
        <v>Kjøle/fryseskip</v>
      </c>
      <c r="C34">
        <f>'Kostnader 2012'!D34</f>
        <v>13700</v>
      </c>
      <c r="D34">
        <f>'Kostnader 2012'!E34</f>
        <v>13400</v>
      </c>
      <c r="F34" s="135">
        <f>'Kostnader 2012'!I34</f>
        <v>1513.885836693795</v>
      </c>
      <c r="G34" s="135">
        <f>'Kostnader 2012'!J34</f>
        <v>681.77652341296925</v>
      </c>
      <c r="H34" s="135">
        <f>'Kostnader 2012'!K34</f>
        <v>231.14842935153581</v>
      </c>
      <c r="I34" s="135">
        <f>'Kostnader 2012'!L34</f>
        <v>363.98825888509668</v>
      </c>
      <c r="J34" s="135">
        <f>'Kostnader 2012'!M34</f>
        <v>124.11052468714445</v>
      </c>
      <c r="K34" s="135">
        <f>'Kostnader 2012'!N34</f>
        <v>189.86366535285288</v>
      </c>
      <c r="L34" s="140">
        <f t="shared" si="2"/>
        <v>3104.7732383833941</v>
      </c>
      <c r="M34" s="140">
        <f t="shared" si="1"/>
        <v>2980.6627136962497</v>
      </c>
    </row>
    <row r="35" spans="2:13" x14ac:dyDescent="0.3">
      <c r="B35" t="str">
        <f>'Kostnader 2012'!C35</f>
        <v>Oljetankere</v>
      </c>
      <c r="C35">
        <f>'Kostnader 2012'!D35</f>
        <v>3500</v>
      </c>
      <c r="D35">
        <f>'Kostnader 2012'!E35</f>
        <v>0</v>
      </c>
      <c r="F35" s="135">
        <f>'Kostnader 2012'!I35</f>
        <v>683.11346972784429</v>
      </c>
      <c r="G35" s="135">
        <f>'Kostnader 2012'!J35</f>
        <v>664.05693632232135</v>
      </c>
      <c r="H35" s="135">
        <f>'Kostnader 2012'!K35</f>
        <v>110.47670397482958</v>
      </c>
      <c r="I35" s="135">
        <f>'Kostnader 2012'!L35</f>
        <v>169.36443657402555</v>
      </c>
      <c r="J35" s="135">
        <f>'Kostnader 2012'!M35</f>
        <v>58.117571106449937</v>
      </c>
      <c r="K35" s="135">
        <f>'Kostnader 2012'!N35</f>
        <v>237.60855530212058</v>
      </c>
      <c r="L35" s="140">
        <f t="shared" si="2"/>
        <v>1922.7376730075914</v>
      </c>
      <c r="M35" s="140">
        <f t="shared" si="1"/>
        <v>1864.6201019011414</v>
      </c>
    </row>
    <row r="36" spans="2:13" x14ac:dyDescent="0.3">
      <c r="B36" t="str">
        <f>'Kostnader 2012'!C36</f>
        <v>Oljetankere</v>
      </c>
      <c r="C36">
        <f>'Kostnader 2012'!D36</f>
        <v>9500</v>
      </c>
      <c r="D36">
        <f>'Kostnader 2012'!E36</f>
        <v>0</v>
      </c>
      <c r="F36" s="135">
        <f>'Kostnader 2012'!I36</f>
        <v>944.62350426840817</v>
      </c>
      <c r="G36" s="135">
        <f>'Kostnader 2012'!J36</f>
        <v>779.54509916098573</v>
      </c>
      <c r="H36" s="135">
        <f>'Kostnader 2012'!K36</f>
        <v>129.69004379653907</v>
      </c>
      <c r="I36" s="135">
        <f>'Kostnader 2012'!L36</f>
        <v>227.22185279496586</v>
      </c>
      <c r="J36" s="135">
        <f>'Kostnader 2012'!M36</f>
        <v>81.869969732564229</v>
      </c>
      <c r="K36" s="135">
        <f>'Kostnader 2012'!N36</f>
        <v>229.70852660921119</v>
      </c>
      <c r="L36" s="140">
        <f t="shared" si="2"/>
        <v>2392.6589963626743</v>
      </c>
      <c r="M36" s="140">
        <f t="shared" si="1"/>
        <v>2310.7890266301101</v>
      </c>
    </row>
    <row r="37" spans="2:13" x14ac:dyDescent="0.3">
      <c r="B37" t="str">
        <f>'Kostnader 2012'!C37</f>
        <v>Oljetankere</v>
      </c>
      <c r="C37">
        <f>'Kostnader 2012'!D37</f>
        <v>17000</v>
      </c>
      <c r="D37">
        <f>'Kostnader 2012'!E37</f>
        <v>0</v>
      </c>
      <c r="F37" s="135">
        <f>'Kostnader 2012'!I37</f>
        <v>1364.7781304000623</v>
      </c>
      <c r="G37" s="135">
        <f>'Kostnader 2012'!J37</f>
        <v>1197.7362145051463</v>
      </c>
      <c r="H37" s="135">
        <f>'Kostnader 2012'!K37</f>
        <v>173.9597249722882</v>
      </c>
      <c r="I37" s="135">
        <f>'Kostnader 2012'!L37</f>
        <v>385.74225694265346</v>
      </c>
      <c r="J37" s="135">
        <f>'Kostnader 2012'!M37</f>
        <v>123.54330854088902</v>
      </c>
      <c r="K37" s="135">
        <f>'Kostnader 2012'!N37</f>
        <v>294.98856305584371</v>
      </c>
      <c r="L37" s="140">
        <f t="shared" si="2"/>
        <v>3540.748198416883</v>
      </c>
      <c r="M37" s="140">
        <f t="shared" si="1"/>
        <v>3417.204889875994</v>
      </c>
    </row>
    <row r="38" spans="2:13" x14ac:dyDescent="0.3">
      <c r="B38" t="str">
        <f>'Kostnader 2012'!C38</f>
        <v>Oljetankere</v>
      </c>
      <c r="C38">
        <f>'Kostnader 2012'!D38</f>
        <v>37000</v>
      </c>
      <c r="D38">
        <f>'Kostnader 2012'!E38</f>
        <v>0</v>
      </c>
      <c r="F38" s="135">
        <f>'Kostnader 2012'!I38</f>
        <v>2690.4384162982119</v>
      </c>
      <c r="G38" s="135">
        <f>'Kostnader 2012'!J38</f>
        <v>1031.2963794579171</v>
      </c>
      <c r="H38" s="135">
        <f>'Kostnader 2012'!K38</f>
        <v>223.61711697574893</v>
      </c>
      <c r="I38" s="135">
        <f>'Kostnader 2012'!L38</f>
        <v>289.26511412268184</v>
      </c>
      <c r="J38" s="135">
        <f>'Kostnader 2012'!M38</f>
        <v>130.25150641940084</v>
      </c>
      <c r="K38" s="135">
        <f>'Kostnader 2012'!N38</f>
        <v>315.28000204159122</v>
      </c>
      <c r="L38" s="140">
        <f t="shared" si="2"/>
        <v>4680.1485353155522</v>
      </c>
      <c r="M38" s="140">
        <f t="shared" si="1"/>
        <v>4549.8970288961509</v>
      </c>
    </row>
    <row r="39" spans="2:13" x14ac:dyDescent="0.3">
      <c r="B39" t="str">
        <f>'Kostnader 2012'!C39</f>
        <v>Oljetankere</v>
      </c>
      <c r="C39">
        <f>'Kostnader 2012'!D39</f>
        <v>100000</v>
      </c>
      <c r="D39">
        <f>'Kostnader 2012'!E39</f>
        <v>0</v>
      </c>
      <c r="F39" s="135">
        <f>'Kostnader 2012'!I39</f>
        <v>4039.7714446557247</v>
      </c>
      <c r="G39" s="135">
        <f>'Kostnader 2012'!J39</f>
        <v>1129.5498549056601</v>
      </c>
      <c r="H39" s="135">
        <f>'Kostnader 2012'!K39</f>
        <v>226.01289905660377</v>
      </c>
      <c r="I39" s="135">
        <f>'Kostnader 2012'!L39</f>
        <v>298.70585235849063</v>
      </c>
      <c r="J39" s="135">
        <f>'Kostnader 2012'!M39</f>
        <v>183.72661471698112</v>
      </c>
      <c r="K39" s="135">
        <f>'Kostnader 2012'!N39</f>
        <v>382.15532418592659</v>
      </c>
      <c r="L39" s="140">
        <f t="shared" si="2"/>
        <v>6259.9219898793872</v>
      </c>
      <c r="M39" s="140">
        <f t="shared" si="1"/>
        <v>6076.195375162406</v>
      </c>
    </row>
    <row r="40" spans="2:13" x14ac:dyDescent="0.3">
      <c r="B40" t="str">
        <f>'Kostnader 2012'!C40</f>
        <v>Oljetankere</v>
      </c>
      <c r="C40">
        <f>'Kostnader 2012'!D40</f>
        <v>150000</v>
      </c>
      <c r="D40">
        <f>'Kostnader 2012'!E40</f>
        <v>0</v>
      </c>
      <c r="F40" s="135">
        <f>'Kostnader 2012'!I40</f>
        <v>4903.673688421206</v>
      </c>
      <c r="G40" s="135">
        <f>'Kostnader 2012'!J40</f>
        <v>1294.890097746229</v>
      </c>
      <c r="H40" s="135">
        <f>'Kostnader 2012'!K40</f>
        <v>283.8641351079562</v>
      </c>
      <c r="I40" s="135">
        <f>'Kostnader 2012'!L40</f>
        <v>284.13320063886414</v>
      </c>
      <c r="J40" s="135">
        <f>'Kostnader 2012'!M40</f>
        <v>230.41793646850047</v>
      </c>
      <c r="K40" s="135">
        <f>'Kostnader 2012'!N40</f>
        <v>461.04812383158657</v>
      </c>
      <c r="L40" s="140">
        <f t="shared" si="2"/>
        <v>7458.0271822143422</v>
      </c>
      <c r="M40" s="140">
        <f t="shared" si="1"/>
        <v>7227.6092457458417</v>
      </c>
    </row>
    <row r="41" spans="2:13" x14ac:dyDescent="0.3">
      <c r="B41" t="str">
        <f>'Kostnader 2012'!C41</f>
        <v>Oljetankere</v>
      </c>
      <c r="C41">
        <f>'Kostnader 2012'!D41</f>
        <v>310000</v>
      </c>
      <c r="D41">
        <f>'Kostnader 2012'!E41</f>
        <v>0</v>
      </c>
      <c r="F41" s="135">
        <f>'Kostnader 2012'!I41</f>
        <v>7898.5348001415396</v>
      </c>
      <c r="G41" s="135">
        <f>'Kostnader 2012'!J41</f>
        <v>1287.1853742494427</v>
      </c>
      <c r="H41" s="135">
        <f>'Kostnader 2012'!K41</f>
        <v>366.26135351260933</v>
      </c>
      <c r="I41" s="135">
        <f>'Kostnader 2012'!L41</f>
        <v>392.2175292717447</v>
      </c>
      <c r="J41" s="135">
        <f>'Kostnader 2012'!M41</f>
        <v>318.04529284611419</v>
      </c>
      <c r="K41" s="135">
        <f>'Kostnader 2012'!N41</f>
        <v>443.1548356054916</v>
      </c>
      <c r="L41" s="140">
        <f t="shared" si="2"/>
        <v>10705.399185626942</v>
      </c>
      <c r="M41" s="140">
        <f t="shared" si="1"/>
        <v>10387.353892780828</v>
      </c>
    </row>
    <row r="42" spans="2:13" x14ac:dyDescent="0.3">
      <c r="B42" t="str">
        <f>'Kostnader 2012'!C42</f>
        <v>Produkt- og kjemikalieskip</v>
      </c>
      <c r="C42">
        <f>'Kostnader 2012'!D42</f>
        <v>3500</v>
      </c>
      <c r="D42">
        <f>'Kostnader 2012'!E42</f>
        <v>2400</v>
      </c>
      <c r="F42" s="135">
        <f>'Kostnader 2012'!I42</f>
        <v>570.91833333333329</v>
      </c>
      <c r="G42" s="135">
        <f>'Kostnader 2012'!J42</f>
        <v>635.11040965207633</v>
      </c>
      <c r="H42" s="135">
        <f>'Kostnader 2012'!K42</f>
        <v>99.521464646464651</v>
      </c>
      <c r="I42" s="135">
        <f>'Kostnader 2012'!L42</f>
        <v>169.23456790123456</v>
      </c>
      <c r="J42" s="135">
        <f>'Kostnader 2012'!M42</f>
        <v>57.693602693602692</v>
      </c>
      <c r="K42" s="135">
        <f>'Kostnader 2012'!N42</f>
        <v>180.77328843995511</v>
      </c>
      <c r="L42" s="140">
        <f t="shared" si="2"/>
        <v>1713.251666666667</v>
      </c>
      <c r="M42" s="140">
        <f t="shared" si="1"/>
        <v>1655.5580639730642</v>
      </c>
    </row>
    <row r="43" spans="2:13" x14ac:dyDescent="0.3">
      <c r="B43" t="str">
        <f>'Kostnader 2012'!C43</f>
        <v>Produkt- og kjemikalieskip</v>
      </c>
      <c r="C43">
        <f>'Kostnader 2012'!D43</f>
        <v>8000</v>
      </c>
      <c r="D43">
        <f>'Kostnader 2012'!E43</f>
        <v>5300</v>
      </c>
      <c r="F43" s="135">
        <f>'Kostnader 2012'!I43</f>
        <v>1464.5199941929102</v>
      </c>
      <c r="G43" s="135">
        <f>'Kostnader 2012'!J43</f>
        <v>915.51426801337323</v>
      </c>
      <c r="H43" s="135">
        <f>'Kostnader 2012'!K43</f>
        <v>143.48964814398195</v>
      </c>
      <c r="I43" s="135">
        <f>'Kostnader 2012'!L43</f>
        <v>257.70636260467444</v>
      </c>
      <c r="J43" s="135">
        <f>'Kostnader 2012'!M43</f>
        <v>94.581632827146592</v>
      </c>
      <c r="K43" s="135">
        <f>'Kostnader 2012'!N43</f>
        <v>267.61225575793429</v>
      </c>
      <c r="L43" s="140">
        <f t="shared" si="2"/>
        <v>3143.4241615400206</v>
      </c>
      <c r="M43" s="140">
        <f t="shared" si="1"/>
        <v>3048.8425287128739</v>
      </c>
    </row>
    <row r="44" spans="2:13" x14ac:dyDescent="0.3">
      <c r="B44" t="str">
        <f>'Kostnader 2012'!C44</f>
        <v>Produkt- og kjemikalieskip</v>
      </c>
      <c r="C44">
        <f>'Kostnader 2012'!D44</f>
        <v>19000</v>
      </c>
      <c r="D44">
        <f>'Kostnader 2012'!E44</f>
        <v>11600</v>
      </c>
      <c r="F44" s="135">
        <f>'Kostnader 2012'!I44</f>
        <v>1908.8125767008723</v>
      </c>
      <c r="G44" s="135">
        <f>'Kostnader 2012'!J44</f>
        <v>1075.569209973753</v>
      </c>
      <c r="H44" s="135">
        <f>'Kostnader 2012'!K44</f>
        <v>147.16886989126357</v>
      </c>
      <c r="I44" s="135">
        <f>'Kostnader 2012'!L44</f>
        <v>334.52268222722159</v>
      </c>
      <c r="J44" s="135">
        <f>'Kostnader 2012'!M44</f>
        <v>109.13265326209221</v>
      </c>
      <c r="K44" s="135">
        <f>'Kostnader 2012'!N44</f>
        <v>264.67146173861624</v>
      </c>
      <c r="L44" s="140">
        <f t="shared" si="2"/>
        <v>3839.8774537938189</v>
      </c>
      <c r="M44" s="140">
        <f t="shared" si="1"/>
        <v>3730.7448005317265</v>
      </c>
    </row>
    <row r="45" spans="2:13" x14ac:dyDescent="0.3">
      <c r="B45" t="str">
        <f>'Kostnader 2012'!C45</f>
        <v>Produkt- og kjemikalieskip</v>
      </c>
      <c r="C45">
        <f>'Kostnader 2012'!D45</f>
        <v>35000</v>
      </c>
      <c r="D45">
        <f>'Kostnader 2012'!E45</f>
        <v>23000</v>
      </c>
      <c r="F45" s="135">
        <f>'Kostnader 2012'!I45</f>
        <v>2898.1741666666662</v>
      </c>
      <c r="G45" s="135">
        <f>'Kostnader 2012'!J45</f>
        <v>1195.6836111111111</v>
      </c>
      <c r="H45" s="135">
        <f>'Kostnader 2012'!K45</f>
        <v>216.71222222222221</v>
      </c>
      <c r="I45" s="135">
        <f>'Kostnader 2012'!L45</f>
        <v>391.125</v>
      </c>
      <c r="J45" s="135">
        <f>'Kostnader 2012'!M45</f>
        <v>146.01999999999998</v>
      </c>
      <c r="K45" s="135">
        <f>'Kostnader 2012'!N45</f>
        <v>295.51666666666665</v>
      </c>
      <c r="L45" s="140">
        <f t="shared" si="2"/>
        <v>5143.2316666666666</v>
      </c>
      <c r="M45" s="140">
        <f t="shared" si="1"/>
        <v>4997.2116666666661</v>
      </c>
    </row>
    <row r="46" spans="2:13" x14ac:dyDescent="0.3">
      <c r="B46" t="str">
        <f>'Kostnader 2012'!C46</f>
        <v>Gasstankskip</v>
      </c>
      <c r="C46">
        <f>'Kostnader 2012'!D46</f>
        <v>8500</v>
      </c>
      <c r="D46">
        <f>'Kostnader 2012'!E46</f>
        <v>7500</v>
      </c>
      <c r="E46">
        <f>'Kostnader 2012'!G46</f>
        <v>7500</v>
      </c>
      <c r="F46" s="135">
        <f>'Kostnader 2012'!I46</f>
        <v>2248.6359940154944</v>
      </c>
      <c r="G46" s="135">
        <f>'Kostnader 2012'!J46</f>
        <v>833.46875</v>
      </c>
      <c r="H46" s="135">
        <f>'Kostnader 2012'!K46</f>
        <v>150.01222826086956</v>
      </c>
      <c r="I46" s="135">
        <f>'Kostnader 2012'!L46</f>
        <v>212.16304347826087</v>
      </c>
      <c r="J46" s="135">
        <f>'Kostnader 2012'!M46</f>
        <v>95.554347826086953</v>
      </c>
      <c r="K46" s="135">
        <f>'Kostnader 2012'!N46</f>
        <v>198.8016304347826</v>
      </c>
      <c r="L46" s="140">
        <f t="shared" si="2"/>
        <v>3738.6359940154944</v>
      </c>
      <c r="M46" s="140">
        <f t="shared" si="1"/>
        <v>3643.0816461894074</v>
      </c>
    </row>
    <row r="47" spans="2:13" x14ac:dyDescent="0.3">
      <c r="B47" t="str">
        <f>'Kostnader 2012'!C47</f>
        <v>Gasstankskip</v>
      </c>
      <c r="C47">
        <f>'Kostnader 2012'!D47</f>
        <v>16500</v>
      </c>
      <c r="D47">
        <f>'Kostnader 2012'!E47</f>
        <v>11500</v>
      </c>
      <c r="E47">
        <f>'Kostnader 2012'!G47</f>
        <v>15000</v>
      </c>
      <c r="F47" s="135">
        <f>'Kostnader 2012'!I47</f>
        <v>2923.2267922201422</v>
      </c>
      <c r="G47" s="135">
        <f>'Kostnader 2012'!J47</f>
        <v>889.0333333333333</v>
      </c>
      <c r="H47" s="135">
        <f>'Kostnader 2012'!K47</f>
        <v>160.01304347826087</v>
      </c>
      <c r="I47" s="135">
        <f>'Kostnader 2012'!L47</f>
        <v>226.30724637681161</v>
      </c>
      <c r="J47" s="135">
        <f>'Kostnader 2012'!M47</f>
        <v>101.92463768115942</v>
      </c>
      <c r="K47" s="135">
        <f>'Kostnader 2012'!N47</f>
        <v>212.05507246376808</v>
      </c>
      <c r="L47" s="140">
        <f t="shared" si="2"/>
        <v>4512.5601255534757</v>
      </c>
      <c r="M47" s="140">
        <f t="shared" si="1"/>
        <v>4410.6354878723159</v>
      </c>
    </row>
    <row r="48" spans="2:13" x14ac:dyDescent="0.3">
      <c r="B48" t="str">
        <f>'Kostnader 2012'!C48</f>
        <v>Gasstankskip</v>
      </c>
      <c r="C48">
        <f>'Kostnader 2012'!D48</f>
        <v>30000</v>
      </c>
      <c r="D48">
        <f>'Kostnader 2012'!E48</f>
        <v>24000</v>
      </c>
      <c r="E48">
        <f>'Kostnader 2012'!G48</f>
        <v>35000</v>
      </c>
      <c r="F48" s="135">
        <f>'Kostnader 2012'!I48</f>
        <v>3597.8175904247901</v>
      </c>
      <c r="G48" s="135">
        <f>'Kostnader 2012'!J48</f>
        <v>1041.8359374999998</v>
      </c>
      <c r="H48" s="135">
        <f>'Kostnader 2012'!K48</f>
        <v>187.51528532608697</v>
      </c>
      <c r="I48" s="135">
        <f>'Kostnader 2012'!L48</f>
        <v>265.20380434782612</v>
      </c>
      <c r="J48" s="135">
        <f>'Kostnader 2012'!M48</f>
        <v>119.4429347826087</v>
      </c>
      <c r="K48" s="135">
        <f>'Kostnader 2012'!N48</f>
        <v>248.50203804347825</v>
      </c>
      <c r="L48" s="140">
        <f t="shared" si="2"/>
        <v>5460.3175904247901</v>
      </c>
      <c r="M48" s="140">
        <f t="shared" si="1"/>
        <v>5340.8746556421811</v>
      </c>
    </row>
    <row r="49" spans="2:13" x14ac:dyDescent="0.3">
      <c r="B49" t="str">
        <f>'Kostnader 2012'!C49</f>
        <v>Gasstankskip</v>
      </c>
      <c r="C49">
        <f>'Kostnader 2012'!D49</f>
        <v>42000</v>
      </c>
      <c r="D49">
        <f>'Kostnader 2012'!E49</f>
        <v>0</v>
      </c>
      <c r="E49">
        <f>'Kostnader 2012'!G49</f>
        <v>57000</v>
      </c>
      <c r="F49" s="135">
        <f>'Kostnader 2012'!I49</f>
        <v>3957.5993494672703</v>
      </c>
      <c r="G49" s="135">
        <f>'Kostnader 2012'!J49</f>
        <v>1146.0195312499998</v>
      </c>
      <c r="H49" s="135">
        <f>'Kostnader 2012'!K49</f>
        <v>206.26681385869563</v>
      </c>
      <c r="I49" s="135">
        <f>'Kostnader 2012'!L49</f>
        <v>291.72418478260869</v>
      </c>
      <c r="J49" s="135">
        <f>'Kostnader 2012'!M49</f>
        <v>131.38722826086959</v>
      </c>
      <c r="K49" s="135">
        <f>'Kostnader 2012'!N49</f>
        <v>273.35224184782606</v>
      </c>
      <c r="L49" s="140">
        <f t="shared" si="2"/>
        <v>6006.3493494672712</v>
      </c>
      <c r="M49" s="140">
        <f t="shared" si="1"/>
        <v>5874.9621212064012</v>
      </c>
    </row>
    <row r="50" spans="2:13" x14ac:dyDescent="0.3">
      <c r="B50" t="str">
        <f>'Kostnader 2012'!C50</f>
        <v>Gasstankskip</v>
      </c>
      <c r="C50">
        <f>'Kostnader 2012'!D50</f>
        <v>70000</v>
      </c>
      <c r="D50">
        <f>'Kostnader 2012'!E50</f>
        <v>0</v>
      </c>
      <c r="E50">
        <f>'Kostnader 2012'!G50</f>
        <v>145000</v>
      </c>
      <c r="F50" s="135">
        <f>'Kostnader 2012'!I50</f>
        <v>15365.67929243921</v>
      </c>
      <c r="G50" s="135">
        <f>'Kostnader 2012'!J50</f>
        <v>1215.4752604166665</v>
      </c>
      <c r="H50" s="135">
        <f>'Kostnader 2012'!K50</f>
        <v>218.76783288043475</v>
      </c>
      <c r="I50" s="135">
        <f>'Kostnader 2012'!L50</f>
        <v>309.40443840579712</v>
      </c>
      <c r="J50" s="135">
        <f>'Kostnader 2012'!M50</f>
        <v>139.35009057971016</v>
      </c>
      <c r="K50" s="135">
        <f>'Kostnader 2012'!N50</f>
        <v>289.91904438405794</v>
      </c>
      <c r="L50" s="140">
        <f t="shared" si="2"/>
        <v>17538.595959105878</v>
      </c>
      <c r="M50" s="140">
        <f t="shared" si="1"/>
        <v>17399.245868526166</v>
      </c>
    </row>
    <row r="51" spans="2:13" x14ac:dyDescent="0.3">
      <c r="B51" t="str">
        <f>'Kostnader 2012'!C55</f>
        <v>Offshore supplyskip</v>
      </c>
      <c r="C51">
        <f>'Kostnader 2012'!D55</f>
        <v>3000</v>
      </c>
      <c r="D51">
        <f>'Kostnader 2012'!E55</f>
        <v>0</v>
      </c>
      <c r="F51" s="135">
        <f>'Kostnader 2012'!I55</f>
        <v>1910.310974900327</v>
      </c>
      <c r="G51" s="135">
        <f>'Kostnader 2012'!J55</f>
        <v>1792.8929571428569</v>
      </c>
      <c r="H51" s="135">
        <f>'Kostnader 2012'!K55</f>
        <v>398.42065714285707</v>
      </c>
      <c r="I51" s="135">
        <f>'Kostnader 2012'!L55</f>
        <v>431.6223785714285</v>
      </c>
      <c r="J51" s="135">
        <f>'Kostnader 2012'!M55</f>
        <v>332.01721428571426</v>
      </c>
      <c r="K51" s="135">
        <f>'Kostnader 2012'!N55</f>
        <v>365.21893571428564</v>
      </c>
      <c r="L51" s="140">
        <f t="shared" si="2"/>
        <v>5230.4831177574688</v>
      </c>
      <c r="M51" s="140">
        <f t="shared" si="1"/>
        <v>4898.4659034717542</v>
      </c>
    </row>
    <row r="52" spans="2:13" x14ac:dyDescent="0.3">
      <c r="B52" t="str">
        <f>'Kostnader 2012'!C56</f>
        <v>Hurtigbåt</v>
      </c>
      <c r="C52">
        <f>'Kostnader 2012'!D56</f>
        <v>0</v>
      </c>
      <c r="D52">
        <f>'Kostnader 2012'!E56</f>
        <v>360</v>
      </c>
      <c r="F52" s="135">
        <f>'Kostnader 2012'!I56</f>
        <v>638.50745221100317</v>
      </c>
      <c r="G52" s="135">
        <f>'Kostnader 2012'!J56</f>
        <v>381.11865976806422</v>
      </c>
      <c r="H52" s="135">
        <f>'Kostnader 2012'!K56</f>
        <v>58.633639964317567</v>
      </c>
      <c r="I52" s="135">
        <f>'Kostnader 2012'!L56</f>
        <v>156.6821156824264</v>
      </c>
      <c r="J52" s="135">
        <f>'Kostnader 2012'!M56</f>
        <v>94.344021751096108</v>
      </c>
      <c r="K52" s="135">
        <f>'Kostnader 2012'!N56</f>
        <v>173.18639952423428</v>
      </c>
      <c r="L52" s="140">
        <f t="shared" si="2"/>
        <v>1502.4722889011418</v>
      </c>
      <c r="M52" s="140">
        <f t="shared" si="1"/>
        <v>1408.1282671500458</v>
      </c>
    </row>
    <row r="53" spans="2:13" x14ac:dyDescent="0.3">
      <c r="B53" t="str">
        <f>'Kostnader 2012'!C57</f>
        <v>Brønnbåt</v>
      </c>
      <c r="C53">
        <f>'Kostnader 2012'!D57</f>
        <v>1000</v>
      </c>
      <c r="D53">
        <f>'Kostnader 2012'!E57</f>
        <v>950</v>
      </c>
      <c r="F53" s="135">
        <f>'Kostnader 2012'!I57</f>
        <v>993.5792946430455</v>
      </c>
      <c r="G53" s="135">
        <f>'Kostnader 2012'!J57</f>
        <v>530.27919000000009</v>
      </c>
      <c r="H53" s="135">
        <f>'Kostnader 2012'!K57</f>
        <v>115.595252</v>
      </c>
      <c r="I53" s="135">
        <f>'Kostnader 2012'!L57</f>
        <v>125.22818966666668</v>
      </c>
      <c r="J53" s="135">
        <f>'Kostnader 2012'!M57</f>
        <v>96.329376666666676</v>
      </c>
      <c r="K53" s="135">
        <f>'Kostnader 2012'!N57</f>
        <v>105.96231433333334</v>
      </c>
      <c r="L53" s="140">
        <f t="shared" si="2"/>
        <v>1966.9736173097122</v>
      </c>
      <c r="M53" s="140">
        <f t="shared" si="1"/>
        <v>1870.6442406430456</v>
      </c>
    </row>
    <row r="54" spans="2:13" x14ac:dyDescent="0.3">
      <c r="B54" t="str">
        <f>'Kostnader 2012'!C58</f>
        <v>Brønnbåt</v>
      </c>
      <c r="C54">
        <f>'Kostnader 2012'!D58</f>
        <v>1500</v>
      </c>
      <c r="D54">
        <f>'Kostnader 2012'!E58</f>
        <v>1250</v>
      </c>
      <c r="F54" s="135">
        <f>'Kostnader 2012'!I58</f>
        <v>1490.368941964568</v>
      </c>
      <c r="G54" s="135">
        <f>'Kostnader 2012'!J58</f>
        <v>583.3071090000002</v>
      </c>
      <c r="H54" s="135">
        <f>'Kostnader 2012'!K58</f>
        <v>173.392878</v>
      </c>
      <c r="I54" s="135">
        <f>'Kostnader 2012'!L58</f>
        <v>187.84228450000001</v>
      </c>
      <c r="J54" s="135">
        <f>'Kostnader 2012'!M58</f>
        <v>144.49406500000001</v>
      </c>
      <c r="K54" s="135">
        <f>'Kostnader 2012'!N58</f>
        <v>116.55854576666668</v>
      </c>
      <c r="L54" s="140">
        <f t="shared" si="2"/>
        <v>2695.9638242312349</v>
      </c>
      <c r="M54" s="140">
        <f t="shared" si="1"/>
        <v>2551.469759231235</v>
      </c>
    </row>
    <row r="55" spans="2:13" x14ac:dyDescent="0.3">
      <c r="B55" t="str">
        <f>'Kostnader 2012'!C59</f>
        <v>Brønnbåt</v>
      </c>
      <c r="C55">
        <f>'Kostnader 2012'!D59</f>
        <v>2200</v>
      </c>
      <c r="D55">
        <f>'Kostnader 2012'!E59</f>
        <v>2050</v>
      </c>
      <c r="F55" s="135">
        <f>'Kostnader 2012'!I59</f>
        <v>2444.205064821891</v>
      </c>
      <c r="G55" s="135">
        <f>'Kostnader 2012'!J59</f>
        <v>641.6378199000003</v>
      </c>
      <c r="H55" s="135">
        <f>'Kostnader 2012'!K59</f>
        <v>254.3095544</v>
      </c>
      <c r="I55" s="135">
        <f>'Kostnader 2012'!L59</f>
        <v>308.06134657999996</v>
      </c>
      <c r="J55" s="135">
        <f>'Kostnader 2012'!M59</f>
        <v>236.97026659999997</v>
      </c>
      <c r="K55" s="135">
        <f>'Kostnader 2012'!N59</f>
        <v>128.21440034333335</v>
      </c>
      <c r="L55" s="140">
        <f t="shared" si="2"/>
        <v>4013.3984526452236</v>
      </c>
      <c r="M55" s="140">
        <f t="shared" si="1"/>
        <v>3776.4281860452238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B165"/>
  <sheetViews>
    <sheetView topLeftCell="A23" zoomScale="70" zoomScaleNormal="70" workbookViewId="0">
      <selection activeCell="A69" sqref="A69:B70"/>
    </sheetView>
  </sheetViews>
  <sheetFormatPr baseColWidth="10" defaultRowHeight="14.4" x14ac:dyDescent="0.3"/>
  <cols>
    <col min="1" max="1" width="27" customWidth="1"/>
    <col min="3" max="3" width="33.77734375" bestFit="1" customWidth="1"/>
    <col min="17" max="17" width="33.77734375" bestFit="1" customWidth="1"/>
    <col min="18" max="18" width="17.44140625" customWidth="1"/>
    <col min="22" max="22" width="13.5546875" customWidth="1"/>
  </cols>
  <sheetData>
    <row r="1" spans="1:18" ht="23.4" x14ac:dyDescent="0.45">
      <c r="A1" s="78" t="s">
        <v>444</v>
      </c>
    </row>
    <row r="2" spans="1:18" ht="23.4" x14ac:dyDescent="0.45">
      <c r="A2" s="78" t="s">
        <v>466</v>
      </c>
    </row>
    <row r="4" spans="1:18" x14ac:dyDescent="0.3">
      <c r="A4" t="s">
        <v>94</v>
      </c>
    </row>
    <row r="6" spans="1:18" x14ac:dyDescent="0.3">
      <c r="A6" t="s">
        <v>95</v>
      </c>
      <c r="B6">
        <v>6.0663999999999998</v>
      </c>
      <c r="E6">
        <v>243.5</v>
      </c>
    </row>
    <row r="7" spans="1:18" x14ac:dyDescent="0.3">
      <c r="E7">
        <f>B12/E6</f>
        <v>1.9507186858316221</v>
      </c>
    </row>
    <row r="8" spans="1:18" x14ac:dyDescent="0.3">
      <c r="A8" t="s">
        <v>159</v>
      </c>
      <c r="B8">
        <f>110*1000</f>
        <v>110000</v>
      </c>
    </row>
    <row r="9" spans="1:18" ht="43.2" x14ac:dyDescent="0.3">
      <c r="Q9" t="s">
        <v>186</v>
      </c>
      <c r="R9" s="8" t="s">
        <v>187</v>
      </c>
    </row>
    <row r="10" spans="1:18" x14ac:dyDescent="0.3">
      <c r="A10" t="s">
        <v>168</v>
      </c>
      <c r="B10">
        <v>94000</v>
      </c>
      <c r="Q10" s="35" t="s">
        <v>9</v>
      </c>
    </row>
    <row r="11" spans="1:18" x14ac:dyDescent="0.3">
      <c r="Q11" s="35" t="s">
        <v>10</v>
      </c>
    </row>
    <row r="12" spans="1:18" x14ac:dyDescent="0.3">
      <c r="A12" t="s">
        <v>175</v>
      </c>
      <c r="B12">
        <v>475</v>
      </c>
      <c r="Q12" s="35" t="s">
        <v>11</v>
      </c>
    </row>
    <row r="13" spans="1:18" x14ac:dyDescent="0.3">
      <c r="Q13" s="35" t="s">
        <v>70</v>
      </c>
    </row>
    <row r="14" spans="1:18" x14ac:dyDescent="0.3">
      <c r="A14" t="s">
        <v>176</v>
      </c>
      <c r="B14">
        <f>B6*B12</f>
        <v>2881.54</v>
      </c>
      <c r="Q14" s="35" t="s">
        <v>71</v>
      </c>
    </row>
    <row r="15" spans="1:18" x14ac:dyDescent="0.3">
      <c r="Q15" s="35" t="s">
        <v>14</v>
      </c>
    </row>
    <row r="16" spans="1:18" x14ac:dyDescent="0.3">
      <c r="A16" t="s">
        <v>177</v>
      </c>
      <c r="B16" s="34">
        <f>B14/(1000*0.99)</f>
        <v>2.9106464646464647</v>
      </c>
      <c r="Q16" s="35" t="s">
        <v>15</v>
      </c>
    </row>
    <row r="17" spans="1:20" x14ac:dyDescent="0.3">
      <c r="Q17" s="35" t="s">
        <v>16</v>
      </c>
    </row>
    <row r="18" spans="1:20" x14ac:dyDescent="0.3">
      <c r="A18" t="s">
        <v>178</v>
      </c>
      <c r="B18">
        <v>0.15</v>
      </c>
      <c r="Q18" s="35" t="s">
        <v>17</v>
      </c>
    </row>
    <row r="19" spans="1:20" x14ac:dyDescent="0.3">
      <c r="Q19" s="35" t="s">
        <v>72</v>
      </c>
    </row>
    <row r="20" spans="1:20" x14ac:dyDescent="0.3">
      <c r="Q20" s="35" t="s">
        <v>73</v>
      </c>
    </row>
    <row r="23" spans="1:20" x14ac:dyDescent="0.3">
      <c r="E23" t="s">
        <v>447</v>
      </c>
    </row>
    <row r="26" spans="1:20" ht="15" thickBot="1" x14ac:dyDescent="0.35"/>
    <row r="27" spans="1:20" ht="72.599999999999994" thickBot="1" x14ac:dyDescent="0.35">
      <c r="D27" s="85" t="s">
        <v>445</v>
      </c>
      <c r="E27" s="85" t="s">
        <v>446</v>
      </c>
      <c r="F27" s="8"/>
      <c r="G27" s="104" t="s">
        <v>449</v>
      </c>
      <c r="H27" s="105"/>
      <c r="I27" s="105"/>
      <c r="J27" s="105"/>
      <c r="K27" s="105"/>
      <c r="L27" s="105"/>
      <c r="M27" s="53"/>
      <c r="N27" s="54"/>
      <c r="O27" s="108"/>
      <c r="P27" s="53"/>
      <c r="Q27" s="53" t="s">
        <v>451</v>
      </c>
      <c r="R27" s="53"/>
      <c r="S27" s="53"/>
      <c r="T27" s="54"/>
    </row>
    <row r="28" spans="1:20" x14ac:dyDescent="0.3">
      <c r="D28" s="96" t="s">
        <v>0</v>
      </c>
      <c r="E28" s="96" t="s">
        <v>450</v>
      </c>
      <c r="I28" t="s">
        <v>448</v>
      </c>
    </row>
    <row r="29" spans="1:20" x14ac:dyDescent="0.3">
      <c r="D29" s="96" t="s">
        <v>2</v>
      </c>
      <c r="E29" s="96">
        <v>2010</v>
      </c>
      <c r="G29" s="27" t="s">
        <v>3</v>
      </c>
      <c r="H29" s="10" t="s">
        <v>4</v>
      </c>
      <c r="I29" s="10" t="s">
        <v>5</v>
      </c>
      <c r="J29" s="10" t="s">
        <v>6</v>
      </c>
      <c r="K29" s="10" t="s">
        <v>7</v>
      </c>
      <c r="L29" s="10" t="s">
        <v>8</v>
      </c>
      <c r="O29" s="10" t="s">
        <v>8</v>
      </c>
      <c r="P29" s="27" t="s">
        <v>3</v>
      </c>
      <c r="Q29" s="10" t="s">
        <v>4</v>
      </c>
      <c r="R29" s="10" t="s">
        <v>5</v>
      </c>
      <c r="S29" s="10" t="s">
        <v>6</v>
      </c>
      <c r="T29" s="10" t="s">
        <v>7</v>
      </c>
    </row>
    <row r="30" spans="1:20" x14ac:dyDescent="0.3">
      <c r="D30" s="97"/>
      <c r="E30" s="97"/>
      <c r="G30" s="40"/>
      <c r="H30" s="10"/>
      <c r="I30" s="10"/>
      <c r="J30" s="10"/>
      <c r="K30" s="10"/>
      <c r="L30" s="10"/>
      <c r="O30" s="10"/>
      <c r="P30" s="10"/>
      <c r="Q30" s="10"/>
      <c r="R30" s="10"/>
      <c r="S30" s="10"/>
      <c r="T30" s="10"/>
    </row>
    <row r="31" spans="1:20" x14ac:dyDescent="0.3">
      <c r="A31" s="2" t="s">
        <v>9</v>
      </c>
      <c r="D31" s="97"/>
      <c r="E31" s="97"/>
      <c r="G31" s="10"/>
      <c r="H31" s="10"/>
      <c r="I31" s="10"/>
      <c r="J31" s="10"/>
      <c r="K31" s="10"/>
      <c r="L31" s="10"/>
      <c r="O31" s="28">
        <f t="shared" ref="O31:T31" si="0">O37</f>
        <v>379.15000000000003</v>
      </c>
      <c r="P31" s="28">
        <f t="shared" si="0"/>
        <v>197.15800000000002</v>
      </c>
      <c r="Q31" s="28">
        <f t="shared" si="0"/>
        <v>30.332000000000004</v>
      </c>
      <c r="R31" s="28">
        <f t="shared" si="0"/>
        <v>53.08100000000001</v>
      </c>
      <c r="S31" s="28">
        <f t="shared" si="0"/>
        <v>37.915000000000006</v>
      </c>
      <c r="T31" s="28">
        <f t="shared" si="0"/>
        <v>60.664000000000009</v>
      </c>
    </row>
    <row r="32" spans="1:20" x14ac:dyDescent="0.3">
      <c r="A32" s="2" t="s">
        <v>10</v>
      </c>
      <c r="D32" s="97"/>
      <c r="E32" s="97">
        <v>2700</v>
      </c>
      <c r="G32" s="10">
        <v>52</v>
      </c>
      <c r="H32" s="10">
        <v>8</v>
      </c>
      <c r="I32" s="10">
        <v>14</v>
      </c>
      <c r="J32" s="10">
        <v>10</v>
      </c>
      <c r="K32" s="10">
        <v>16</v>
      </c>
      <c r="L32" s="10">
        <v>100</v>
      </c>
      <c r="O32" s="28">
        <f>(E32*$B$6)/24</f>
        <v>682.46999999999991</v>
      </c>
      <c r="P32" s="28">
        <f t="shared" ref="P32:P66" si="1">$O32*(G32/100)</f>
        <v>354.88439999999997</v>
      </c>
      <c r="Q32" s="28">
        <f t="shared" ref="Q32:Q66" si="2">$O32*(H32/100)</f>
        <v>54.597599999999993</v>
      </c>
      <c r="R32" s="28">
        <f t="shared" ref="R32:R66" si="3">$O32*(I32/100)</f>
        <v>95.5458</v>
      </c>
      <c r="S32" s="28">
        <f t="shared" ref="S32:S66" si="4">$O32*(J32/100)</f>
        <v>68.247</v>
      </c>
      <c r="T32" s="28">
        <f t="shared" ref="T32:T66" si="5">$O32*(K32/100)</f>
        <v>109.19519999999999</v>
      </c>
    </row>
    <row r="33" spans="1:20" x14ac:dyDescent="0.3">
      <c r="A33" s="2" t="s">
        <v>11</v>
      </c>
      <c r="D33" s="97"/>
      <c r="E33" s="97">
        <v>3700</v>
      </c>
      <c r="G33" s="10">
        <v>52</v>
      </c>
      <c r="H33" s="10">
        <v>8</v>
      </c>
      <c r="I33" s="10">
        <v>14</v>
      </c>
      <c r="J33" s="10">
        <v>10</v>
      </c>
      <c r="K33" s="10">
        <v>16</v>
      </c>
      <c r="L33" s="10">
        <v>100</v>
      </c>
      <c r="O33" s="28">
        <f t="shared" ref="O33:O62" si="6">(E33*$B$6)/24</f>
        <v>935.23666666666668</v>
      </c>
      <c r="P33" s="28">
        <f t="shared" si="1"/>
        <v>486.3230666666667</v>
      </c>
      <c r="Q33" s="28">
        <f t="shared" si="2"/>
        <v>74.818933333333334</v>
      </c>
      <c r="R33" s="28">
        <f t="shared" si="3"/>
        <v>130.93313333333336</v>
      </c>
      <c r="S33" s="28">
        <f t="shared" si="4"/>
        <v>93.523666666666671</v>
      </c>
      <c r="T33" s="28">
        <f t="shared" si="5"/>
        <v>149.63786666666667</v>
      </c>
    </row>
    <row r="34" spans="1:20" x14ac:dyDescent="0.3">
      <c r="A34" s="2" t="s">
        <v>12</v>
      </c>
      <c r="C34" s="3"/>
      <c r="D34" s="98">
        <v>9000</v>
      </c>
      <c r="E34" s="99">
        <v>4500</v>
      </c>
      <c r="F34" s="3"/>
      <c r="G34" s="36">
        <v>42</v>
      </c>
      <c r="H34" s="36">
        <v>13</v>
      </c>
      <c r="I34" s="36">
        <v>21</v>
      </c>
      <c r="J34" s="36">
        <v>9</v>
      </c>
      <c r="K34" s="36">
        <v>15</v>
      </c>
      <c r="L34" s="36">
        <v>100</v>
      </c>
      <c r="M34" s="5"/>
      <c r="N34" s="5"/>
      <c r="O34" s="28">
        <f t="shared" si="6"/>
        <v>1137.45</v>
      </c>
      <c r="P34" s="28">
        <f t="shared" si="1"/>
        <v>477.72899999999998</v>
      </c>
      <c r="Q34" s="28">
        <f t="shared" si="2"/>
        <v>147.86850000000001</v>
      </c>
      <c r="R34" s="28">
        <f t="shared" si="3"/>
        <v>238.86449999999999</v>
      </c>
      <c r="S34" s="28">
        <f t="shared" si="4"/>
        <v>102.37050000000001</v>
      </c>
      <c r="T34" s="28">
        <f t="shared" si="5"/>
        <v>170.61750000000001</v>
      </c>
    </row>
    <row r="35" spans="1:20" x14ac:dyDescent="0.3">
      <c r="A35" s="2" t="s">
        <v>13</v>
      </c>
      <c r="C35" s="3"/>
      <c r="D35" s="98">
        <v>17000</v>
      </c>
      <c r="E35" s="99">
        <v>4900</v>
      </c>
      <c r="F35" s="3"/>
      <c r="G35" s="36">
        <v>42</v>
      </c>
      <c r="H35" s="36">
        <v>13</v>
      </c>
      <c r="I35" s="36">
        <v>21</v>
      </c>
      <c r="J35" s="36">
        <v>9</v>
      </c>
      <c r="K35" s="36">
        <v>15</v>
      </c>
      <c r="L35" s="36">
        <v>100</v>
      </c>
      <c r="M35" s="5"/>
      <c r="N35" s="5"/>
      <c r="O35" s="28">
        <f t="shared" si="6"/>
        <v>1238.5566666666666</v>
      </c>
      <c r="P35" s="28">
        <f t="shared" si="1"/>
        <v>520.19380000000001</v>
      </c>
      <c r="Q35" s="28">
        <f t="shared" si="2"/>
        <v>161.01236666666668</v>
      </c>
      <c r="R35" s="28">
        <f t="shared" si="3"/>
        <v>260.09690000000001</v>
      </c>
      <c r="S35" s="28">
        <f t="shared" si="4"/>
        <v>111.47009999999999</v>
      </c>
      <c r="T35" s="28">
        <f t="shared" si="5"/>
        <v>185.78349999999998</v>
      </c>
    </row>
    <row r="36" spans="1:20" x14ac:dyDescent="0.3">
      <c r="A36" s="2" t="s">
        <v>14</v>
      </c>
      <c r="C36" s="3"/>
      <c r="D36" s="99"/>
      <c r="E36" s="99">
        <v>5200</v>
      </c>
      <c r="F36" s="3"/>
      <c r="G36" s="36">
        <v>44</v>
      </c>
      <c r="H36" s="36">
        <v>15</v>
      </c>
      <c r="I36" s="36">
        <v>19</v>
      </c>
      <c r="J36" s="36">
        <v>11</v>
      </c>
      <c r="K36" s="36">
        <v>11</v>
      </c>
      <c r="L36" s="36">
        <v>100</v>
      </c>
      <c r="M36" s="5"/>
      <c r="N36" s="5"/>
      <c r="O36" s="28">
        <f t="shared" si="6"/>
        <v>1314.3866666666665</v>
      </c>
      <c r="P36" s="28">
        <f t="shared" si="1"/>
        <v>578.33013333333326</v>
      </c>
      <c r="Q36" s="28">
        <f t="shared" si="2"/>
        <v>197.15799999999999</v>
      </c>
      <c r="R36" s="28">
        <f t="shared" si="3"/>
        <v>249.73346666666666</v>
      </c>
      <c r="S36" s="28">
        <f t="shared" si="4"/>
        <v>144.58253333333332</v>
      </c>
      <c r="T36" s="28">
        <f t="shared" si="5"/>
        <v>144.58253333333332</v>
      </c>
    </row>
    <row r="37" spans="1:20" x14ac:dyDescent="0.3">
      <c r="A37" s="2" t="s">
        <v>15</v>
      </c>
      <c r="C37" s="3"/>
      <c r="D37" s="99"/>
      <c r="E37" s="99">
        <v>1500</v>
      </c>
      <c r="F37" s="3"/>
      <c r="G37" s="10">
        <v>52</v>
      </c>
      <c r="H37" s="10">
        <v>8</v>
      </c>
      <c r="I37" s="10">
        <v>14</v>
      </c>
      <c r="J37" s="10">
        <v>10</v>
      </c>
      <c r="K37" s="10">
        <v>16</v>
      </c>
      <c r="L37" s="36"/>
      <c r="M37" s="5"/>
      <c r="N37" s="5"/>
      <c r="O37" s="28">
        <f t="shared" si="6"/>
        <v>379.15000000000003</v>
      </c>
      <c r="P37" s="28">
        <f t="shared" si="1"/>
        <v>197.15800000000002</v>
      </c>
      <c r="Q37" s="28">
        <f t="shared" si="2"/>
        <v>30.332000000000004</v>
      </c>
      <c r="R37" s="28">
        <f t="shared" si="3"/>
        <v>53.08100000000001</v>
      </c>
      <c r="S37" s="28">
        <f t="shared" si="4"/>
        <v>37.915000000000006</v>
      </c>
      <c r="T37" s="28">
        <f t="shared" si="5"/>
        <v>60.664000000000009</v>
      </c>
    </row>
    <row r="38" spans="1:20" x14ac:dyDescent="0.3">
      <c r="A38" s="2" t="s">
        <v>16</v>
      </c>
      <c r="C38" s="3"/>
      <c r="D38" s="99"/>
      <c r="E38" s="99">
        <v>1900</v>
      </c>
      <c r="F38" s="3"/>
      <c r="G38" s="10">
        <v>52</v>
      </c>
      <c r="H38" s="10">
        <v>8</v>
      </c>
      <c r="I38" s="10">
        <v>14</v>
      </c>
      <c r="J38" s="10">
        <v>10</v>
      </c>
      <c r="K38" s="10">
        <v>16</v>
      </c>
      <c r="L38" s="36"/>
      <c r="M38" s="5"/>
      <c r="N38" s="5"/>
      <c r="O38" s="28">
        <f t="shared" si="6"/>
        <v>480.25666666666666</v>
      </c>
      <c r="P38" s="28">
        <f t="shared" si="1"/>
        <v>249.73346666666669</v>
      </c>
      <c r="Q38" s="28">
        <f t="shared" si="2"/>
        <v>38.420533333333331</v>
      </c>
      <c r="R38" s="28">
        <f t="shared" si="3"/>
        <v>67.235933333333335</v>
      </c>
      <c r="S38" s="28">
        <f t="shared" si="4"/>
        <v>48.025666666666666</v>
      </c>
      <c r="T38" s="28">
        <f t="shared" si="5"/>
        <v>76.841066666666663</v>
      </c>
    </row>
    <row r="39" spans="1:20" x14ac:dyDescent="0.3">
      <c r="A39" s="2" t="s">
        <v>17</v>
      </c>
      <c r="C39" s="3"/>
      <c r="D39" s="99"/>
      <c r="E39" s="99">
        <v>2500</v>
      </c>
      <c r="F39" s="3"/>
      <c r="G39" s="10">
        <v>52</v>
      </c>
      <c r="H39" s="10">
        <v>8</v>
      </c>
      <c r="I39" s="10">
        <v>14</v>
      </c>
      <c r="J39" s="10">
        <v>10</v>
      </c>
      <c r="K39" s="10">
        <v>16</v>
      </c>
      <c r="L39" s="36"/>
      <c r="M39" s="5"/>
      <c r="N39" s="5"/>
      <c r="O39" s="28">
        <f t="shared" si="6"/>
        <v>631.91666666666663</v>
      </c>
      <c r="P39" s="28">
        <f t="shared" si="1"/>
        <v>328.59666666666664</v>
      </c>
      <c r="Q39" s="28">
        <f t="shared" si="2"/>
        <v>50.553333333333335</v>
      </c>
      <c r="R39" s="28">
        <f t="shared" si="3"/>
        <v>88.468333333333334</v>
      </c>
      <c r="S39" s="28">
        <f t="shared" si="4"/>
        <v>63.191666666666663</v>
      </c>
      <c r="T39" s="28">
        <f t="shared" si="5"/>
        <v>101.10666666666667</v>
      </c>
    </row>
    <row r="40" spans="1:20" x14ac:dyDescent="0.3">
      <c r="A40" s="2" t="s">
        <v>18</v>
      </c>
      <c r="C40" s="3"/>
      <c r="D40" s="99"/>
      <c r="E40" s="99">
        <v>4200</v>
      </c>
      <c r="F40" s="3"/>
      <c r="G40" s="36">
        <v>42</v>
      </c>
      <c r="H40" s="36">
        <v>13</v>
      </c>
      <c r="I40" s="36">
        <v>21</v>
      </c>
      <c r="J40" s="36">
        <v>9</v>
      </c>
      <c r="K40" s="36">
        <v>15</v>
      </c>
      <c r="L40" s="36"/>
      <c r="M40" s="5"/>
      <c r="N40" s="5"/>
      <c r="O40" s="28">
        <f t="shared" si="6"/>
        <v>1061.6199999999999</v>
      </c>
      <c r="P40" s="28">
        <f t="shared" si="1"/>
        <v>445.88039999999995</v>
      </c>
      <c r="Q40" s="28">
        <f t="shared" si="2"/>
        <v>138.01059999999998</v>
      </c>
      <c r="R40" s="28">
        <f t="shared" si="3"/>
        <v>222.94019999999998</v>
      </c>
      <c r="S40" s="28">
        <f t="shared" si="4"/>
        <v>95.545799999999986</v>
      </c>
      <c r="T40" s="28">
        <f t="shared" si="5"/>
        <v>159.24299999999997</v>
      </c>
    </row>
    <row r="41" spans="1:20" x14ac:dyDescent="0.3">
      <c r="A41" s="2" t="s">
        <v>19</v>
      </c>
      <c r="C41" s="3"/>
      <c r="D41" s="99"/>
      <c r="E41" s="99">
        <v>4900</v>
      </c>
      <c r="F41" s="3"/>
      <c r="G41" s="36">
        <v>48</v>
      </c>
      <c r="H41" s="36">
        <v>13</v>
      </c>
      <c r="I41" s="36">
        <v>17</v>
      </c>
      <c r="J41" s="36">
        <v>9</v>
      </c>
      <c r="K41" s="106">
        <v>13</v>
      </c>
      <c r="L41" s="36">
        <v>100</v>
      </c>
      <c r="M41" s="5"/>
      <c r="N41" s="5"/>
      <c r="O41" s="28">
        <f t="shared" si="6"/>
        <v>1238.5566666666666</v>
      </c>
      <c r="P41" s="28">
        <f t="shared" si="1"/>
        <v>594.5071999999999</v>
      </c>
      <c r="Q41" s="28">
        <f t="shared" si="2"/>
        <v>161.01236666666668</v>
      </c>
      <c r="R41" s="28">
        <f t="shared" si="3"/>
        <v>210.55463333333333</v>
      </c>
      <c r="S41" s="28">
        <f t="shared" si="4"/>
        <v>111.47009999999999</v>
      </c>
      <c r="T41" s="28">
        <f t="shared" si="5"/>
        <v>161.01236666666668</v>
      </c>
    </row>
    <row r="42" spans="1:20" x14ac:dyDescent="0.3">
      <c r="A42" s="2" t="s">
        <v>20</v>
      </c>
      <c r="C42" s="3"/>
      <c r="D42" s="98">
        <v>45000</v>
      </c>
      <c r="E42" s="99">
        <v>6000</v>
      </c>
      <c r="F42" s="3"/>
      <c r="G42" s="36">
        <v>45</v>
      </c>
      <c r="H42" s="36">
        <v>13</v>
      </c>
      <c r="I42" s="36">
        <v>14</v>
      </c>
      <c r="J42" s="36">
        <v>11</v>
      </c>
      <c r="K42" s="36">
        <v>17</v>
      </c>
      <c r="L42" s="36">
        <v>100</v>
      </c>
      <c r="M42" s="5"/>
      <c r="N42" s="5"/>
      <c r="O42" s="28">
        <f t="shared" si="6"/>
        <v>1516.6000000000001</v>
      </c>
      <c r="P42" s="28">
        <f t="shared" si="1"/>
        <v>682.47</v>
      </c>
      <c r="Q42" s="28">
        <f t="shared" si="2"/>
        <v>197.15800000000002</v>
      </c>
      <c r="R42" s="28">
        <f t="shared" si="3"/>
        <v>212.32400000000004</v>
      </c>
      <c r="S42" s="28">
        <f t="shared" si="4"/>
        <v>166.82600000000002</v>
      </c>
      <c r="T42" s="28">
        <f t="shared" si="5"/>
        <v>257.82200000000006</v>
      </c>
    </row>
    <row r="43" spans="1:20" x14ac:dyDescent="0.3">
      <c r="A43" s="2" t="s">
        <v>21</v>
      </c>
      <c r="C43" s="3"/>
      <c r="D43" s="98">
        <v>56000</v>
      </c>
      <c r="E43" s="99">
        <v>6100</v>
      </c>
      <c r="F43" s="6"/>
      <c r="G43" s="106">
        <v>45</v>
      </c>
      <c r="H43" s="106">
        <v>14</v>
      </c>
      <c r="I43" s="106">
        <v>15</v>
      </c>
      <c r="J43" s="106">
        <v>10</v>
      </c>
      <c r="K43" s="106">
        <v>16</v>
      </c>
      <c r="L43" s="36">
        <v>100</v>
      </c>
      <c r="M43" s="5"/>
      <c r="N43" s="5"/>
      <c r="O43" s="28">
        <f t="shared" si="6"/>
        <v>1541.8766666666668</v>
      </c>
      <c r="P43" s="28">
        <f t="shared" si="1"/>
        <v>693.84450000000004</v>
      </c>
      <c r="Q43" s="28">
        <f t="shared" si="2"/>
        <v>215.86273333333338</v>
      </c>
      <c r="R43" s="28">
        <f t="shared" si="3"/>
        <v>231.28149999999999</v>
      </c>
      <c r="S43" s="28">
        <f t="shared" si="4"/>
        <v>154.1876666666667</v>
      </c>
      <c r="T43" s="28">
        <f t="shared" si="5"/>
        <v>246.70026666666669</v>
      </c>
    </row>
    <row r="44" spans="1:20" x14ac:dyDescent="0.3">
      <c r="A44" s="2" t="s">
        <v>22</v>
      </c>
      <c r="C44" s="3"/>
      <c r="D44" s="98">
        <v>76000</v>
      </c>
      <c r="E44" s="99">
        <v>6400</v>
      </c>
      <c r="F44" s="3"/>
      <c r="G44" s="36">
        <v>46</v>
      </c>
      <c r="H44" s="36">
        <v>14</v>
      </c>
      <c r="I44" s="36">
        <v>13</v>
      </c>
      <c r="J44" s="36">
        <v>10</v>
      </c>
      <c r="K44" s="36">
        <v>17</v>
      </c>
      <c r="L44" s="36">
        <v>100</v>
      </c>
      <c r="M44" s="5"/>
      <c r="N44" s="5"/>
      <c r="O44" s="28">
        <f t="shared" si="6"/>
        <v>1617.7066666666667</v>
      </c>
      <c r="P44" s="28">
        <f t="shared" si="1"/>
        <v>744.14506666666671</v>
      </c>
      <c r="Q44" s="28">
        <f t="shared" si="2"/>
        <v>226.47893333333337</v>
      </c>
      <c r="R44" s="28">
        <f t="shared" si="3"/>
        <v>210.30186666666668</v>
      </c>
      <c r="S44" s="28">
        <f t="shared" si="4"/>
        <v>161.77066666666667</v>
      </c>
      <c r="T44" s="28">
        <f t="shared" si="5"/>
        <v>275.01013333333339</v>
      </c>
    </row>
    <row r="45" spans="1:20" x14ac:dyDescent="0.3">
      <c r="A45" s="2" t="s">
        <v>23</v>
      </c>
      <c r="C45" s="3"/>
      <c r="D45" s="98" t="s">
        <v>24</v>
      </c>
      <c r="E45" s="99">
        <v>4500</v>
      </c>
      <c r="F45" s="3"/>
      <c r="G45" s="36">
        <v>54</v>
      </c>
      <c r="H45" s="36">
        <v>12</v>
      </c>
      <c r="I45" s="36">
        <v>13</v>
      </c>
      <c r="J45" s="36">
        <v>10</v>
      </c>
      <c r="K45" s="36">
        <v>11</v>
      </c>
      <c r="L45" s="36">
        <v>100</v>
      </c>
      <c r="M45" s="5"/>
      <c r="N45" s="5"/>
      <c r="O45" s="28">
        <f t="shared" si="6"/>
        <v>1137.45</v>
      </c>
      <c r="P45" s="28">
        <f t="shared" si="1"/>
        <v>614.22300000000007</v>
      </c>
      <c r="Q45" s="28">
        <f t="shared" si="2"/>
        <v>136.494</v>
      </c>
      <c r="R45" s="28">
        <f t="shared" si="3"/>
        <v>147.86850000000001</v>
      </c>
      <c r="S45" s="28">
        <f t="shared" si="4"/>
        <v>113.745</v>
      </c>
      <c r="T45" s="28">
        <f t="shared" si="5"/>
        <v>125.1195</v>
      </c>
    </row>
    <row r="46" spans="1:20" x14ac:dyDescent="0.3">
      <c r="A46" s="2" t="s">
        <v>25</v>
      </c>
      <c r="C46" s="6"/>
      <c r="D46" s="98" t="s">
        <v>26</v>
      </c>
      <c r="E46" s="99">
        <v>5000</v>
      </c>
      <c r="F46" s="3"/>
      <c r="G46" s="36">
        <v>48</v>
      </c>
      <c r="H46" s="36">
        <v>14</v>
      </c>
      <c r="I46" s="36">
        <v>14</v>
      </c>
      <c r="J46" s="36">
        <v>11</v>
      </c>
      <c r="K46" s="36">
        <v>13</v>
      </c>
      <c r="L46" s="36">
        <v>100</v>
      </c>
      <c r="M46" s="5"/>
      <c r="N46" s="5"/>
      <c r="O46" s="28">
        <f t="shared" si="6"/>
        <v>1263.8333333333333</v>
      </c>
      <c r="P46" s="28">
        <f t="shared" si="1"/>
        <v>606.64</v>
      </c>
      <c r="Q46" s="28">
        <f t="shared" si="2"/>
        <v>176.93666666666667</v>
      </c>
      <c r="R46" s="28">
        <f t="shared" si="3"/>
        <v>176.93666666666667</v>
      </c>
      <c r="S46" s="28">
        <f t="shared" si="4"/>
        <v>139.02166666666665</v>
      </c>
      <c r="T46" s="28">
        <f t="shared" si="5"/>
        <v>164.29833333333332</v>
      </c>
    </row>
    <row r="47" spans="1:20" x14ac:dyDescent="0.3">
      <c r="A47" s="2" t="s">
        <v>27</v>
      </c>
      <c r="C47" s="3"/>
      <c r="D47" s="98" t="s">
        <v>28</v>
      </c>
      <c r="E47" s="99">
        <v>5600</v>
      </c>
      <c r="F47" s="3"/>
      <c r="G47" s="36">
        <v>48</v>
      </c>
      <c r="H47" s="36">
        <v>14</v>
      </c>
      <c r="I47" s="36">
        <v>14</v>
      </c>
      <c r="J47" s="36">
        <v>11</v>
      </c>
      <c r="K47" s="36">
        <v>13</v>
      </c>
      <c r="L47" s="36">
        <v>100</v>
      </c>
      <c r="M47" s="5"/>
      <c r="N47" s="5"/>
      <c r="O47" s="28">
        <f t="shared" si="6"/>
        <v>1415.4933333333331</v>
      </c>
      <c r="P47" s="28">
        <f t="shared" si="1"/>
        <v>679.43679999999983</v>
      </c>
      <c r="Q47" s="28">
        <f t="shared" si="2"/>
        <v>198.16906666666665</v>
      </c>
      <c r="R47" s="28">
        <f t="shared" si="3"/>
        <v>198.16906666666665</v>
      </c>
      <c r="S47" s="28">
        <f t="shared" si="4"/>
        <v>155.70426666666665</v>
      </c>
      <c r="T47" s="28">
        <f t="shared" si="5"/>
        <v>184.01413333333332</v>
      </c>
    </row>
    <row r="48" spans="1:20" x14ac:dyDescent="0.3">
      <c r="A48" s="2" t="s">
        <v>29</v>
      </c>
      <c r="C48" s="3"/>
      <c r="D48" s="98" t="s">
        <v>30</v>
      </c>
      <c r="E48" s="99">
        <v>6000</v>
      </c>
      <c r="F48" s="3"/>
      <c r="G48" s="36">
        <v>48</v>
      </c>
      <c r="H48" s="36">
        <v>14</v>
      </c>
      <c r="I48" s="36">
        <v>14</v>
      </c>
      <c r="J48" s="36">
        <v>11</v>
      </c>
      <c r="K48" s="36">
        <v>13</v>
      </c>
      <c r="L48" s="36"/>
      <c r="M48" s="5"/>
      <c r="N48" s="5"/>
      <c r="O48" s="28">
        <f t="shared" si="6"/>
        <v>1516.6000000000001</v>
      </c>
      <c r="P48" s="28">
        <f t="shared" si="1"/>
        <v>727.96800000000007</v>
      </c>
      <c r="Q48" s="28">
        <f t="shared" si="2"/>
        <v>212.32400000000004</v>
      </c>
      <c r="R48" s="28">
        <f t="shared" si="3"/>
        <v>212.32400000000004</v>
      </c>
      <c r="S48" s="28">
        <f t="shared" si="4"/>
        <v>166.82600000000002</v>
      </c>
      <c r="T48" s="28">
        <f t="shared" si="5"/>
        <v>197.15800000000002</v>
      </c>
    </row>
    <row r="49" spans="1:28" x14ac:dyDescent="0.3">
      <c r="A49" s="2" t="s">
        <v>31</v>
      </c>
      <c r="C49" s="3"/>
      <c r="D49" s="98" t="s">
        <v>32</v>
      </c>
      <c r="E49" s="99">
        <v>6600</v>
      </c>
      <c r="F49" s="3"/>
      <c r="G49" s="36">
        <v>50</v>
      </c>
      <c r="H49" s="36">
        <v>12</v>
      </c>
      <c r="I49" s="36">
        <v>17</v>
      </c>
      <c r="J49" s="36">
        <v>9</v>
      </c>
      <c r="K49" s="36">
        <v>12</v>
      </c>
      <c r="L49" s="36">
        <v>100</v>
      </c>
      <c r="M49" s="5"/>
      <c r="N49" s="5"/>
      <c r="O49" s="28">
        <f t="shared" si="6"/>
        <v>1668.26</v>
      </c>
      <c r="P49" s="28">
        <f t="shared" si="1"/>
        <v>834.13</v>
      </c>
      <c r="Q49" s="28">
        <f t="shared" si="2"/>
        <v>200.19119999999998</v>
      </c>
      <c r="R49" s="28">
        <f t="shared" si="3"/>
        <v>283.60419999999999</v>
      </c>
      <c r="S49" s="28">
        <f t="shared" si="4"/>
        <v>150.14339999999999</v>
      </c>
      <c r="T49" s="28">
        <f t="shared" si="5"/>
        <v>200.19119999999998</v>
      </c>
    </row>
    <row r="50" spans="1:28" x14ac:dyDescent="0.3">
      <c r="A50" s="2" t="s">
        <v>33</v>
      </c>
      <c r="D50" s="98" t="s">
        <v>34</v>
      </c>
      <c r="E50" s="101">
        <v>5800</v>
      </c>
      <c r="G50" s="37">
        <v>43</v>
      </c>
      <c r="H50" s="37">
        <v>15</v>
      </c>
      <c r="I50" s="37">
        <v>23</v>
      </c>
      <c r="J50" s="37">
        <v>8</v>
      </c>
      <c r="K50" s="37">
        <v>11</v>
      </c>
      <c r="L50" s="37">
        <v>100</v>
      </c>
      <c r="O50" s="28">
        <f t="shared" si="6"/>
        <v>1466.0466666666664</v>
      </c>
      <c r="P50" s="28">
        <f t="shared" si="1"/>
        <v>630.40006666666659</v>
      </c>
      <c r="Q50" s="28">
        <f t="shared" si="2"/>
        <v>219.90699999999995</v>
      </c>
      <c r="R50" s="28">
        <f t="shared" si="3"/>
        <v>337.1907333333333</v>
      </c>
      <c r="S50" s="28">
        <f t="shared" si="4"/>
        <v>117.28373333333332</v>
      </c>
      <c r="T50" s="28">
        <f t="shared" si="5"/>
        <v>161.2651333333333</v>
      </c>
    </row>
    <row r="51" spans="1:28" x14ac:dyDescent="0.3">
      <c r="A51" s="2" t="s">
        <v>35</v>
      </c>
      <c r="D51" s="97"/>
      <c r="E51" s="101">
        <v>4600</v>
      </c>
      <c r="G51" s="37">
        <v>55</v>
      </c>
      <c r="H51" s="37">
        <v>9</v>
      </c>
      <c r="I51" s="37">
        <v>14</v>
      </c>
      <c r="J51" s="37">
        <v>5</v>
      </c>
      <c r="K51" s="37">
        <v>17</v>
      </c>
      <c r="L51" s="37">
        <v>100</v>
      </c>
      <c r="O51" s="28">
        <f t="shared" si="6"/>
        <v>1162.7266666666667</v>
      </c>
      <c r="P51" s="28">
        <f t="shared" si="1"/>
        <v>639.49966666666671</v>
      </c>
      <c r="Q51" s="28">
        <f t="shared" si="2"/>
        <v>104.6454</v>
      </c>
      <c r="R51" s="28">
        <f t="shared" si="3"/>
        <v>162.78173333333336</v>
      </c>
      <c r="S51" s="28">
        <f t="shared" si="4"/>
        <v>58.13633333333334</v>
      </c>
      <c r="T51" s="28">
        <f t="shared" si="5"/>
        <v>197.66353333333336</v>
      </c>
    </row>
    <row r="52" spans="1:28" x14ac:dyDescent="0.3">
      <c r="A52" s="2" t="s">
        <v>36</v>
      </c>
      <c r="D52" s="98">
        <v>7000</v>
      </c>
      <c r="E52" s="97">
        <v>5400</v>
      </c>
      <c r="G52" s="10">
        <v>55</v>
      </c>
      <c r="H52" s="10">
        <v>9</v>
      </c>
      <c r="I52" s="10">
        <v>16</v>
      </c>
      <c r="J52" s="10">
        <v>6</v>
      </c>
      <c r="K52" s="10">
        <v>14</v>
      </c>
      <c r="L52" s="10">
        <v>100</v>
      </c>
      <c r="O52" s="28">
        <f t="shared" si="6"/>
        <v>1364.9399999999998</v>
      </c>
      <c r="P52" s="28">
        <f t="shared" si="1"/>
        <v>750.71699999999998</v>
      </c>
      <c r="Q52" s="28">
        <f t="shared" si="2"/>
        <v>122.84459999999999</v>
      </c>
      <c r="R52" s="28">
        <f t="shared" si="3"/>
        <v>218.39039999999997</v>
      </c>
      <c r="S52" s="28">
        <f t="shared" si="4"/>
        <v>81.896399999999986</v>
      </c>
      <c r="T52" s="28">
        <f t="shared" si="5"/>
        <v>191.0916</v>
      </c>
    </row>
    <row r="53" spans="1:28" x14ac:dyDescent="0.3">
      <c r="A53" s="2" t="s">
        <v>37</v>
      </c>
      <c r="D53" s="97"/>
      <c r="E53" s="97">
        <v>8300</v>
      </c>
      <c r="G53" s="10">
        <v>56</v>
      </c>
      <c r="H53" s="10">
        <v>8</v>
      </c>
      <c r="I53" s="10">
        <v>18</v>
      </c>
      <c r="J53" s="10">
        <v>6</v>
      </c>
      <c r="K53" s="10">
        <v>12</v>
      </c>
      <c r="L53" s="10">
        <v>100</v>
      </c>
      <c r="O53" s="28">
        <f t="shared" si="6"/>
        <v>2097.9633333333331</v>
      </c>
      <c r="P53" s="28">
        <f t="shared" si="1"/>
        <v>1174.8594666666668</v>
      </c>
      <c r="Q53" s="28">
        <f t="shared" si="2"/>
        <v>167.83706666666666</v>
      </c>
      <c r="R53" s="28">
        <f t="shared" si="3"/>
        <v>377.63339999999994</v>
      </c>
      <c r="S53" s="28">
        <f t="shared" si="4"/>
        <v>125.87779999999998</v>
      </c>
      <c r="T53" s="28">
        <f t="shared" si="5"/>
        <v>251.75559999999996</v>
      </c>
    </row>
    <row r="54" spans="1:28" x14ac:dyDescent="0.3">
      <c r="A54" s="2" t="s">
        <v>38</v>
      </c>
      <c r="C54" s="3"/>
      <c r="D54" s="98">
        <v>37000</v>
      </c>
      <c r="E54" s="99">
        <v>7800</v>
      </c>
      <c r="F54" s="3"/>
      <c r="G54" s="36">
        <v>53</v>
      </c>
      <c r="H54" s="36">
        <v>11</v>
      </c>
      <c r="I54" s="36">
        <v>15</v>
      </c>
      <c r="J54" s="36">
        <v>7</v>
      </c>
      <c r="K54" s="36">
        <v>14</v>
      </c>
      <c r="L54" s="36">
        <v>100</v>
      </c>
      <c r="M54" s="5"/>
      <c r="N54" s="5"/>
      <c r="O54" s="28">
        <f t="shared" si="6"/>
        <v>1971.58</v>
      </c>
      <c r="P54" s="28">
        <f t="shared" si="1"/>
        <v>1044.9374</v>
      </c>
      <c r="Q54" s="28">
        <f t="shared" si="2"/>
        <v>216.87379999999999</v>
      </c>
      <c r="R54" s="28">
        <f t="shared" si="3"/>
        <v>295.73699999999997</v>
      </c>
      <c r="S54" s="28">
        <f t="shared" si="4"/>
        <v>138.01060000000001</v>
      </c>
      <c r="T54" s="28">
        <f t="shared" si="5"/>
        <v>276.02120000000002</v>
      </c>
    </row>
    <row r="55" spans="1:28" x14ac:dyDescent="0.3">
      <c r="A55" s="2" t="s">
        <v>39</v>
      </c>
      <c r="C55" s="3"/>
      <c r="D55" s="98">
        <v>110000</v>
      </c>
      <c r="E55" s="99">
        <v>8400</v>
      </c>
      <c r="F55" s="3"/>
      <c r="G55" s="36">
        <v>52</v>
      </c>
      <c r="H55" s="36">
        <v>10</v>
      </c>
      <c r="I55" s="36">
        <v>14</v>
      </c>
      <c r="J55" s="36">
        <v>9</v>
      </c>
      <c r="K55" s="36">
        <v>15</v>
      </c>
      <c r="L55" s="36">
        <v>100</v>
      </c>
      <c r="M55" s="5"/>
      <c r="N55" s="5"/>
      <c r="O55" s="28">
        <f t="shared" si="6"/>
        <v>2123.2399999999998</v>
      </c>
      <c r="P55" s="28">
        <f t="shared" si="1"/>
        <v>1104.0847999999999</v>
      </c>
      <c r="Q55" s="28">
        <f t="shared" si="2"/>
        <v>212.32399999999998</v>
      </c>
      <c r="R55" s="28">
        <f t="shared" si="3"/>
        <v>297.25360000000001</v>
      </c>
      <c r="S55" s="28">
        <f t="shared" si="4"/>
        <v>191.09159999999997</v>
      </c>
      <c r="T55" s="28">
        <f t="shared" si="5"/>
        <v>318.48599999999993</v>
      </c>
    </row>
    <row r="56" spans="1:28" x14ac:dyDescent="0.3">
      <c r="A56" s="2" t="s">
        <v>40</v>
      </c>
      <c r="C56" s="3"/>
      <c r="D56" s="98">
        <v>150000</v>
      </c>
      <c r="E56" s="99">
        <v>9600</v>
      </c>
      <c r="F56" s="3"/>
      <c r="G56" s="36">
        <v>51</v>
      </c>
      <c r="H56" s="36">
        <v>11</v>
      </c>
      <c r="I56" s="36">
        <v>12</v>
      </c>
      <c r="J56" s="36">
        <v>10</v>
      </c>
      <c r="K56" s="36">
        <v>16</v>
      </c>
      <c r="L56" s="36">
        <v>100</v>
      </c>
      <c r="M56" s="5"/>
      <c r="N56" s="5"/>
      <c r="O56" s="28">
        <f t="shared" si="6"/>
        <v>2426.56</v>
      </c>
      <c r="P56" s="28">
        <f t="shared" si="1"/>
        <v>1237.5455999999999</v>
      </c>
      <c r="Q56" s="28">
        <f t="shared" si="2"/>
        <v>266.92160000000001</v>
      </c>
      <c r="R56" s="28">
        <f t="shared" si="3"/>
        <v>291.18719999999996</v>
      </c>
      <c r="S56" s="28">
        <f t="shared" si="4"/>
        <v>242.65600000000001</v>
      </c>
      <c r="T56" s="28">
        <f t="shared" si="5"/>
        <v>388.24959999999999</v>
      </c>
    </row>
    <row r="57" spans="1:28" x14ac:dyDescent="0.3">
      <c r="A57" s="2" t="s">
        <v>41</v>
      </c>
      <c r="C57" s="3"/>
      <c r="D57" s="98">
        <v>310000</v>
      </c>
      <c r="E57" s="99">
        <v>11000</v>
      </c>
      <c r="F57" s="3"/>
      <c r="G57" s="36">
        <v>46</v>
      </c>
      <c r="H57" s="36">
        <v>13</v>
      </c>
      <c r="I57" s="36">
        <v>15</v>
      </c>
      <c r="J57" s="36">
        <v>12</v>
      </c>
      <c r="K57" s="36">
        <v>14</v>
      </c>
      <c r="L57" s="36">
        <v>100</v>
      </c>
      <c r="M57" s="5"/>
      <c r="N57" s="5"/>
      <c r="O57" s="28">
        <f t="shared" si="6"/>
        <v>2780.4333333333329</v>
      </c>
      <c r="P57" s="28">
        <f t="shared" si="1"/>
        <v>1278.9993333333332</v>
      </c>
      <c r="Q57" s="28">
        <f t="shared" si="2"/>
        <v>361.4563333333333</v>
      </c>
      <c r="R57" s="28">
        <f t="shared" si="3"/>
        <v>417.06499999999994</v>
      </c>
      <c r="S57" s="28">
        <f t="shared" si="4"/>
        <v>333.65199999999993</v>
      </c>
      <c r="T57" s="28">
        <f t="shared" si="5"/>
        <v>389.26066666666662</v>
      </c>
    </row>
    <row r="58" spans="1:28" x14ac:dyDescent="0.3">
      <c r="A58" s="2" t="s">
        <v>42</v>
      </c>
      <c r="C58" s="3"/>
      <c r="D58" s="98" t="s">
        <v>43</v>
      </c>
      <c r="E58" s="99">
        <v>6500</v>
      </c>
      <c r="F58" s="3"/>
      <c r="G58" s="10">
        <v>55</v>
      </c>
      <c r="H58" s="10">
        <v>9</v>
      </c>
      <c r="I58" s="10">
        <v>16</v>
      </c>
      <c r="J58" s="10">
        <v>6</v>
      </c>
      <c r="K58" s="10">
        <v>14</v>
      </c>
      <c r="L58" s="36"/>
      <c r="M58" s="5"/>
      <c r="N58" s="5"/>
      <c r="O58" s="28">
        <f t="shared" si="6"/>
        <v>1642.9833333333333</v>
      </c>
      <c r="P58" s="28">
        <f t="shared" si="1"/>
        <v>903.64083333333338</v>
      </c>
      <c r="Q58" s="28">
        <f t="shared" si="2"/>
        <v>147.86849999999998</v>
      </c>
      <c r="R58" s="28">
        <f t="shared" si="3"/>
        <v>262.87733333333335</v>
      </c>
      <c r="S58" s="28">
        <f t="shared" si="4"/>
        <v>98.578999999999994</v>
      </c>
      <c r="T58" s="28">
        <f t="shared" si="5"/>
        <v>230.01766666666668</v>
      </c>
    </row>
    <row r="59" spans="1:28" ht="15.6" x14ac:dyDescent="0.3">
      <c r="A59" s="2" t="s">
        <v>44</v>
      </c>
      <c r="C59" s="3"/>
      <c r="D59" s="98" t="s">
        <v>43</v>
      </c>
      <c r="E59" s="99">
        <v>7500</v>
      </c>
      <c r="F59" s="3"/>
      <c r="G59" s="10">
        <v>56</v>
      </c>
      <c r="H59" s="10">
        <v>8</v>
      </c>
      <c r="I59" s="10">
        <v>18</v>
      </c>
      <c r="J59" s="10">
        <v>6</v>
      </c>
      <c r="K59" s="10">
        <v>12</v>
      </c>
      <c r="L59" s="36"/>
      <c r="M59" s="5"/>
      <c r="N59" s="5"/>
      <c r="O59" s="28">
        <f t="shared" si="6"/>
        <v>1895.75</v>
      </c>
      <c r="P59" s="28">
        <f t="shared" si="1"/>
        <v>1061.6200000000001</v>
      </c>
      <c r="Q59" s="28">
        <f t="shared" si="2"/>
        <v>151.66</v>
      </c>
      <c r="R59" s="28">
        <f t="shared" si="3"/>
        <v>341.23500000000001</v>
      </c>
      <c r="S59" s="28">
        <f t="shared" si="4"/>
        <v>113.74499999999999</v>
      </c>
      <c r="T59" s="28">
        <f t="shared" si="5"/>
        <v>227.48999999999998</v>
      </c>
      <c r="V59" s="110" t="s">
        <v>452</v>
      </c>
    </row>
    <row r="60" spans="1:28" x14ac:dyDescent="0.3">
      <c r="A60" s="2" t="s">
        <v>45</v>
      </c>
      <c r="C60" s="3"/>
      <c r="D60" s="98" t="s">
        <v>46</v>
      </c>
      <c r="E60" s="99">
        <v>5700</v>
      </c>
      <c r="F60" s="3"/>
      <c r="G60" s="36">
        <v>55</v>
      </c>
      <c r="H60" s="36">
        <v>10</v>
      </c>
      <c r="I60" s="36">
        <v>14</v>
      </c>
      <c r="J60" s="36">
        <v>7</v>
      </c>
      <c r="K60" s="36">
        <v>14</v>
      </c>
      <c r="L60" s="36">
        <v>100</v>
      </c>
      <c r="M60" s="5"/>
      <c r="N60" s="5"/>
      <c r="O60" s="28">
        <f t="shared" si="6"/>
        <v>1440.7699999999998</v>
      </c>
      <c r="P60" s="28">
        <f t="shared" si="1"/>
        <v>792.42349999999988</v>
      </c>
      <c r="Q60" s="28">
        <f t="shared" si="2"/>
        <v>144.07699999999997</v>
      </c>
      <c r="R60" s="28">
        <f t="shared" si="3"/>
        <v>201.70779999999999</v>
      </c>
      <c r="S60" s="28">
        <f t="shared" si="4"/>
        <v>100.8539</v>
      </c>
      <c r="T60" s="28">
        <f t="shared" si="5"/>
        <v>201.70779999999999</v>
      </c>
    </row>
    <row r="61" spans="1:28" x14ac:dyDescent="0.3">
      <c r="A61" s="2" t="s">
        <v>47</v>
      </c>
      <c r="C61" s="3"/>
      <c r="D61" s="98" t="s">
        <v>48</v>
      </c>
      <c r="E61" s="99">
        <v>6300</v>
      </c>
      <c r="F61" s="3"/>
      <c r="G61" s="10">
        <v>55</v>
      </c>
      <c r="H61" s="10">
        <v>10</v>
      </c>
      <c r="I61" s="10">
        <v>14</v>
      </c>
      <c r="J61" s="10">
        <v>7</v>
      </c>
      <c r="K61" s="10">
        <v>14</v>
      </c>
      <c r="L61" s="36"/>
      <c r="M61" s="5"/>
      <c r="N61" s="5"/>
      <c r="O61" s="28">
        <f t="shared" si="6"/>
        <v>1592.43</v>
      </c>
      <c r="P61" s="28">
        <f t="shared" si="1"/>
        <v>875.83650000000011</v>
      </c>
      <c r="Q61" s="28">
        <f t="shared" si="2"/>
        <v>159.24300000000002</v>
      </c>
      <c r="R61" s="28">
        <f t="shared" si="3"/>
        <v>222.94020000000003</v>
      </c>
      <c r="S61" s="28">
        <f t="shared" si="4"/>
        <v>111.47010000000002</v>
      </c>
      <c r="T61" s="28">
        <f t="shared" si="5"/>
        <v>222.94020000000003</v>
      </c>
      <c r="W61" t="s">
        <v>453</v>
      </c>
    </row>
    <row r="62" spans="1:28" ht="15" thickBot="1" x14ac:dyDescent="0.35">
      <c r="A62" s="2" t="s">
        <v>49</v>
      </c>
      <c r="C62" s="3"/>
      <c r="D62" s="98" t="s">
        <v>50</v>
      </c>
      <c r="E62" s="102">
        <v>18000</v>
      </c>
      <c r="F62" s="6"/>
      <c r="G62" s="10">
        <v>51</v>
      </c>
      <c r="H62" s="10">
        <v>11</v>
      </c>
      <c r="I62" s="10">
        <v>12</v>
      </c>
      <c r="J62" s="10">
        <v>10</v>
      </c>
      <c r="K62" s="10">
        <v>16</v>
      </c>
      <c r="L62" s="36"/>
      <c r="M62" s="5"/>
      <c r="N62" s="5"/>
      <c r="O62" s="28">
        <f t="shared" si="6"/>
        <v>4549.8</v>
      </c>
      <c r="P62" s="28">
        <f t="shared" si="1"/>
        <v>2320.3980000000001</v>
      </c>
      <c r="Q62" s="28">
        <f t="shared" si="2"/>
        <v>500.47800000000001</v>
      </c>
      <c r="R62" s="28">
        <f t="shared" si="3"/>
        <v>545.976</v>
      </c>
      <c r="S62" s="28">
        <f t="shared" si="4"/>
        <v>454.98</v>
      </c>
      <c r="T62" s="28">
        <f t="shared" si="5"/>
        <v>727.96800000000007</v>
      </c>
      <c r="U62" t="s">
        <v>164</v>
      </c>
      <c r="V62" t="s">
        <v>165</v>
      </c>
      <c r="X62" t="s">
        <v>454</v>
      </c>
      <c r="Y62" t="s">
        <v>455</v>
      </c>
      <c r="Z62" t="s">
        <v>456</v>
      </c>
      <c r="AA62" t="s">
        <v>166</v>
      </c>
      <c r="AB62" t="s">
        <v>167</v>
      </c>
    </row>
    <row r="63" spans="1:28" ht="15" thickBot="1" x14ac:dyDescent="0.35">
      <c r="A63" s="2" t="s">
        <v>51</v>
      </c>
      <c r="B63">
        <v>1250</v>
      </c>
      <c r="D63" s="97"/>
      <c r="E63" s="97"/>
      <c r="G63" s="10">
        <v>52</v>
      </c>
      <c r="H63" s="10">
        <v>8</v>
      </c>
      <c r="I63" s="10">
        <v>14</v>
      </c>
      <c r="J63" s="10">
        <v>10</v>
      </c>
      <c r="K63" s="10">
        <v>16</v>
      </c>
      <c r="L63" s="37"/>
      <c r="M63" s="5"/>
      <c r="N63" s="5"/>
      <c r="O63" s="28">
        <f>AA63</f>
        <v>379.15000000000003</v>
      </c>
      <c r="P63" s="28">
        <f t="shared" si="1"/>
        <v>197.15800000000002</v>
      </c>
      <c r="Q63" s="28">
        <f t="shared" si="2"/>
        <v>30.332000000000004</v>
      </c>
      <c r="R63" s="28">
        <f t="shared" si="3"/>
        <v>53.08100000000001</v>
      </c>
      <c r="S63" s="28">
        <f t="shared" si="4"/>
        <v>37.915000000000006</v>
      </c>
      <c r="T63" s="28">
        <f t="shared" si="5"/>
        <v>60.664000000000009</v>
      </c>
      <c r="U63" s="107">
        <f>(B63*(EXP((5.59864745-(0.430859165*LN(B63))))))/24</f>
        <v>651.37097516504707</v>
      </c>
      <c r="V63" s="23">
        <f>U63*(1.03^3)</f>
        <v>711.77065157917639</v>
      </c>
      <c r="W63" s="31">
        <v>8.5050000000000008</v>
      </c>
      <c r="X63" s="22">
        <f>W63*$B$6</f>
        <v>51.594732</v>
      </c>
      <c r="Y63" s="23">
        <f>X63*$B$10</f>
        <v>4849904.8080000002</v>
      </c>
      <c r="Z63" s="23">
        <f>Y63/(365*24)</f>
        <v>553.64210136986298</v>
      </c>
      <c r="AA63" s="23">
        <v>379.15000000000003</v>
      </c>
      <c r="AB63" s="23">
        <f>Z63+AA63</f>
        <v>932.79210136986308</v>
      </c>
    </row>
    <row r="64" spans="1:28" ht="15" thickBot="1" x14ac:dyDescent="0.35">
      <c r="A64" s="2" t="s">
        <v>52</v>
      </c>
      <c r="B64">
        <v>2530</v>
      </c>
      <c r="D64" s="97"/>
      <c r="E64" s="97"/>
      <c r="G64" s="10">
        <v>52</v>
      </c>
      <c r="H64" s="10">
        <v>8</v>
      </c>
      <c r="I64" s="10">
        <v>14</v>
      </c>
      <c r="J64" s="10">
        <v>10</v>
      </c>
      <c r="K64" s="10">
        <v>16</v>
      </c>
      <c r="L64" s="37"/>
      <c r="M64" s="5"/>
      <c r="N64" s="5"/>
      <c r="O64" s="28">
        <f>AA64</f>
        <v>682.46999999999991</v>
      </c>
      <c r="P64" s="28">
        <f t="shared" si="1"/>
        <v>354.88439999999997</v>
      </c>
      <c r="Q64" s="28">
        <f t="shared" si="2"/>
        <v>54.597599999999993</v>
      </c>
      <c r="R64" s="28">
        <f t="shared" si="3"/>
        <v>95.5458</v>
      </c>
      <c r="S64" s="28">
        <f t="shared" si="4"/>
        <v>68.247</v>
      </c>
      <c r="T64" s="28">
        <f t="shared" si="5"/>
        <v>109.19519999999999</v>
      </c>
      <c r="U64" s="107">
        <f>(B64*(EXP((5.59864745-(0.430859165*LN(B64))))))/24</f>
        <v>972.98312243567932</v>
      </c>
      <c r="V64" s="23">
        <f>U64*(1.03^3)</f>
        <v>1063.2049284297725</v>
      </c>
      <c r="W64" s="31">
        <v>10.421250000000001</v>
      </c>
      <c r="X64" s="22">
        <f t="shared" ref="X64:X65" si="7">W64*$B$6</f>
        <v>63.219470999999999</v>
      </c>
      <c r="Y64" s="23">
        <f t="shared" ref="Y64:Y65" si="8">X64*$B$10</f>
        <v>5942630.2740000002</v>
      </c>
      <c r="Z64" s="23">
        <f>Y64/(365*24)</f>
        <v>678.38245136986302</v>
      </c>
      <c r="AA64" s="23">
        <v>682.46999999999991</v>
      </c>
      <c r="AB64" s="23">
        <f>Z64+AA64</f>
        <v>1360.852451369863</v>
      </c>
    </row>
    <row r="65" spans="1:28" ht="15" thickBot="1" x14ac:dyDescent="0.35">
      <c r="A65" s="2" t="s">
        <v>54</v>
      </c>
      <c r="B65">
        <v>4440</v>
      </c>
      <c r="D65" s="97"/>
      <c r="E65" s="97"/>
      <c r="G65" s="10">
        <v>54</v>
      </c>
      <c r="H65" s="10">
        <v>12</v>
      </c>
      <c r="I65" s="10">
        <v>13</v>
      </c>
      <c r="J65" s="10">
        <v>10</v>
      </c>
      <c r="K65" s="10">
        <v>11</v>
      </c>
      <c r="L65" s="37"/>
      <c r="M65" s="5"/>
      <c r="N65" s="5"/>
      <c r="O65" s="28">
        <f>AA65</f>
        <v>935.23666666666668</v>
      </c>
      <c r="P65" s="28">
        <f t="shared" si="1"/>
        <v>505.02780000000001</v>
      </c>
      <c r="Q65" s="28">
        <f t="shared" si="2"/>
        <v>112.22839999999999</v>
      </c>
      <c r="R65" s="28">
        <f t="shared" si="3"/>
        <v>121.58076666666668</v>
      </c>
      <c r="S65" s="28">
        <f t="shared" si="4"/>
        <v>93.523666666666671</v>
      </c>
      <c r="T65" s="28">
        <f t="shared" si="5"/>
        <v>102.87603333333334</v>
      </c>
      <c r="U65" s="107">
        <f>(B65*(EXP((5.59864745-(0.430859165*LN(B65))))))/24</f>
        <v>1340.0624597513793</v>
      </c>
      <c r="V65" s="23">
        <f>U65*(1.03^3)</f>
        <v>1464.3224314567453</v>
      </c>
      <c r="W65" s="31">
        <v>14.3325</v>
      </c>
      <c r="X65" s="22">
        <f t="shared" si="7"/>
        <v>86.946677999999991</v>
      </c>
      <c r="Y65" s="23">
        <f t="shared" si="8"/>
        <v>8172987.7319999989</v>
      </c>
      <c r="Z65" s="23">
        <f>Y65/(365*24)</f>
        <v>932.98946712328757</v>
      </c>
      <c r="AA65" s="23">
        <v>935.23666666666668</v>
      </c>
      <c r="AB65" s="23">
        <f>Z65+AA65</f>
        <v>1868.2261337899542</v>
      </c>
    </row>
    <row r="66" spans="1:28" x14ac:dyDescent="0.3">
      <c r="A66" s="2" t="s">
        <v>55</v>
      </c>
      <c r="C66" s="3"/>
      <c r="D66" s="98" t="s">
        <v>56</v>
      </c>
      <c r="E66" s="103">
        <v>13000</v>
      </c>
      <c r="F66" s="3"/>
      <c r="G66" s="10">
        <v>54</v>
      </c>
      <c r="H66" s="10">
        <v>12</v>
      </c>
      <c r="I66" s="10">
        <v>13</v>
      </c>
      <c r="J66" s="10">
        <v>10</v>
      </c>
      <c r="K66" s="10">
        <v>11</v>
      </c>
      <c r="L66" s="36"/>
      <c r="M66" s="5"/>
      <c r="N66" s="5"/>
      <c r="O66" s="28">
        <f>(E66*$B$6)/24</f>
        <v>3285.9666666666667</v>
      </c>
      <c r="P66" s="28">
        <f t="shared" si="1"/>
        <v>1774.422</v>
      </c>
      <c r="Q66" s="28">
        <f t="shared" si="2"/>
        <v>394.31599999999997</v>
      </c>
      <c r="R66" s="28">
        <f t="shared" si="3"/>
        <v>427.1756666666667</v>
      </c>
      <c r="S66" s="28">
        <f t="shared" si="4"/>
        <v>328.59666666666669</v>
      </c>
      <c r="T66" s="28">
        <f t="shared" si="5"/>
        <v>361.45633333333336</v>
      </c>
    </row>
    <row r="67" spans="1:28" x14ac:dyDescent="0.3">
      <c r="A67" s="2" t="s">
        <v>57</v>
      </c>
      <c r="D67" s="97"/>
      <c r="E67" s="97"/>
      <c r="G67" s="10"/>
      <c r="H67" s="10"/>
      <c r="I67" s="10"/>
      <c r="J67" s="10"/>
      <c r="K67" s="37"/>
      <c r="L67" s="10"/>
      <c r="O67" s="28">
        <f>SUM(P67:T67)</f>
        <v>804.49391503546099</v>
      </c>
      <c r="P67" s="28">
        <f>P68</f>
        <v>354.88439999999997</v>
      </c>
      <c r="Q67" s="28">
        <f>Q68</f>
        <v>54.597599999999993</v>
      </c>
      <c r="R67" s="28">
        <f>R69*1.2</f>
        <v>145.89691999999999</v>
      </c>
      <c r="S67" s="28">
        <f>S68*('Kalk kost 2010 sjø'!S117/'Kalk kost 2010 sjø'!S119)</f>
        <v>87.849861702127669</v>
      </c>
      <c r="T67" s="28">
        <f>T50</f>
        <v>161.2651333333333</v>
      </c>
    </row>
    <row r="68" spans="1:28" x14ac:dyDescent="0.3">
      <c r="A68" s="2" t="s">
        <v>58</v>
      </c>
      <c r="D68" s="97"/>
      <c r="E68" s="97"/>
      <c r="G68" s="10"/>
      <c r="H68" s="10"/>
      <c r="I68" s="10"/>
      <c r="J68" s="10"/>
      <c r="K68" s="10"/>
      <c r="L68" s="10"/>
      <c r="O68" s="10">
        <f t="shared" ref="O68:T68" si="9">O64</f>
        <v>682.46999999999991</v>
      </c>
      <c r="P68" s="28">
        <f t="shared" si="9"/>
        <v>354.88439999999997</v>
      </c>
      <c r="Q68" s="28">
        <f t="shared" si="9"/>
        <v>54.597599999999993</v>
      </c>
      <c r="R68" s="28">
        <f t="shared" si="9"/>
        <v>95.5458</v>
      </c>
      <c r="S68" s="28">
        <f t="shared" si="9"/>
        <v>68.247</v>
      </c>
      <c r="T68" s="28">
        <f t="shared" si="9"/>
        <v>109.19519999999999</v>
      </c>
    </row>
    <row r="69" spans="1:28" x14ac:dyDescent="0.3">
      <c r="A69" s="7" t="s">
        <v>59</v>
      </c>
      <c r="D69" s="97"/>
      <c r="E69" s="97"/>
      <c r="G69" s="40">
        <v>60</v>
      </c>
      <c r="H69" s="40">
        <v>10</v>
      </c>
      <c r="I69" s="40">
        <v>11</v>
      </c>
      <c r="J69" s="40">
        <v>8</v>
      </c>
      <c r="K69" s="40">
        <v>11</v>
      </c>
      <c r="L69" s="40"/>
      <c r="O69" s="10">
        <v>1004</v>
      </c>
      <c r="P69" s="28">
        <f>P65</f>
        <v>505.02780000000001</v>
      </c>
      <c r="Q69" s="28">
        <f>Q65</f>
        <v>112.22839999999999</v>
      </c>
      <c r="R69" s="28">
        <f>R65</f>
        <v>121.58076666666668</v>
      </c>
      <c r="S69" s="28">
        <f>S65</f>
        <v>93.523666666666671</v>
      </c>
      <c r="T69" s="28">
        <f>T65</f>
        <v>102.87603333333334</v>
      </c>
    </row>
    <row r="70" spans="1:28" x14ac:dyDescent="0.3">
      <c r="A70" s="7" t="s">
        <v>60</v>
      </c>
      <c r="D70" s="97"/>
      <c r="E70" s="97"/>
      <c r="G70" s="10"/>
      <c r="H70" s="10"/>
      <c r="I70" s="10"/>
      <c r="J70" s="10"/>
      <c r="K70" s="10"/>
      <c r="L70" s="10"/>
      <c r="O70" s="10"/>
      <c r="P70" s="10"/>
      <c r="Q70" s="10"/>
      <c r="R70" s="10"/>
      <c r="S70" s="10"/>
      <c r="T70" s="10"/>
    </row>
    <row r="71" spans="1:28" x14ac:dyDescent="0.3">
      <c r="D71" s="97"/>
      <c r="E71" s="97"/>
      <c r="G71" s="10"/>
      <c r="H71" s="10"/>
      <c r="I71" s="10"/>
      <c r="J71" s="10"/>
      <c r="K71" s="10"/>
      <c r="L71" s="10"/>
      <c r="O71" s="10"/>
      <c r="P71" s="10"/>
      <c r="Q71" s="10"/>
      <c r="R71" s="10"/>
      <c r="S71" s="10"/>
      <c r="T71" s="10"/>
    </row>
    <row r="72" spans="1:28" ht="15" thickBot="1" x14ac:dyDescent="0.35">
      <c r="B72" t="s">
        <v>61</v>
      </c>
      <c r="C72" t="s">
        <v>62</v>
      </c>
      <c r="D72" s="100" t="s">
        <v>63</v>
      </c>
      <c r="E72" s="100">
        <v>7500</v>
      </c>
      <c r="G72" s="10">
        <v>54</v>
      </c>
      <c r="H72" s="10">
        <v>10</v>
      </c>
      <c r="I72" s="10">
        <v>14</v>
      </c>
      <c r="J72" s="10">
        <v>8</v>
      </c>
      <c r="K72" s="10">
        <v>14</v>
      </c>
      <c r="L72" s="10">
        <v>100</v>
      </c>
      <c r="O72" s="28">
        <f>(E72*'Kalk kost 2010 sjø'!$B$6)/24</f>
        <v>1895.75</v>
      </c>
      <c r="P72" s="28">
        <f>$O72*(G72/100)</f>
        <v>1023.705</v>
      </c>
      <c r="Q72" s="28">
        <f>$O72*(H72/100)</f>
        <v>189.57500000000002</v>
      </c>
      <c r="R72" s="28">
        <f>$O72*(I72/100)</f>
        <v>265.40500000000003</v>
      </c>
      <c r="S72" s="28">
        <f>$O72*(J72/100)</f>
        <v>151.66</v>
      </c>
      <c r="T72" s="28">
        <f>$O72*(K72/100)</f>
        <v>265.40500000000003</v>
      </c>
    </row>
    <row r="73" spans="1:28" x14ac:dyDescent="0.3">
      <c r="H73" s="5"/>
      <c r="I73" s="5"/>
      <c r="J73" s="5"/>
      <c r="K73" s="5"/>
    </row>
    <row r="75" spans="1:28" ht="18" x14ac:dyDescent="0.35">
      <c r="B75" s="12"/>
      <c r="C75" s="12"/>
      <c r="D75" s="12"/>
      <c r="E75" s="12"/>
    </row>
    <row r="76" spans="1:28" ht="15.6" x14ac:dyDescent="0.3">
      <c r="A76" s="111" t="s">
        <v>97</v>
      </c>
      <c r="D76" s="110" t="s">
        <v>457</v>
      </c>
      <c r="L76" s="109"/>
    </row>
    <row r="77" spans="1:28" ht="15.6" x14ac:dyDescent="0.3">
      <c r="A77" s="111"/>
      <c r="D77" s="110"/>
      <c r="L77" s="109"/>
      <c r="P77" t="s">
        <v>458</v>
      </c>
    </row>
    <row r="78" spans="1:28" ht="72" x14ac:dyDescent="0.3">
      <c r="D78" t="s">
        <v>0</v>
      </c>
      <c r="E78" t="s">
        <v>1</v>
      </c>
      <c r="G78" t="s">
        <v>98</v>
      </c>
      <c r="L78" t="s">
        <v>99</v>
      </c>
      <c r="P78" s="8" t="s">
        <v>156</v>
      </c>
      <c r="Q78" s="8" t="s">
        <v>157</v>
      </c>
      <c r="R78" s="8" t="s">
        <v>158</v>
      </c>
      <c r="S78" s="8" t="s">
        <v>160</v>
      </c>
      <c r="T78" s="8" t="s">
        <v>161</v>
      </c>
      <c r="U78" s="8" t="s">
        <v>459</v>
      </c>
      <c r="V78" s="8" t="s">
        <v>460</v>
      </c>
    </row>
    <row r="79" spans="1:28" x14ac:dyDescent="0.3">
      <c r="D79" t="s">
        <v>2</v>
      </c>
      <c r="E79">
        <v>2010</v>
      </c>
      <c r="G79" s="1">
        <v>40452</v>
      </c>
      <c r="H79" t="s">
        <v>100</v>
      </c>
      <c r="I79" t="s">
        <v>101</v>
      </c>
      <c r="J79" t="s">
        <v>102</v>
      </c>
      <c r="L79" t="s">
        <v>103</v>
      </c>
      <c r="M79">
        <v>2009</v>
      </c>
      <c r="N79">
        <v>2008</v>
      </c>
    </row>
    <row r="80" spans="1:28" x14ac:dyDescent="0.3">
      <c r="G80" s="1"/>
    </row>
    <row r="81" spans="1:22" x14ac:dyDescent="0.3">
      <c r="A81" s="2" t="s">
        <v>9</v>
      </c>
      <c r="P81" s="31">
        <f>P87*1.05</f>
        <v>8.5050000000000008</v>
      </c>
      <c r="Q81" s="22">
        <f>P81*$B$6</f>
        <v>51.594732</v>
      </c>
      <c r="R81" s="23">
        <f>Q81*$B$8</f>
        <v>5675420.5200000005</v>
      </c>
      <c r="S81" s="23">
        <f t="shared" ref="S81:S112" si="10">R81/(365*24)</f>
        <v>647.87905479452058</v>
      </c>
      <c r="T81">
        <f>(R81+(365*E81*$B$6))/$B$6</f>
        <v>935550.00000000012</v>
      </c>
    </row>
    <row r="82" spans="1:22" x14ac:dyDescent="0.3">
      <c r="A82" s="2" t="s">
        <v>10</v>
      </c>
      <c r="P82" s="31">
        <f>P88*1.05</f>
        <v>10.421250000000001</v>
      </c>
      <c r="Q82" s="22">
        <f t="shared" ref="Q82:Q112" si="11">P82*$B$6</f>
        <v>63.219470999999999</v>
      </c>
      <c r="R82" s="23">
        <f t="shared" ref="R82:R112" si="12">Q82*$B$8</f>
        <v>6954141.8099999996</v>
      </c>
      <c r="S82" s="23">
        <f t="shared" si="10"/>
        <v>793.85180479452049</v>
      </c>
      <c r="T82">
        <f>(R82+(365*E82*$B$6))/$B$6</f>
        <v>1146337.5</v>
      </c>
    </row>
    <row r="83" spans="1:22" x14ac:dyDescent="0.3">
      <c r="A83" s="2" t="s">
        <v>11</v>
      </c>
      <c r="P83" s="31">
        <f>P89*1.05</f>
        <v>14.3325</v>
      </c>
      <c r="Q83" s="22">
        <f t="shared" si="11"/>
        <v>86.946677999999991</v>
      </c>
      <c r="R83" s="23">
        <f t="shared" si="12"/>
        <v>9564134.5799999982</v>
      </c>
      <c r="S83" s="23">
        <f t="shared" si="10"/>
        <v>1091.7961849315066</v>
      </c>
      <c r="T83">
        <f t="shared" ref="T83:T112" si="13">(R83+(365*E83*$B$6))/$B$6</f>
        <v>1576574.9999999998</v>
      </c>
    </row>
    <row r="84" spans="1:22" x14ac:dyDescent="0.3">
      <c r="A84" s="2" t="s">
        <v>12</v>
      </c>
      <c r="C84" s="13"/>
      <c r="D84" s="4">
        <v>9000</v>
      </c>
      <c r="E84" s="13">
        <v>4500</v>
      </c>
      <c r="F84" s="13"/>
      <c r="G84" s="13" t="s">
        <v>104</v>
      </c>
      <c r="H84" s="13" t="s">
        <v>105</v>
      </c>
      <c r="I84" s="13" t="s">
        <v>106</v>
      </c>
      <c r="J84" s="13" t="s">
        <v>107</v>
      </c>
      <c r="K84" s="13"/>
      <c r="L84" s="13">
        <v>6200</v>
      </c>
      <c r="M84" s="13">
        <v>9700</v>
      </c>
      <c r="N84" s="13">
        <v>8800</v>
      </c>
      <c r="P84">
        <f>(18.5+17.7+21.7+28.2)/4</f>
        <v>21.525000000000002</v>
      </c>
      <c r="Q84" s="22">
        <f t="shared" si="11"/>
        <v>130.57926</v>
      </c>
      <c r="R84" s="23">
        <f t="shared" si="12"/>
        <v>14363718.6</v>
      </c>
      <c r="S84" s="23">
        <f t="shared" si="10"/>
        <v>1639.6939041095891</v>
      </c>
      <c r="T84">
        <f t="shared" si="13"/>
        <v>4010250.0000000005</v>
      </c>
      <c r="U84" s="23">
        <f>365*(L84+M84+N84)/3</f>
        <v>3005166.6666666665</v>
      </c>
      <c r="V84">
        <f>T84/U84</f>
        <v>1.3344517774943156</v>
      </c>
    </row>
    <row r="85" spans="1:22" x14ac:dyDescent="0.3">
      <c r="A85" s="2" t="s">
        <v>13</v>
      </c>
      <c r="C85" s="13"/>
      <c r="D85" s="4">
        <v>17000</v>
      </c>
      <c r="E85" s="13">
        <v>4900</v>
      </c>
      <c r="F85" s="13"/>
      <c r="G85" s="13" t="s">
        <v>108</v>
      </c>
      <c r="H85" s="13" t="s">
        <v>109</v>
      </c>
      <c r="I85" s="13" t="s">
        <v>110</v>
      </c>
      <c r="J85" s="13" t="s">
        <v>111</v>
      </c>
      <c r="K85" s="13"/>
      <c r="L85" s="13">
        <v>9100</v>
      </c>
      <c r="M85" s="13">
        <v>9400</v>
      </c>
      <c r="N85" s="13">
        <v>17800</v>
      </c>
      <c r="P85">
        <f>(24.5+23.5+28.8+37.4)/4</f>
        <v>28.549999999999997</v>
      </c>
      <c r="Q85" s="22">
        <f t="shared" si="11"/>
        <v>173.19571999999997</v>
      </c>
      <c r="R85" s="23">
        <f t="shared" si="12"/>
        <v>19051529.199999996</v>
      </c>
      <c r="S85" s="23">
        <f t="shared" si="10"/>
        <v>2174.8321004566205</v>
      </c>
      <c r="T85">
        <f t="shared" si="13"/>
        <v>4928999.9999999991</v>
      </c>
      <c r="U85" s="23">
        <f>365*(L85+M85+N85)/3</f>
        <v>4416500</v>
      </c>
      <c r="V85">
        <f>T85/U85</f>
        <v>1.1160421147967845</v>
      </c>
    </row>
    <row r="86" spans="1:22" x14ac:dyDescent="0.3">
      <c r="A86" s="2" t="s">
        <v>14</v>
      </c>
      <c r="C86" s="13"/>
      <c r="D86" s="13"/>
      <c r="E86" s="13">
        <v>5200</v>
      </c>
      <c r="F86" s="13"/>
      <c r="G86" s="13" t="s">
        <v>112</v>
      </c>
      <c r="H86" s="13" t="s">
        <v>112</v>
      </c>
      <c r="I86" s="13" t="s">
        <v>113</v>
      </c>
      <c r="J86" s="13" t="s">
        <v>114</v>
      </c>
      <c r="K86" s="13"/>
      <c r="L86" s="13" t="s">
        <v>115</v>
      </c>
      <c r="P86">
        <f>(39.5+39.5+46.4+60.3)/4</f>
        <v>46.424999999999997</v>
      </c>
      <c r="Q86" s="22">
        <f t="shared" si="11"/>
        <v>281.63261999999997</v>
      </c>
      <c r="R86" s="23">
        <f t="shared" si="12"/>
        <v>30979588.199999996</v>
      </c>
      <c r="S86" s="23">
        <f t="shared" si="10"/>
        <v>3536.4826712328763</v>
      </c>
      <c r="T86">
        <f t="shared" si="13"/>
        <v>7004749.9999999991</v>
      </c>
      <c r="U86" s="23"/>
    </row>
    <row r="87" spans="1:22" x14ac:dyDescent="0.3">
      <c r="A87" s="2" t="s">
        <v>15</v>
      </c>
      <c r="C87" s="13"/>
      <c r="D87" s="13"/>
      <c r="E87" s="13">
        <v>1500</v>
      </c>
      <c r="F87" s="13"/>
      <c r="G87" s="13" t="s">
        <v>116</v>
      </c>
      <c r="H87" s="13" t="s">
        <v>117</v>
      </c>
      <c r="I87" s="13" t="s">
        <v>118</v>
      </c>
      <c r="J87" s="13" t="s">
        <v>119</v>
      </c>
      <c r="K87" s="14"/>
      <c r="L87" s="13" t="s">
        <v>115</v>
      </c>
      <c r="P87">
        <f>(7+6.4+9.4+9.6)/4</f>
        <v>8.1</v>
      </c>
      <c r="Q87" s="22">
        <f t="shared" si="11"/>
        <v>49.137839999999997</v>
      </c>
      <c r="R87" s="23">
        <f t="shared" si="12"/>
        <v>5405162.3999999994</v>
      </c>
      <c r="S87" s="23">
        <f t="shared" si="10"/>
        <v>617.02767123287663</v>
      </c>
      <c r="T87">
        <f t="shared" si="13"/>
        <v>1438499.9999999998</v>
      </c>
      <c r="U87" s="23"/>
    </row>
    <row r="88" spans="1:22" x14ac:dyDescent="0.3">
      <c r="A88" s="2" t="s">
        <v>16</v>
      </c>
      <c r="C88" s="13"/>
      <c r="D88" s="13"/>
      <c r="E88" s="13">
        <v>1900</v>
      </c>
      <c r="F88" s="13"/>
      <c r="G88" s="13" t="s">
        <v>120</v>
      </c>
      <c r="H88" s="13" t="s">
        <v>121</v>
      </c>
      <c r="I88" s="13" t="s">
        <v>122</v>
      </c>
      <c r="J88" s="13" t="s">
        <v>123</v>
      </c>
      <c r="K88" s="14"/>
      <c r="L88" s="13" t="s">
        <v>115</v>
      </c>
      <c r="M88" s="13" t="s">
        <v>124</v>
      </c>
      <c r="N88" s="13" t="s">
        <v>125</v>
      </c>
      <c r="O88" s="13" t="s">
        <v>126</v>
      </c>
      <c r="P88">
        <f>(8.5+7.8+11.4+12)/4</f>
        <v>9.9250000000000007</v>
      </c>
      <c r="Q88" s="22">
        <f t="shared" si="11"/>
        <v>60.209020000000002</v>
      </c>
      <c r="R88" s="23">
        <f t="shared" si="12"/>
        <v>6622992.2000000002</v>
      </c>
      <c r="S88" s="23">
        <f t="shared" si="10"/>
        <v>756.04933789954339</v>
      </c>
      <c r="T88">
        <f t="shared" si="13"/>
        <v>1785250</v>
      </c>
      <c r="U88" s="23">
        <f>365*(5000+3300)/2</f>
        <v>1514750</v>
      </c>
      <c r="V88">
        <f>T88/U88</f>
        <v>1.1785773229905925</v>
      </c>
    </row>
    <row r="89" spans="1:22" x14ac:dyDescent="0.3">
      <c r="A89" s="2" t="s">
        <v>17</v>
      </c>
      <c r="C89" s="13"/>
      <c r="D89" s="13"/>
      <c r="E89" s="13">
        <v>2500</v>
      </c>
      <c r="F89" s="13"/>
      <c r="G89" s="13" t="s">
        <v>127</v>
      </c>
      <c r="H89" s="13" t="s">
        <v>127</v>
      </c>
      <c r="I89" s="13" t="s">
        <v>128</v>
      </c>
      <c r="J89" s="13" t="s">
        <v>129</v>
      </c>
      <c r="K89" s="14"/>
      <c r="L89" s="13" t="s">
        <v>115</v>
      </c>
      <c r="M89" s="13" t="s">
        <v>130</v>
      </c>
      <c r="N89" s="13" t="s">
        <v>131</v>
      </c>
      <c r="O89" s="13" t="s">
        <v>126</v>
      </c>
      <c r="P89">
        <f>(11.5+11.5+15.4+16.2)/4</f>
        <v>13.649999999999999</v>
      </c>
      <c r="Q89" s="22">
        <f t="shared" si="11"/>
        <v>82.806359999999984</v>
      </c>
      <c r="R89" s="23">
        <f t="shared" si="12"/>
        <v>9108699.5999999978</v>
      </c>
      <c r="S89" s="23">
        <f t="shared" si="10"/>
        <v>1039.8058904109587</v>
      </c>
      <c r="T89">
        <f t="shared" si="13"/>
        <v>2413999.9999999995</v>
      </c>
      <c r="U89" s="23">
        <f>365*(4000+2600)/2</f>
        <v>1204500</v>
      </c>
      <c r="V89">
        <f>T89/U89</f>
        <v>2.0041511000415104</v>
      </c>
    </row>
    <row r="90" spans="1:22" x14ac:dyDescent="0.3">
      <c r="A90" s="2" t="s">
        <v>18</v>
      </c>
      <c r="C90" s="13"/>
      <c r="D90" s="13"/>
      <c r="E90" s="13">
        <v>4200</v>
      </c>
      <c r="F90" s="13"/>
      <c r="G90" s="13" t="s">
        <v>132</v>
      </c>
      <c r="H90" s="13" t="s">
        <v>133</v>
      </c>
      <c r="I90" s="13" t="s">
        <v>134</v>
      </c>
      <c r="J90" s="13" t="s">
        <v>135</v>
      </c>
      <c r="K90" s="14"/>
      <c r="L90" s="13" t="s">
        <v>115</v>
      </c>
      <c r="M90" s="15"/>
      <c r="P90">
        <f>(14+12.8+18.7+19.7)/4</f>
        <v>16.3</v>
      </c>
      <c r="Q90" s="22">
        <f t="shared" si="11"/>
        <v>98.882320000000007</v>
      </c>
      <c r="R90" s="23">
        <f t="shared" si="12"/>
        <v>10877055.200000001</v>
      </c>
      <c r="S90" s="23">
        <f t="shared" si="10"/>
        <v>1241.6729680365297</v>
      </c>
      <c r="T90">
        <f t="shared" si="13"/>
        <v>3326000</v>
      </c>
      <c r="U90" s="23"/>
    </row>
    <row r="91" spans="1:22" x14ac:dyDescent="0.3">
      <c r="A91" s="2" t="s">
        <v>19</v>
      </c>
      <c r="C91" s="13"/>
      <c r="D91" s="13"/>
      <c r="E91" s="13">
        <v>4900</v>
      </c>
      <c r="F91" s="13"/>
      <c r="G91" s="13">
        <v>20</v>
      </c>
      <c r="H91" s="13">
        <v>19.2</v>
      </c>
      <c r="I91" s="13">
        <v>24</v>
      </c>
      <c r="J91" s="13">
        <v>31</v>
      </c>
      <c r="K91" s="14"/>
      <c r="L91" s="13" t="s">
        <v>115</v>
      </c>
      <c r="P91">
        <f>(20+19.2+24+31)/4</f>
        <v>23.55</v>
      </c>
      <c r="Q91" s="22">
        <f t="shared" si="11"/>
        <v>142.86372</v>
      </c>
      <c r="R91" s="23">
        <f t="shared" si="12"/>
        <v>15715009.199999999</v>
      </c>
      <c r="S91" s="23">
        <f t="shared" si="10"/>
        <v>1793.9508219178081</v>
      </c>
      <c r="T91">
        <f t="shared" si="13"/>
        <v>4379000</v>
      </c>
      <c r="U91" s="23"/>
    </row>
    <row r="92" spans="1:22" x14ac:dyDescent="0.3">
      <c r="A92" s="2" t="s">
        <v>20</v>
      </c>
      <c r="C92" s="13"/>
      <c r="D92" s="4">
        <v>45000</v>
      </c>
      <c r="E92" s="13">
        <v>6000</v>
      </c>
      <c r="F92" s="13"/>
      <c r="G92" s="13">
        <v>29</v>
      </c>
      <c r="H92" s="13">
        <v>28</v>
      </c>
      <c r="I92" s="13">
        <v>35</v>
      </c>
      <c r="J92" s="13">
        <v>45</v>
      </c>
      <c r="K92" s="13"/>
      <c r="L92" s="13">
        <v>19100</v>
      </c>
      <c r="M92" s="13">
        <v>12800</v>
      </c>
      <c r="N92" s="13">
        <v>38700</v>
      </c>
      <c r="P92">
        <f>(29+28+35+45)/4</f>
        <v>34.25</v>
      </c>
      <c r="Q92" s="22">
        <f t="shared" si="11"/>
        <v>207.77419999999998</v>
      </c>
      <c r="R92" s="23">
        <f t="shared" si="12"/>
        <v>22855161.999999996</v>
      </c>
      <c r="S92" s="23">
        <f t="shared" si="10"/>
        <v>2609.036757990867</v>
      </c>
      <c r="T92">
        <f t="shared" si="13"/>
        <v>5957500</v>
      </c>
      <c r="U92" s="23">
        <f t="shared" ref="U92:U98" si="14">365*(L92+M92+N92)/3</f>
        <v>8589666.666666666</v>
      </c>
      <c r="V92">
        <f t="shared" ref="V92:V98" si="15">T92/U92</f>
        <v>0.69356591253055999</v>
      </c>
    </row>
    <row r="93" spans="1:22" x14ac:dyDescent="0.3">
      <c r="A93" s="2" t="s">
        <v>21</v>
      </c>
      <c r="C93" s="13"/>
      <c r="D93" s="4">
        <v>56000</v>
      </c>
      <c r="E93" s="13">
        <v>6100</v>
      </c>
      <c r="F93" s="16"/>
      <c r="G93" s="16">
        <v>31</v>
      </c>
      <c r="H93" s="16">
        <v>30</v>
      </c>
      <c r="I93" s="16">
        <v>37</v>
      </c>
      <c r="J93" s="16">
        <v>48</v>
      </c>
      <c r="K93" s="16"/>
      <c r="L93" s="17">
        <v>21700</v>
      </c>
      <c r="M93" s="13">
        <v>14700</v>
      </c>
      <c r="N93" s="13">
        <v>45500</v>
      </c>
      <c r="P93">
        <f>(31+30+37+48)/4</f>
        <v>36.5</v>
      </c>
      <c r="Q93" s="22">
        <f t="shared" si="11"/>
        <v>221.42359999999999</v>
      </c>
      <c r="R93" s="23">
        <f t="shared" si="12"/>
        <v>24356596</v>
      </c>
      <c r="S93" s="23">
        <f t="shared" si="10"/>
        <v>2780.4333333333334</v>
      </c>
      <c r="T93">
        <f t="shared" si="13"/>
        <v>6241500</v>
      </c>
      <c r="U93" s="23">
        <f t="shared" si="14"/>
        <v>9964500</v>
      </c>
      <c r="V93">
        <f t="shared" si="15"/>
        <v>0.62637362637362637</v>
      </c>
    </row>
    <row r="94" spans="1:22" x14ac:dyDescent="0.3">
      <c r="A94" s="2" t="s">
        <v>22</v>
      </c>
      <c r="C94" s="13"/>
      <c r="D94" s="4">
        <v>76000</v>
      </c>
      <c r="E94" s="13">
        <v>6400</v>
      </c>
      <c r="F94" s="13"/>
      <c r="G94" s="13">
        <v>37</v>
      </c>
      <c r="H94" s="13">
        <v>35</v>
      </c>
      <c r="I94" s="13">
        <v>42</v>
      </c>
      <c r="J94" s="13">
        <v>55</v>
      </c>
      <c r="K94" s="13"/>
      <c r="L94" s="13">
        <v>25700</v>
      </c>
      <c r="M94" s="13">
        <v>18200</v>
      </c>
      <c r="N94" s="13">
        <v>55600</v>
      </c>
      <c r="P94">
        <f>(37+35+42+55)/4</f>
        <v>42.25</v>
      </c>
      <c r="Q94" s="22">
        <f t="shared" si="11"/>
        <v>256.30539999999996</v>
      </c>
      <c r="R94" s="23">
        <f t="shared" si="12"/>
        <v>28193593.999999996</v>
      </c>
      <c r="S94" s="23">
        <f t="shared" si="10"/>
        <v>3218.4468036529674</v>
      </c>
      <c r="T94">
        <f t="shared" si="13"/>
        <v>6983500</v>
      </c>
      <c r="U94" s="23">
        <f t="shared" si="14"/>
        <v>12105833.333333334</v>
      </c>
      <c r="V94">
        <f t="shared" si="15"/>
        <v>0.57687065464307841</v>
      </c>
    </row>
    <row r="95" spans="1:22" x14ac:dyDescent="0.3">
      <c r="A95" s="2" t="s">
        <v>23</v>
      </c>
      <c r="C95" s="13"/>
      <c r="D95" s="4" t="s">
        <v>24</v>
      </c>
      <c r="E95" s="13">
        <v>4500</v>
      </c>
      <c r="F95" s="13"/>
      <c r="G95" s="13" t="s">
        <v>136</v>
      </c>
      <c r="H95" s="13" t="s">
        <v>137</v>
      </c>
      <c r="I95" s="13" t="s">
        <v>138</v>
      </c>
      <c r="J95" s="13" t="s">
        <v>139</v>
      </c>
      <c r="K95" s="13"/>
      <c r="L95" s="13">
        <v>4400</v>
      </c>
      <c r="M95" s="13">
        <v>3600</v>
      </c>
      <c r="N95" s="13">
        <v>7600</v>
      </c>
      <c r="P95">
        <f>(22.1+20.2+15.4+26.1)/4</f>
        <v>20.95</v>
      </c>
      <c r="Q95" s="22">
        <f t="shared" si="11"/>
        <v>127.09107999999999</v>
      </c>
      <c r="R95" s="23">
        <f t="shared" si="12"/>
        <v>13980018.799999999</v>
      </c>
      <c r="S95" s="23">
        <f t="shared" si="10"/>
        <v>1595.8925570776255</v>
      </c>
      <c r="T95">
        <f t="shared" si="13"/>
        <v>3946999.9999999995</v>
      </c>
      <c r="U95" s="23">
        <f t="shared" si="14"/>
        <v>1898000</v>
      </c>
      <c r="V95">
        <f t="shared" si="15"/>
        <v>2.0795574288724969</v>
      </c>
    </row>
    <row r="96" spans="1:22" x14ac:dyDescent="0.3">
      <c r="A96" s="2" t="s">
        <v>25</v>
      </c>
      <c r="C96" s="16"/>
      <c r="D96" s="4" t="s">
        <v>26</v>
      </c>
      <c r="E96" s="13">
        <v>5000</v>
      </c>
      <c r="F96" s="13"/>
      <c r="G96" s="13" t="s">
        <v>140</v>
      </c>
      <c r="H96" s="13" t="s">
        <v>141</v>
      </c>
      <c r="I96" s="18" t="s">
        <v>142</v>
      </c>
      <c r="J96" s="13" t="s">
        <v>139</v>
      </c>
      <c r="K96" s="13"/>
      <c r="L96" s="13">
        <v>5800</v>
      </c>
      <c r="M96" s="13">
        <v>4100</v>
      </c>
      <c r="N96" s="13">
        <v>10300</v>
      </c>
      <c r="P96">
        <f>(20.4+18.1+23.8+26.1)/4</f>
        <v>22.1</v>
      </c>
      <c r="Q96" s="22">
        <f t="shared" si="11"/>
        <v>134.06744</v>
      </c>
      <c r="R96" s="23">
        <f t="shared" si="12"/>
        <v>14747418.4</v>
      </c>
      <c r="S96" s="23">
        <f t="shared" si="10"/>
        <v>1683.4952511415524</v>
      </c>
      <c r="T96">
        <f t="shared" si="13"/>
        <v>4256000</v>
      </c>
      <c r="U96" s="23">
        <f t="shared" si="14"/>
        <v>2457666.6666666665</v>
      </c>
      <c r="V96">
        <f t="shared" si="15"/>
        <v>1.7317238573172387</v>
      </c>
    </row>
    <row r="97" spans="1:22" x14ac:dyDescent="0.3">
      <c r="A97" s="2" t="s">
        <v>27</v>
      </c>
      <c r="C97" s="13"/>
      <c r="D97" s="4" t="s">
        <v>28</v>
      </c>
      <c r="E97" s="13">
        <v>5600</v>
      </c>
      <c r="F97" s="13"/>
      <c r="G97" s="13" t="s">
        <v>143</v>
      </c>
      <c r="H97" s="13" t="s">
        <v>144</v>
      </c>
      <c r="I97" s="13" t="s">
        <v>145</v>
      </c>
      <c r="J97" s="13" t="s">
        <v>146</v>
      </c>
      <c r="K97" s="13"/>
      <c r="L97" s="13">
        <v>6500</v>
      </c>
      <c r="M97" s="13">
        <v>4800</v>
      </c>
      <c r="N97" s="13">
        <v>14100</v>
      </c>
      <c r="P97">
        <f>(25+22.2+29.2+32)/4</f>
        <v>27.1</v>
      </c>
      <c r="Q97" s="22">
        <f t="shared" si="11"/>
        <v>164.39944</v>
      </c>
      <c r="R97" s="23">
        <f t="shared" si="12"/>
        <v>18083938.399999999</v>
      </c>
      <c r="S97" s="23">
        <f t="shared" si="10"/>
        <v>2064.3765296803649</v>
      </c>
      <c r="T97">
        <f t="shared" si="13"/>
        <v>5025000</v>
      </c>
      <c r="U97" s="23">
        <f t="shared" si="14"/>
        <v>3090333.3333333335</v>
      </c>
      <c r="V97">
        <f t="shared" si="15"/>
        <v>1.6260381835832165</v>
      </c>
    </row>
    <row r="98" spans="1:22" x14ac:dyDescent="0.3">
      <c r="A98" s="2" t="s">
        <v>29</v>
      </c>
      <c r="C98" s="13"/>
      <c r="D98" s="19" t="s">
        <v>30</v>
      </c>
      <c r="E98" s="13">
        <v>6000</v>
      </c>
      <c r="F98" s="13"/>
      <c r="G98" s="13" t="s">
        <v>147</v>
      </c>
      <c r="H98" s="13" t="s">
        <v>148</v>
      </c>
      <c r="I98" s="13" t="s">
        <v>149</v>
      </c>
      <c r="J98" s="13" t="s">
        <v>150</v>
      </c>
      <c r="K98" s="13"/>
      <c r="L98" s="13">
        <v>14000</v>
      </c>
      <c r="M98" s="13">
        <v>16100</v>
      </c>
      <c r="N98" s="13">
        <v>23800</v>
      </c>
      <c r="P98">
        <f>(40+38.5+46.5+55)/4</f>
        <v>45</v>
      </c>
      <c r="Q98" s="22">
        <f t="shared" si="11"/>
        <v>272.988</v>
      </c>
      <c r="R98" s="23">
        <f t="shared" si="12"/>
        <v>30028680</v>
      </c>
      <c r="S98" s="23">
        <f t="shared" si="10"/>
        <v>3427.9315068493152</v>
      </c>
      <c r="T98">
        <f t="shared" si="13"/>
        <v>7140000</v>
      </c>
      <c r="U98" s="23">
        <f t="shared" si="14"/>
        <v>6557833.333333333</v>
      </c>
      <c r="V98">
        <f t="shared" si="15"/>
        <v>1.0887742394591711</v>
      </c>
    </row>
    <row r="99" spans="1:22" x14ac:dyDescent="0.3">
      <c r="A99" s="2" t="s">
        <v>31</v>
      </c>
      <c r="C99" s="13"/>
      <c r="D99" s="19" t="s">
        <v>32</v>
      </c>
      <c r="E99" s="13">
        <v>6600</v>
      </c>
      <c r="F99" s="13"/>
      <c r="G99" s="13" t="s">
        <v>151</v>
      </c>
      <c r="H99" s="13" t="s">
        <v>152</v>
      </c>
      <c r="I99" s="13" t="s">
        <v>150</v>
      </c>
      <c r="J99" s="13" t="s">
        <v>153</v>
      </c>
      <c r="K99" s="13"/>
      <c r="L99" s="13" t="s">
        <v>115</v>
      </c>
      <c r="P99">
        <f>(47.5+45.5+55+65)/4</f>
        <v>53.25</v>
      </c>
      <c r="Q99" s="22">
        <f t="shared" si="11"/>
        <v>323.03579999999999</v>
      </c>
      <c r="R99" s="23">
        <f t="shared" si="12"/>
        <v>35533938</v>
      </c>
      <c r="S99" s="23">
        <f t="shared" si="10"/>
        <v>4056.385616438356</v>
      </c>
      <c r="T99">
        <f t="shared" si="13"/>
        <v>8266500.0000000009</v>
      </c>
      <c r="U99" s="23"/>
    </row>
    <row r="100" spans="1:22" x14ac:dyDescent="0.3">
      <c r="A100" s="2" t="s">
        <v>162</v>
      </c>
      <c r="P100" s="19">
        <f>23</f>
        <v>23</v>
      </c>
      <c r="Q100" s="22">
        <f t="shared" si="11"/>
        <v>139.52719999999999</v>
      </c>
      <c r="R100" s="23">
        <f t="shared" si="12"/>
        <v>15347992</v>
      </c>
      <c r="S100" s="23">
        <f t="shared" si="10"/>
        <v>1752.0538812785387</v>
      </c>
      <c r="T100">
        <f t="shared" si="13"/>
        <v>2530000</v>
      </c>
    </row>
    <row r="101" spans="1:22" x14ac:dyDescent="0.3">
      <c r="A101" s="2" t="s">
        <v>35</v>
      </c>
      <c r="O101" s="22">
        <f>P104/P86</f>
        <v>0.88045234248788373</v>
      </c>
      <c r="P101" s="32">
        <f>O101*(P88+P89)/2</f>
        <v>10.37833198707593</v>
      </c>
      <c r="Q101" s="22">
        <f t="shared" si="11"/>
        <v>62.959113166397415</v>
      </c>
      <c r="R101" s="23">
        <f t="shared" si="12"/>
        <v>6925502.4483037153</v>
      </c>
      <c r="S101" s="23">
        <f t="shared" si="10"/>
        <v>790.58247126754736</v>
      </c>
      <c r="T101">
        <f t="shared" si="13"/>
        <v>1141616.5185783522</v>
      </c>
    </row>
    <row r="102" spans="1:22" x14ac:dyDescent="0.3">
      <c r="A102" s="2" t="s">
        <v>36</v>
      </c>
      <c r="D102" s="4">
        <v>7000</v>
      </c>
      <c r="E102">
        <v>5400</v>
      </c>
      <c r="P102" s="32">
        <f>P90*O101</f>
        <v>14.351373182552505</v>
      </c>
      <c r="Q102" s="22">
        <f t="shared" si="11"/>
        <v>87.06117027463651</v>
      </c>
      <c r="R102" s="23">
        <f t="shared" si="12"/>
        <v>9576728.7302100156</v>
      </c>
      <c r="S102" s="23">
        <f t="shared" si="10"/>
        <v>1093.2338733116455</v>
      </c>
      <c r="T102">
        <f t="shared" si="13"/>
        <v>3549651.0500807757</v>
      </c>
    </row>
    <row r="103" spans="1:22" x14ac:dyDescent="0.3">
      <c r="A103" s="2" t="s">
        <v>37</v>
      </c>
      <c r="P103" s="32">
        <f>P91*O101</f>
        <v>20.734652665589664</v>
      </c>
      <c r="Q103" s="22">
        <f t="shared" si="11"/>
        <v>125.78469693053313</v>
      </c>
      <c r="R103" s="23">
        <f t="shared" si="12"/>
        <v>13836316.662358643</v>
      </c>
      <c r="S103" s="23">
        <f t="shared" si="10"/>
        <v>1579.4882034655986</v>
      </c>
      <c r="T103">
        <f t="shared" si="13"/>
        <v>2280811.7932148627</v>
      </c>
    </row>
    <row r="104" spans="1:22" x14ac:dyDescent="0.3">
      <c r="A104" s="2" t="s">
        <v>38</v>
      </c>
      <c r="C104" s="13"/>
      <c r="D104" s="4">
        <v>37000</v>
      </c>
      <c r="E104" s="13">
        <v>7800</v>
      </c>
      <c r="F104" s="13"/>
      <c r="G104" s="13">
        <v>34</v>
      </c>
      <c r="H104" s="13">
        <v>33</v>
      </c>
      <c r="I104" s="13">
        <v>44</v>
      </c>
      <c r="J104" s="13">
        <v>52.5</v>
      </c>
      <c r="K104" s="13"/>
      <c r="L104" s="13">
        <v>11400</v>
      </c>
      <c r="M104" s="13">
        <v>13700</v>
      </c>
      <c r="N104" s="13">
        <v>22000</v>
      </c>
      <c r="P104">
        <f>(G104+H104+I104+J104)/4</f>
        <v>40.875</v>
      </c>
      <c r="Q104" s="22">
        <f t="shared" si="11"/>
        <v>247.9641</v>
      </c>
      <c r="R104" s="23">
        <f t="shared" si="12"/>
        <v>27276051</v>
      </c>
      <c r="S104" s="23">
        <f t="shared" si="10"/>
        <v>3113.7044520547947</v>
      </c>
      <c r="T104">
        <f t="shared" si="13"/>
        <v>7343250</v>
      </c>
    </row>
    <row r="105" spans="1:22" x14ac:dyDescent="0.3">
      <c r="A105" s="2" t="s">
        <v>39</v>
      </c>
      <c r="C105" s="13"/>
      <c r="D105" s="4">
        <v>110000</v>
      </c>
      <c r="E105" s="13">
        <v>8400</v>
      </c>
      <c r="F105" s="13"/>
      <c r="G105" s="13">
        <v>55</v>
      </c>
      <c r="H105" s="13">
        <v>50</v>
      </c>
      <c r="I105" s="13">
        <v>68</v>
      </c>
      <c r="J105" s="13">
        <v>72.5</v>
      </c>
      <c r="K105" s="13"/>
      <c r="L105" s="13">
        <v>18900</v>
      </c>
      <c r="M105" s="13">
        <v>20100</v>
      </c>
      <c r="N105" s="13">
        <v>35800</v>
      </c>
      <c r="P105">
        <f>(G105+H105+I105+J105)/4</f>
        <v>61.375</v>
      </c>
      <c r="Q105" s="22">
        <f t="shared" si="11"/>
        <v>372.32529999999997</v>
      </c>
      <c r="R105" s="23">
        <f t="shared" si="12"/>
        <v>40955783</v>
      </c>
      <c r="S105" s="23">
        <f t="shared" si="10"/>
        <v>4675.3176940639269</v>
      </c>
      <c r="T105">
        <f t="shared" si="13"/>
        <v>9817250</v>
      </c>
    </row>
    <row r="106" spans="1:22" x14ac:dyDescent="0.3">
      <c r="A106" s="2" t="s">
        <v>40</v>
      </c>
      <c r="C106" s="13"/>
      <c r="D106" s="4">
        <v>150000</v>
      </c>
      <c r="E106" s="13">
        <v>9600</v>
      </c>
      <c r="F106" s="13"/>
      <c r="G106" s="13">
        <v>65</v>
      </c>
      <c r="H106" s="13">
        <v>60</v>
      </c>
      <c r="I106" s="13">
        <v>83</v>
      </c>
      <c r="J106" s="13">
        <v>90</v>
      </c>
      <c r="K106" s="13"/>
      <c r="L106" s="13">
        <v>29000</v>
      </c>
      <c r="M106" s="13">
        <v>30600</v>
      </c>
      <c r="N106" s="13">
        <v>47200</v>
      </c>
      <c r="P106">
        <f>(G106+H106+I106+J106)/4</f>
        <v>74.5</v>
      </c>
      <c r="Q106" s="22">
        <f t="shared" si="11"/>
        <v>451.9468</v>
      </c>
      <c r="R106" s="23">
        <f t="shared" si="12"/>
        <v>49714148</v>
      </c>
      <c r="S106" s="23">
        <f t="shared" si="10"/>
        <v>5675.1310502283104</v>
      </c>
      <c r="T106">
        <f t="shared" si="13"/>
        <v>11699000</v>
      </c>
    </row>
    <row r="107" spans="1:22" x14ac:dyDescent="0.3">
      <c r="A107" s="2" t="s">
        <v>41</v>
      </c>
      <c r="C107" s="13"/>
      <c r="D107" s="4">
        <v>310000</v>
      </c>
      <c r="E107" s="13">
        <v>11000</v>
      </c>
      <c r="F107" s="13"/>
      <c r="G107" s="13">
        <v>102</v>
      </c>
      <c r="H107" s="13">
        <v>95</v>
      </c>
      <c r="I107" s="13">
        <v>137</v>
      </c>
      <c r="J107" s="13">
        <v>146</v>
      </c>
      <c r="K107" s="13"/>
      <c r="L107" s="13">
        <v>40000</v>
      </c>
      <c r="M107" s="13">
        <v>39600</v>
      </c>
      <c r="N107" s="13">
        <v>73400</v>
      </c>
      <c r="P107">
        <f>(G107+H107+I107+J107)/4</f>
        <v>120</v>
      </c>
      <c r="Q107" s="22">
        <f t="shared" si="11"/>
        <v>727.96799999999996</v>
      </c>
      <c r="R107" s="23">
        <f t="shared" si="12"/>
        <v>80076480</v>
      </c>
      <c r="S107" s="23">
        <f t="shared" si="10"/>
        <v>9141.1506849315065</v>
      </c>
      <c r="T107">
        <f t="shared" si="13"/>
        <v>17215000</v>
      </c>
    </row>
    <row r="108" spans="1:22" x14ac:dyDescent="0.3">
      <c r="A108" s="2" t="s">
        <v>42</v>
      </c>
      <c r="C108" s="13"/>
      <c r="D108" s="19" t="s">
        <v>43</v>
      </c>
      <c r="E108" s="13">
        <v>6500</v>
      </c>
      <c r="F108" s="13"/>
      <c r="G108" s="13">
        <v>19</v>
      </c>
      <c r="H108" s="13">
        <v>17.5</v>
      </c>
      <c r="I108" s="13">
        <v>25.5</v>
      </c>
      <c r="J108" s="13">
        <v>27</v>
      </c>
      <c r="K108" s="13"/>
      <c r="L108" s="13" t="s">
        <v>115</v>
      </c>
      <c r="P108">
        <f>(G108+H108+I108+J108)/4</f>
        <v>22.25</v>
      </c>
      <c r="Q108" s="22">
        <f t="shared" si="11"/>
        <v>134.97739999999999</v>
      </c>
      <c r="R108" s="23">
        <f t="shared" si="12"/>
        <v>14847513.999999998</v>
      </c>
      <c r="S108" s="23">
        <f t="shared" si="10"/>
        <v>1694.9216894977167</v>
      </c>
      <c r="T108">
        <f t="shared" si="13"/>
        <v>4820000</v>
      </c>
    </row>
    <row r="109" spans="1:22" x14ac:dyDescent="0.3">
      <c r="A109" s="2" t="s">
        <v>44</v>
      </c>
      <c r="C109" s="13"/>
      <c r="D109" s="19" t="s">
        <v>43</v>
      </c>
      <c r="E109" s="13">
        <v>7500</v>
      </c>
      <c r="F109" s="13"/>
      <c r="G109" s="13">
        <v>25</v>
      </c>
      <c r="H109" s="13">
        <v>23</v>
      </c>
      <c r="I109" s="13">
        <v>33</v>
      </c>
      <c r="J109" s="13">
        <v>35</v>
      </c>
      <c r="K109" s="13"/>
      <c r="L109" s="13" t="s">
        <v>115</v>
      </c>
      <c r="P109">
        <f>(25+23+33+35)/4</f>
        <v>29</v>
      </c>
      <c r="Q109" s="22">
        <f t="shared" si="11"/>
        <v>175.9256</v>
      </c>
      <c r="R109" s="23">
        <f t="shared" si="12"/>
        <v>19351816</v>
      </c>
      <c r="S109" s="23">
        <f t="shared" si="10"/>
        <v>2209.1114155251144</v>
      </c>
      <c r="T109">
        <f t="shared" si="13"/>
        <v>5927500</v>
      </c>
    </row>
    <row r="110" spans="1:22" x14ac:dyDescent="0.3">
      <c r="A110" s="2" t="s">
        <v>45</v>
      </c>
      <c r="C110" s="13"/>
      <c r="D110" s="19" t="s">
        <v>46</v>
      </c>
      <c r="E110" s="13">
        <v>5700</v>
      </c>
      <c r="F110" s="13"/>
      <c r="G110" s="13" t="s">
        <v>154</v>
      </c>
      <c r="H110" s="13">
        <v>54</v>
      </c>
      <c r="I110" s="13">
        <v>63</v>
      </c>
      <c r="J110" s="13"/>
      <c r="K110" s="13"/>
      <c r="L110" s="13">
        <v>18600</v>
      </c>
      <c r="M110" s="13">
        <v>20500</v>
      </c>
      <c r="N110" s="13">
        <v>28300</v>
      </c>
      <c r="O110" s="13" t="s">
        <v>126</v>
      </c>
      <c r="P110" s="22">
        <f>(58+54+63)/3</f>
        <v>58.333333333333336</v>
      </c>
      <c r="Q110" s="22">
        <f t="shared" si="11"/>
        <v>353.87333333333333</v>
      </c>
      <c r="R110" s="23">
        <f t="shared" si="12"/>
        <v>38926066.666666664</v>
      </c>
      <c r="S110" s="23">
        <f t="shared" si="10"/>
        <v>4443.6149162861493</v>
      </c>
      <c r="T110">
        <f t="shared" si="13"/>
        <v>8497166.666666666</v>
      </c>
    </row>
    <row r="111" spans="1:22" x14ac:dyDescent="0.3">
      <c r="A111" s="2" t="s">
        <v>47</v>
      </c>
      <c r="C111" s="13"/>
      <c r="D111" s="19" t="s">
        <v>48</v>
      </c>
      <c r="E111" s="13">
        <v>6300</v>
      </c>
      <c r="F111" s="13"/>
      <c r="G111" s="13" t="s">
        <v>155</v>
      </c>
      <c r="H111" s="13">
        <v>64</v>
      </c>
      <c r="I111" s="13">
        <v>78</v>
      </c>
      <c r="J111" s="13"/>
      <c r="K111" s="13"/>
      <c r="L111" s="13">
        <v>18700</v>
      </c>
      <c r="M111" s="13">
        <v>19900</v>
      </c>
      <c r="N111" s="13">
        <v>29300</v>
      </c>
      <c r="O111" s="13" t="s">
        <v>126</v>
      </c>
      <c r="P111" s="22">
        <f>(69+64+78)/3</f>
        <v>70.333333333333329</v>
      </c>
      <c r="Q111" s="22">
        <f t="shared" si="11"/>
        <v>426.6701333333333</v>
      </c>
      <c r="R111" s="23">
        <f t="shared" si="12"/>
        <v>46933714.666666664</v>
      </c>
      <c r="S111" s="23">
        <f t="shared" si="10"/>
        <v>5357.7299847792992</v>
      </c>
      <c r="T111">
        <f t="shared" si="13"/>
        <v>10036166.666666666</v>
      </c>
    </row>
    <row r="112" spans="1:22" x14ac:dyDescent="0.3">
      <c r="A112" s="2" t="s">
        <v>49</v>
      </c>
      <c r="C112" s="13"/>
      <c r="D112" s="19" t="s">
        <v>50</v>
      </c>
      <c r="E112" s="20">
        <v>18000</v>
      </c>
      <c r="F112" s="16"/>
      <c r="G112" s="16">
        <v>230</v>
      </c>
      <c r="H112" s="16">
        <v>240</v>
      </c>
      <c r="I112" s="16">
        <v>250</v>
      </c>
      <c r="J112" s="16">
        <v>300</v>
      </c>
      <c r="K112" s="13"/>
      <c r="L112" s="13" t="s">
        <v>115</v>
      </c>
      <c r="P112">
        <f>(G112+H112+I112+J112)/4</f>
        <v>255</v>
      </c>
      <c r="Q112" s="22">
        <f t="shared" si="11"/>
        <v>1546.932</v>
      </c>
      <c r="R112" s="23">
        <f t="shared" si="12"/>
        <v>170162520</v>
      </c>
      <c r="S112" s="23">
        <f t="shared" si="10"/>
        <v>19424.945205479453</v>
      </c>
      <c r="T112">
        <f t="shared" si="13"/>
        <v>34620000</v>
      </c>
    </row>
    <row r="113" spans="1:20" x14ac:dyDescent="0.3">
      <c r="A113" s="2" t="s">
        <v>51</v>
      </c>
      <c r="S113" s="23">
        <f>Z63</f>
        <v>553.64210136986298</v>
      </c>
    </row>
    <row r="114" spans="1:20" x14ac:dyDescent="0.3">
      <c r="A114" s="2" t="s">
        <v>52</v>
      </c>
      <c r="B114" t="s">
        <v>53</v>
      </c>
      <c r="S114" s="23">
        <f>Z64</f>
        <v>678.38245136986302</v>
      </c>
    </row>
    <row r="115" spans="1:20" x14ac:dyDescent="0.3">
      <c r="A115" s="2" t="s">
        <v>54</v>
      </c>
      <c r="S115" s="23">
        <f>Z65</f>
        <v>932.98946712328757</v>
      </c>
    </row>
    <row r="116" spans="1:20" x14ac:dyDescent="0.3">
      <c r="A116" s="2" t="s">
        <v>55</v>
      </c>
      <c r="C116" s="13"/>
      <c r="D116" s="19" t="s">
        <v>56</v>
      </c>
      <c r="E116" s="21">
        <v>13000</v>
      </c>
      <c r="F116" s="13"/>
      <c r="G116" s="13">
        <v>33</v>
      </c>
      <c r="H116" s="13">
        <v>27.5</v>
      </c>
      <c r="I116" s="13">
        <v>25</v>
      </c>
      <c r="J116" s="13">
        <v>23</v>
      </c>
      <c r="K116" s="13"/>
      <c r="L116" s="13">
        <v>15400</v>
      </c>
      <c r="M116" s="13">
        <v>6900</v>
      </c>
      <c r="N116" s="13">
        <v>19900</v>
      </c>
      <c r="O116" s="13" t="s">
        <v>126</v>
      </c>
      <c r="P116">
        <f>(33+27.5+25+23)/4</f>
        <v>27.125</v>
      </c>
      <c r="Q116" s="22">
        <f>P116*'Kalk kost 2010 sjø'!$B$6</f>
        <v>164.55109999999999</v>
      </c>
      <c r="R116" s="23">
        <f>Q116*$B$8</f>
        <v>18100621</v>
      </c>
      <c r="S116" s="23">
        <f>R116/(365*24)</f>
        <v>2066.2809360730594</v>
      </c>
      <c r="T116">
        <f t="shared" ref="T116:T117" si="16">(R116+(365*E116*$B$6))/$B$6</f>
        <v>7728750</v>
      </c>
    </row>
    <row r="117" spans="1:20" x14ac:dyDescent="0.3">
      <c r="A117" s="2" t="s">
        <v>57</v>
      </c>
      <c r="P117" s="33">
        <f>55/'Kalk kost 2010 sjø'!B6</f>
        <v>9.0663325860477393</v>
      </c>
      <c r="Q117" s="22">
        <f>P117*'Kalk kost 2010 sjø'!$B$6</f>
        <v>55.000000000000007</v>
      </c>
      <c r="R117" s="23">
        <f>Q117*$B$8</f>
        <v>6050000.0000000009</v>
      </c>
      <c r="S117" s="23">
        <f>R117/(365*24)</f>
        <v>690.63926940639283</v>
      </c>
      <c r="T117">
        <f t="shared" si="16"/>
        <v>997296.58446525142</v>
      </c>
    </row>
    <row r="118" spans="1:20" x14ac:dyDescent="0.3">
      <c r="A118" s="2" t="s">
        <v>58</v>
      </c>
    </row>
    <row r="119" spans="1:20" x14ac:dyDescent="0.3">
      <c r="A119" s="7" t="s">
        <v>59</v>
      </c>
      <c r="Q119">
        <v>50</v>
      </c>
      <c r="R119" s="23">
        <f>Q119*$B$10</f>
        <v>4700000</v>
      </c>
      <c r="S119" s="23">
        <f>R119/(365*24)</f>
        <v>536.52968036529683</v>
      </c>
    </row>
    <row r="120" spans="1:20" x14ac:dyDescent="0.3">
      <c r="A120" s="7" t="s">
        <v>60</v>
      </c>
    </row>
    <row r="121" spans="1:20" ht="18" x14ac:dyDescent="0.35">
      <c r="C121" s="86" t="s">
        <v>461</v>
      </c>
    </row>
    <row r="122" spans="1:20" x14ac:dyDescent="0.3">
      <c r="I122" t="s">
        <v>465</v>
      </c>
      <c r="O122" t="s">
        <v>463</v>
      </c>
    </row>
    <row r="123" spans="1:20" x14ac:dyDescent="0.3">
      <c r="J123" t="s">
        <v>464</v>
      </c>
    </row>
    <row r="124" spans="1:20" ht="57.6" x14ac:dyDescent="0.3">
      <c r="C124" s="8" t="s">
        <v>462</v>
      </c>
      <c r="D124" s="10" t="s">
        <v>65</v>
      </c>
      <c r="E124" s="26" t="s">
        <v>171</v>
      </c>
      <c r="F124" s="37" t="s">
        <v>172</v>
      </c>
      <c r="G124" s="26"/>
      <c r="H124" s="38" t="s">
        <v>173</v>
      </c>
      <c r="I124" s="26" t="s">
        <v>181</v>
      </c>
      <c r="J124" s="26" t="s">
        <v>174</v>
      </c>
      <c r="K124" s="26" t="s">
        <v>180</v>
      </c>
      <c r="L124" s="26" t="s">
        <v>179</v>
      </c>
      <c r="N124" s="43"/>
      <c r="O124" s="43" t="s">
        <v>185</v>
      </c>
    </row>
    <row r="125" spans="1:20" x14ac:dyDescent="0.3">
      <c r="C125" s="35" t="s">
        <v>9</v>
      </c>
      <c r="D125" s="10">
        <v>1000</v>
      </c>
      <c r="E125" s="36">
        <v>12</v>
      </c>
      <c r="F125" s="10"/>
      <c r="G125" s="10">
        <f>H125*1000/(24*1.852*E125)</f>
        <v>1.687365010799136</v>
      </c>
      <c r="H125" s="39">
        <v>0.9</v>
      </c>
      <c r="I125" s="40">
        <f>O125*(E125/12)^3</f>
        <v>11.487157100662948</v>
      </c>
      <c r="J125" s="10">
        <v>0.15</v>
      </c>
      <c r="K125" s="41">
        <f t="shared" ref="K125:K163" si="17">I125*(1+J125)</f>
        <v>13.210230665762388</v>
      </c>
      <c r="L125" s="28">
        <f>K125*$B$16</f>
        <v>38.450311184465612</v>
      </c>
      <c r="O125" s="40">
        <f t="shared" ref="O125:O143" si="18">(0.15*D125*(EXP((3.58669206-(0.44224568*LN(D125))))))/(1.852*E125)</f>
        <v>11.487157100662948</v>
      </c>
    </row>
    <row r="126" spans="1:20" x14ac:dyDescent="0.3">
      <c r="C126" s="35" t="s">
        <v>10</v>
      </c>
      <c r="D126" s="10">
        <v>2500</v>
      </c>
      <c r="E126" s="36">
        <v>14</v>
      </c>
      <c r="F126" s="10"/>
      <c r="G126" s="10"/>
      <c r="H126" s="39"/>
      <c r="I126" s="40">
        <f>O126*(E126/14)^3</f>
        <v>16.414154989946713</v>
      </c>
      <c r="J126" s="10">
        <v>0.15</v>
      </c>
      <c r="K126" s="41">
        <f t="shared" si="17"/>
        <v>18.876278238438719</v>
      </c>
      <c r="L126" s="28">
        <f t="shared" ref="L126:L163" si="19">K126*$B$16</f>
        <v>54.942172520394656</v>
      </c>
      <c r="O126" s="40">
        <f t="shared" si="18"/>
        <v>16.414154989946713</v>
      </c>
    </row>
    <row r="127" spans="1:20" x14ac:dyDescent="0.3">
      <c r="C127" s="35" t="s">
        <v>11</v>
      </c>
      <c r="D127" s="10">
        <v>5000</v>
      </c>
      <c r="E127" s="36">
        <v>15</v>
      </c>
      <c r="F127" s="10"/>
      <c r="G127" s="10"/>
      <c r="H127" s="39"/>
      <c r="I127" s="40">
        <f>O127*(E127/15)^3</f>
        <v>22.550495397962997</v>
      </c>
      <c r="J127" s="10">
        <v>0.15</v>
      </c>
      <c r="K127" s="41">
        <f t="shared" si="17"/>
        <v>25.933069707657445</v>
      </c>
      <c r="L127" s="28">
        <f t="shared" si="19"/>
        <v>75.481997662023474</v>
      </c>
      <c r="O127" s="40">
        <f t="shared" si="18"/>
        <v>22.550495397962997</v>
      </c>
    </row>
    <row r="128" spans="1:20" x14ac:dyDescent="0.3">
      <c r="C128" s="35" t="s">
        <v>70</v>
      </c>
      <c r="D128" s="10">
        <v>9000</v>
      </c>
      <c r="E128" s="36">
        <v>16</v>
      </c>
      <c r="F128" s="10"/>
      <c r="G128" s="10"/>
      <c r="H128" s="39"/>
      <c r="I128" s="40">
        <f>O128*(E128/16)^3</f>
        <v>29.34314812525886</v>
      </c>
      <c r="J128" s="10">
        <v>0.15</v>
      </c>
      <c r="K128" s="41">
        <f t="shared" si="17"/>
        <v>33.744620344047689</v>
      </c>
      <c r="L128" s="28">
        <f t="shared" si="19"/>
        <v>98.218659905239576</v>
      </c>
      <c r="O128" s="40">
        <f t="shared" si="18"/>
        <v>29.34314812525886</v>
      </c>
    </row>
    <row r="129" spans="3:15" x14ac:dyDescent="0.3">
      <c r="C129" s="35" t="s">
        <v>71</v>
      </c>
      <c r="D129" s="10">
        <v>17000</v>
      </c>
      <c r="E129" s="36">
        <v>16</v>
      </c>
      <c r="F129" s="10"/>
      <c r="G129" s="10">
        <f>H129*1000/(24*1.852*E129)</f>
        <v>7.5931425485961119</v>
      </c>
      <c r="H129" s="39">
        <v>5.4</v>
      </c>
      <c r="I129" s="40">
        <f>O129*(E129/16)^3</f>
        <v>41.837143570995174</v>
      </c>
      <c r="J129" s="10">
        <v>0.15</v>
      </c>
      <c r="K129" s="41">
        <f t="shared" si="17"/>
        <v>48.112715106644444</v>
      </c>
      <c r="L129" s="28">
        <f t="shared" si="19"/>
        <v>140.03910412969719</v>
      </c>
      <c r="O129" s="40">
        <f t="shared" si="18"/>
        <v>41.837143570995174</v>
      </c>
    </row>
    <row r="130" spans="3:15" x14ac:dyDescent="0.3">
      <c r="C130" s="35" t="s">
        <v>14</v>
      </c>
      <c r="D130" s="10">
        <v>40000</v>
      </c>
      <c r="E130" s="36">
        <v>16</v>
      </c>
      <c r="F130" s="10"/>
      <c r="G130" s="10"/>
      <c r="H130" s="39"/>
      <c r="I130" s="40">
        <f>O130*(E130/16)^3</f>
        <v>67.426358456912681</v>
      </c>
      <c r="J130" s="10">
        <v>0.15</v>
      </c>
      <c r="K130" s="41">
        <f t="shared" si="17"/>
        <v>77.540312225449583</v>
      </c>
      <c r="L130" s="28">
        <f t="shared" si="19"/>
        <v>225.69243564658788</v>
      </c>
      <c r="O130" s="40">
        <f t="shared" si="18"/>
        <v>67.426358456912681</v>
      </c>
    </row>
    <row r="131" spans="3:15" x14ac:dyDescent="0.3">
      <c r="C131" s="35" t="s">
        <v>15</v>
      </c>
      <c r="D131" s="10">
        <v>1000</v>
      </c>
      <c r="E131" s="36">
        <f t="shared" ref="E131:E136" si="20">E125</f>
        <v>12</v>
      </c>
      <c r="F131" s="10"/>
      <c r="G131" s="10"/>
      <c r="H131" s="39"/>
      <c r="I131" s="40">
        <f>O131*(E131/12)^3</f>
        <v>11.487157100662948</v>
      </c>
      <c r="J131" s="10">
        <v>0.15</v>
      </c>
      <c r="K131" s="41">
        <f t="shared" si="17"/>
        <v>13.210230665762388</v>
      </c>
      <c r="L131" s="28">
        <f t="shared" si="19"/>
        <v>38.450311184465612</v>
      </c>
      <c r="O131" s="40">
        <f t="shared" si="18"/>
        <v>11.487157100662948</v>
      </c>
    </row>
    <row r="132" spans="3:15" x14ac:dyDescent="0.3">
      <c r="C132" s="35" t="s">
        <v>16</v>
      </c>
      <c r="D132" s="10">
        <v>2500</v>
      </c>
      <c r="E132" s="36">
        <f t="shared" si="20"/>
        <v>14</v>
      </c>
      <c r="F132" s="10"/>
      <c r="G132" s="10"/>
      <c r="H132" s="39"/>
      <c r="I132" s="40">
        <f>O132*(E132/14)^3</f>
        <v>16.414154989946713</v>
      </c>
      <c r="J132" s="10">
        <v>0.15</v>
      </c>
      <c r="K132" s="41">
        <f t="shared" si="17"/>
        <v>18.876278238438719</v>
      </c>
      <c r="L132" s="28">
        <f t="shared" si="19"/>
        <v>54.942172520394656</v>
      </c>
      <c r="O132" s="40">
        <f t="shared" si="18"/>
        <v>16.414154989946713</v>
      </c>
    </row>
    <row r="133" spans="3:15" x14ac:dyDescent="0.3">
      <c r="C133" s="35" t="s">
        <v>17</v>
      </c>
      <c r="D133" s="10">
        <v>5000</v>
      </c>
      <c r="E133" s="36">
        <f t="shared" si="20"/>
        <v>15</v>
      </c>
      <c r="F133" s="10"/>
      <c r="G133" s="10"/>
      <c r="H133" s="39"/>
      <c r="I133" s="40">
        <f>O133*(E133/15)^3</f>
        <v>22.550495397962997</v>
      </c>
      <c r="J133" s="10">
        <v>0.15</v>
      </c>
      <c r="K133" s="41">
        <f t="shared" si="17"/>
        <v>25.933069707657445</v>
      </c>
      <c r="L133" s="28">
        <f t="shared" si="19"/>
        <v>75.481997662023474</v>
      </c>
      <c r="O133" s="40">
        <f t="shared" si="18"/>
        <v>22.550495397962997</v>
      </c>
    </row>
    <row r="134" spans="3:15" x14ac:dyDescent="0.3">
      <c r="C134" s="35" t="s">
        <v>72</v>
      </c>
      <c r="D134" s="10">
        <v>9000</v>
      </c>
      <c r="E134" s="36">
        <f t="shared" si="20"/>
        <v>16</v>
      </c>
      <c r="F134" s="10"/>
      <c r="G134" s="10"/>
      <c r="H134" s="39"/>
      <c r="I134" s="40">
        <f>O134*(E134/16)^3</f>
        <v>29.34314812525886</v>
      </c>
      <c r="J134" s="10">
        <v>0.15</v>
      </c>
      <c r="K134" s="41">
        <f t="shared" si="17"/>
        <v>33.744620344047689</v>
      </c>
      <c r="L134" s="28">
        <f t="shared" si="19"/>
        <v>98.218659905239576</v>
      </c>
      <c r="O134" s="40">
        <f t="shared" si="18"/>
        <v>29.34314812525886</v>
      </c>
    </row>
    <row r="135" spans="3:15" x14ac:dyDescent="0.3">
      <c r="C135" s="35" t="s">
        <v>73</v>
      </c>
      <c r="D135" s="10">
        <v>17000</v>
      </c>
      <c r="E135" s="36">
        <f t="shared" si="20"/>
        <v>16</v>
      </c>
      <c r="F135" s="10"/>
      <c r="G135" s="10"/>
      <c r="H135" s="39"/>
      <c r="I135" s="40">
        <f>O135*(E135/16)^3</f>
        <v>41.837143570995174</v>
      </c>
      <c r="J135" s="10">
        <v>0.15</v>
      </c>
      <c r="K135" s="41">
        <f t="shared" si="17"/>
        <v>48.112715106644444</v>
      </c>
      <c r="L135" s="28">
        <f t="shared" si="19"/>
        <v>140.03910412969719</v>
      </c>
      <c r="O135" s="40">
        <f t="shared" si="18"/>
        <v>41.837143570995174</v>
      </c>
    </row>
    <row r="136" spans="3:15" x14ac:dyDescent="0.3">
      <c r="C136" s="35" t="s">
        <v>74</v>
      </c>
      <c r="D136" s="10">
        <v>45000</v>
      </c>
      <c r="E136" s="36">
        <f t="shared" si="20"/>
        <v>16</v>
      </c>
      <c r="F136" s="10"/>
      <c r="G136" s="10"/>
      <c r="H136" s="39"/>
      <c r="I136" s="40">
        <f>O136*(E136/16)^3</f>
        <v>72.004600546706271</v>
      </c>
      <c r="J136" s="10">
        <v>0.15</v>
      </c>
      <c r="K136" s="41">
        <f t="shared" si="17"/>
        <v>82.8052906287122</v>
      </c>
      <c r="L136" s="28">
        <f t="shared" si="19"/>
        <v>241.0169264224842</v>
      </c>
      <c r="O136" s="40">
        <f t="shared" si="18"/>
        <v>72.004600546706271</v>
      </c>
    </row>
    <row r="137" spans="3:15" x14ac:dyDescent="0.3">
      <c r="C137" s="35" t="s">
        <v>75</v>
      </c>
      <c r="D137" s="10">
        <v>56000</v>
      </c>
      <c r="E137" s="36">
        <v>16</v>
      </c>
      <c r="F137" s="10"/>
      <c r="G137" s="10"/>
      <c r="H137" s="39"/>
      <c r="I137" s="40">
        <f>O137*(E137/16)^3</f>
        <v>81.3454466724084</v>
      </c>
      <c r="J137" s="10">
        <v>0.15</v>
      </c>
      <c r="K137" s="41">
        <f t="shared" si="17"/>
        <v>93.547263673269654</v>
      </c>
      <c r="L137" s="28">
        <f t="shared" si="19"/>
        <v>272.283012287953</v>
      </c>
      <c r="O137" s="40">
        <f t="shared" si="18"/>
        <v>81.3454466724084</v>
      </c>
    </row>
    <row r="138" spans="3:15" x14ac:dyDescent="0.3">
      <c r="C138" s="35" t="s">
        <v>76</v>
      </c>
      <c r="D138" s="10">
        <v>76000</v>
      </c>
      <c r="E138" s="36">
        <v>16</v>
      </c>
      <c r="F138" s="10"/>
      <c r="G138" s="10"/>
      <c r="H138" s="39"/>
      <c r="I138" s="40">
        <f>O138*(E138/16)^3</f>
        <v>96.450776904641614</v>
      </c>
      <c r="J138" s="10">
        <v>0.15</v>
      </c>
      <c r="K138" s="41">
        <f t="shared" si="17"/>
        <v>110.91839344033785</v>
      </c>
      <c r="L138" s="28">
        <f t="shared" si="19"/>
        <v>322.84422973138498</v>
      </c>
      <c r="O138" s="40">
        <f t="shared" si="18"/>
        <v>96.450776904641614</v>
      </c>
    </row>
    <row r="139" spans="3:15" x14ac:dyDescent="0.3">
      <c r="C139" s="35" t="s">
        <v>77</v>
      </c>
      <c r="D139" s="10">
        <v>8500</v>
      </c>
      <c r="E139" s="36">
        <v>16</v>
      </c>
      <c r="F139" s="10">
        <f>(3530+6488)/2</f>
        <v>5009</v>
      </c>
      <c r="G139" s="28">
        <f>F139*$G$165</f>
        <v>6717.0689999999995</v>
      </c>
      <c r="H139" s="39"/>
      <c r="I139" s="40">
        <f>O139*(E139/17.5)^3</f>
        <v>21.722361996983732</v>
      </c>
      <c r="J139" s="10">
        <v>0.15</v>
      </c>
      <c r="K139" s="41">
        <f t="shared" si="17"/>
        <v>24.980716296531291</v>
      </c>
      <c r="L139" s="28">
        <f t="shared" si="19"/>
        <v>72.71003357283513</v>
      </c>
      <c r="M139" t="s">
        <v>182</v>
      </c>
      <c r="O139" s="40">
        <f t="shared" si="18"/>
        <v>28.422432575093922</v>
      </c>
    </row>
    <row r="140" spans="3:15" x14ac:dyDescent="0.3">
      <c r="C140" s="35" t="s">
        <v>78</v>
      </c>
      <c r="D140" s="10">
        <v>14200</v>
      </c>
      <c r="E140" s="36">
        <v>17.5</v>
      </c>
      <c r="F140" s="10">
        <f>(10915+6930)/2</f>
        <v>8922.5</v>
      </c>
      <c r="G140" s="28">
        <f>F140*$G$165</f>
        <v>11965.0725</v>
      </c>
      <c r="H140" s="39"/>
      <c r="I140" s="40">
        <f>O140*(E140/18.5)^3</f>
        <v>29.285222012609395</v>
      </c>
      <c r="J140" s="10">
        <v>0.15</v>
      </c>
      <c r="K140" s="41">
        <f t="shared" si="17"/>
        <v>33.678005314500801</v>
      </c>
      <c r="L140" s="28">
        <f t="shared" si="19"/>
        <v>98.024767104996613</v>
      </c>
      <c r="M140" t="s">
        <v>183</v>
      </c>
      <c r="O140" s="40">
        <f t="shared" si="18"/>
        <v>34.597885728389592</v>
      </c>
    </row>
    <row r="141" spans="3:15" x14ac:dyDescent="0.3">
      <c r="C141" s="35" t="s">
        <v>79</v>
      </c>
      <c r="D141" s="10">
        <v>23000</v>
      </c>
      <c r="E141" s="36">
        <v>21</v>
      </c>
      <c r="F141" s="28">
        <f>G141/G165</f>
        <v>12438.47874720358</v>
      </c>
      <c r="G141" s="10">
        <v>16680</v>
      </c>
      <c r="H141" s="39"/>
      <c r="I141" s="40">
        <f>O141*(E141/21.8)^3</f>
        <v>33.726595077870925</v>
      </c>
      <c r="J141" s="10">
        <v>0.15</v>
      </c>
      <c r="K141" s="41">
        <f t="shared" si="17"/>
        <v>38.785584339551562</v>
      </c>
      <c r="L141" s="28">
        <f t="shared" si="19"/>
        <v>112.89112393716304</v>
      </c>
      <c r="M141" t="s">
        <v>184</v>
      </c>
      <c r="O141" s="40">
        <f t="shared" si="18"/>
        <v>37.729764558557484</v>
      </c>
    </row>
    <row r="142" spans="3:15" x14ac:dyDescent="0.3">
      <c r="C142" s="35" t="s">
        <v>80</v>
      </c>
      <c r="D142" s="10">
        <v>8000</v>
      </c>
      <c r="E142" s="36">
        <v>16</v>
      </c>
      <c r="F142" s="10"/>
      <c r="G142" s="10"/>
      <c r="H142" s="39"/>
      <c r="I142" s="40">
        <f>O142*(E142/16)^3</f>
        <v>27.477433507385701</v>
      </c>
      <c r="J142" s="10">
        <v>0.15</v>
      </c>
      <c r="K142" s="41">
        <f t="shared" si="17"/>
        <v>31.599048533493555</v>
      </c>
      <c r="L142" s="28">
        <f t="shared" si="19"/>
        <v>91.973658900205066</v>
      </c>
      <c r="O142" s="40">
        <f t="shared" si="18"/>
        <v>27.477433507385701</v>
      </c>
    </row>
    <row r="143" spans="3:15" x14ac:dyDescent="0.3">
      <c r="C143" s="35" t="s">
        <v>81</v>
      </c>
      <c r="D143" s="10">
        <v>15000</v>
      </c>
      <c r="E143" s="36">
        <v>16</v>
      </c>
      <c r="F143" s="10"/>
      <c r="G143" s="10"/>
      <c r="H143" s="39"/>
      <c r="I143" s="40">
        <f>O143*(E143/16)^3</f>
        <v>39.016095395770627</v>
      </c>
      <c r="J143" s="10">
        <v>0.15</v>
      </c>
      <c r="K143" s="41">
        <f t="shared" si="17"/>
        <v>44.868509705136219</v>
      </c>
      <c r="L143" s="28">
        <f t="shared" si="19"/>
        <v>130.59636914721034</v>
      </c>
      <c r="O143" s="40">
        <f t="shared" si="18"/>
        <v>39.016095395770627</v>
      </c>
    </row>
    <row r="144" spans="3:15" x14ac:dyDescent="0.3">
      <c r="C144" s="35" t="s">
        <v>85</v>
      </c>
      <c r="D144" s="10">
        <v>13700</v>
      </c>
      <c r="E144" s="10">
        <v>20.5</v>
      </c>
      <c r="F144" s="10"/>
      <c r="G144" s="10"/>
      <c r="H144" s="39">
        <v>67</v>
      </c>
      <c r="I144" s="40">
        <f>O144*(E144/20.5)^3</f>
        <v>58.824562327696704</v>
      </c>
      <c r="J144" s="10">
        <v>0.15</v>
      </c>
      <c r="K144" s="41">
        <f t="shared" si="17"/>
        <v>67.648246676851201</v>
      </c>
      <c r="L144" s="28">
        <f t="shared" si="19"/>
        <v>196.90013002950892</v>
      </c>
      <c r="O144" s="40">
        <f>0.8*(H144*1000)/(24*E144*1.852)</f>
        <v>58.824562327696704</v>
      </c>
    </row>
    <row r="145" spans="3:15" x14ac:dyDescent="0.3">
      <c r="C145" s="35" t="s">
        <v>35</v>
      </c>
      <c r="D145" s="10">
        <v>3500</v>
      </c>
      <c r="E145" s="36">
        <v>12.5</v>
      </c>
      <c r="F145" s="10"/>
      <c r="G145" s="10"/>
      <c r="H145" s="39"/>
      <c r="I145" s="40">
        <f>O145*(E145/12.5)^3</f>
        <v>22.17890474823534</v>
      </c>
      <c r="J145" s="10">
        <v>0.15</v>
      </c>
      <c r="K145" s="41">
        <f t="shared" si="17"/>
        <v>25.505740460470637</v>
      </c>
      <c r="L145" s="28">
        <f t="shared" si="19"/>
        <v>74.238193299459155</v>
      </c>
      <c r="O145" s="40">
        <f t="shared" ref="O145:O151" si="21">(0.15*D145*(EXP((3.58669206-(0.44224568*LN(D145))))))/(1.852*E145)</f>
        <v>22.17890474823534</v>
      </c>
    </row>
    <row r="146" spans="3:15" x14ac:dyDescent="0.3">
      <c r="C146" s="35" t="s">
        <v>36</v>
      </c>
      <c r="D146" s="10">
        <v>9500</v>
      </c>
      <c r="E146" s="36">
        <v>14</v>
      </c>
      <c r="F146" s="10"/>
      <c r="G146" s="10">
        <f>H146*1000/(24*1.852*E146)</f>
        <v>1.7677157255990947</v>
      </c>
      <c r="H146" s="39">
        <v>1.1000000000000001</v>
      </c>
      <c r="I146" s="40">
        <f>O146*(E146/14)^3</f>
        <v>34.561719055336475</v>
      </c>
      <c r="J146" s="10">
        <v>0.15</v>
      </c>
      <c r="K146" s="41">
        <f t="shared" si="17"/>
        <v>39.745976913636945</v>
      </c>
      <c r="L146" s="28">
        <f t="shared" si="19"/>
        <v>115.68648718759738</v>
      </c>
      <c r="O146" s="40">
        <f t="shared" si="21"/>
        <v>34.561719055336475</v>
      </c>
    </row>
    <row r="147" spans="3:15" x14ac:dyDescent="0.3">
      <c r="C147" s="35" t="s">
        <v>37</v>
      </c>
      <c r="D147" s="10">
        <v>17000</v>
      </c>
      <c r="E147" s="36">
        <v>15</v>
      </c>
      <c r="F147" s="10"/>
      <c r="G147" s="10"/>
      <c r="H147" s="39"/>
      <c r="I147" s="40">
        <f>O147*(E147/15)^3</f>
        <v>44.626286475728179</v>
      </c>
      <c r="J147" s="10">
        <v>0.15</v>
      </c>
      <c r="K147" s="41">
        <f t="shared" si="17"/>
        <v>51.320229447087399</v>
      </c>
      <c r="L147" s="28">
        <f t="shared" si="19"/>
        <v>149.37504440501033</v>
      </c>
      <c r="O147" s="40">
        <f t="shared" si="21"/>
        <v>44.626286475728179</v>
      </c>
    </row>
    <row r="148" spans="3:15" x14ac:dyDescent="0.3">
      <c r="C148" s="35" t="s">
        <v>86</v>
      </c>
      <c r="D148" s="10">
        <v>37000</v>
      </c>
      <c r="E148" s="36">
        <v>16</v>
      </c>
      <c r="F148" s="10"/>
      <c r="G148" s="10"/>
      <c r="H148" s="39"/>
      <c r="I148" s="40">
        <f>O148*(E148/16)^3</f>
        <v>64.557263100499554</v>
      </c>
      <c r="J148" s="10">
        <v>0.15</v>
      </c>
      <c r="K148" s="41">
        <f t="shared" si="17"/>
        <v>74.240852565574485</v>
      </c>
      <c r="L148" s="28">
        <f t="shared" si="19"/>
        <v>216.0888750523288</v>
      </c>
      <c r="O148" s="40">
        <f t="shared" si="21"/>
        <v>64.557263100499554</v>
      </c>
    </row>
    <row r="149" spans="3:15" x14ac:dyDescent="0.3">
      <c r="C149" s="35" t="s">
        <v>39</v>
      </c>
      <c r="D149" s="10">
        <v>100000</v>
      </c>
      <c r="E149" s="36">
        <v>16</v>
      </c>
      <c r="F149" s="10"/>
      <c r="G149" s="10"/>
      <c r="H149" s="39"/>
      <c r="I149" s="40">
        <f>O149*(E149/16)^3</f>
        <v>112.40418058397258</v>
      </c>
      <c r="J149" s="10">
        <v>0.15</v>
      </c>
      <c r="K149" s="41">
        <f t="shared" si="17"/>
        <v>129.26480767156846</v>
      </c>
      <c r="L149" s="28">
        <f t="shared" si="19"/>
        <v>376.24415545245597</v>
      </c>
      <c r="O149" s="40">
        <f t="shared" si="21"/>
        <v>112.40418058397258</v>
      </c>
    </row>
    <row r="150" spans="3:15" x14ac:dyDescent="0.3">
      <c r="C150" s="11" t="s">
        <v>87</v>
      </c>
      <c r="D150" s="10">
        <v>150000</v>
      </c>
      <c r="E150" s="36">
        <v>16</v>
      </c>
      <c r="F150" s="10"/>
      <c r="G150" s="10"/>
      <c r="H150" s="39"/>
      <c r="I150" s="40">
        <f>O150*(E150/16)^3</f>
        <v>140.92827122633526</v>
      </c>
      <c r="J150" s="10">
        <v>0.15</v>
      </c>
      <c r="K150" s="41">
        <f t="shared" si="17"/>
        <v>162.06751191028553</v>
      </c>
      <c r="L150" s="28">
        <f t="shared" si="19"/>
        <v>471.72123057572139</v>
      </c>
      <c r="O150" s="40">
        <f t="shared" si="21"/>
        <v>140.92827122633526</v>
      </c>
    </row>
    <row r="151" spans="3:15" x14ac:dyDescent="0.3">
      <c r="C151" s="35" t="s">
        <v>90</v>
      </c>
      <c r="D151" s="10">
        <v>310000</v>
      </c>
      <c r="E151" s="36">
        <v>16</v>
      </c>
      <c r="F151" s="10"/>
      <c r="G151" s="10"/>
      <c r="H151" s="39"/>
      <c r="I151" s="40">
        <f>O151*(E151/16)^3</f>
        <v>211.27181895900327</v>
      </c>
      <c r="J151" s="10">
        <v>0.15</v>
      </c>
      <c r="K151" s="41">
        <f t="shared" si="17"/>
        <v>242.96259180285375</v>
      </c>
      <c r="L151" s="28">
        <f t="shared" si="19"/>
        <v>707.17820887231835</v>
      </c>
      <c r="O151" s="40">
        <f t="shared" si="21"/>
        <v>211.27181895900327</v>
      </c>
    </row>
    <row r="152" spans="3:15" x14ac:dyDescent="0.3">
      <c r="C152" s="35" t="s">
        <v>88</v>
      </c>
      <c r="D152" s="10">
        <v>8000</v>
      </c>
      <c r="E152" s="10">
        <v>14.5</v>
      </c>
      <c r="F152" s="10"/>
      <c r="G152" s="10"/>
      <c r="H152" s="39">
        <v>20.5</v>
      </c>
      <c r="I152" s="40">
        <f>O152*(E152/14.5)^3</f>
        <v>31.807800203569922</v>
      </c>
      <c r="J152" s="10">
        <v>0.15</v>
      </c>
      <c r="K152" s="41">
        <f t="shared" si="17"/>
        <v>36.578970234105405</v>
      </c>
      <c r="L152" s="28">
        <f t="shared" si="19"/>
        <v>106.46845039230716</v>
      </c>
      <c r="O152" s="40">
        <f>(H152*1000)/(24*E152*1.852)</f>
        <v>31.807800203569922</v>
      </c>
    </row>
    <row r="153" spans="3:15" x14ac:dyDescent="0.3">
      <c r="C153" s="35" t="s">
        <v>89</v>
      </c>
      <c r="D153" s="10">
        <v>19000</v>
      </c>
      <c r="E153" s="10">
        <v>14.5</v>
      </c>
      <c r="F153" s="10"/>
      <c r="G153" s="10"/>
      <c r="H153" s="39"/>
      <c r="I153" s="40">
        <f>O153*(E153/14.5)^3</f>
        <v>49.119750205113206</v>
      </c>
      <c r="J153" s="10">
        <v>0.15</v>
      </c>
      <c r="K153" s="41">
        <f t="shared" si="17"/>
        <v>56.48771273588018</v>
      </c>
      <c r="L153" s="28">
        <f t="shared" si="19"/>
        <v>164.41576137065474</v>
      </c>
      <c r="O153" s="40">
        <f t="shared" ref="O153:O159" si="22">(0.15*D153*(EXP((3.58669206-(0.44224568*LN(D153))))))/(1.852*E153)</f>
        <v>49.119750205113206</v>
      </c>
    </row>
    <row r="154" spans="3:15" x14ac:dyDescent="0.3">
      <c r="C154" s="35" t="s">
        <v>82</v>
      </c>
      <c r="D154" s="10">
        <v>30000</v>
      </c>
      <c r="E154" s="36">
        <v>18</v>
      </c>
      <c r="F154" s="10"/>
      <c r="G154" s="10"/>
      <c r="H154" s="39"/>
      <c r="I154" s="40">
        <f>O154*(E154/18)^3</f>
        <v>51.04956697190336</v>
      </c>
      <c r="J154" s="10">
        <v>0.15</v>
      </c>
      <c r="K154" s="41">
        <f t="shared" si="17"/>
        <v>58.707002017688858</v>
      </c>
      <c r="L154" s="28">
        <f t="shared" si="19"/>
        <v>170.87532787277894</v>
      </c>
      <c r="O154" s="40">
        <f t="shared" si="22"/>
        <v>51.04956697190336</v>
      </c>
    </row>
    <row r="155" spans="3:15" x14ac:dyDescent="0.3">
      <c r="C155" s="35" t="s">
        <v>83</v>
      </c>
      <c r="D155" s="10">
        <v>42000</v>
      </c>
      <c r="E155" s="36">
        <v>18</v>
      </c>
      <c r="F155" s="10"/>
      <c r="G155" s="10"/>
      <c r="H155" s="39"/>
      <c r="I155" s="40">
        <f>O155*(E155/18)^3</f>
        <v>61.587929747328189</v>
      </c>
      <c r="J155" s="10">
        <v>0.15</v>
      </c>
      <c r="K155" s="41">
        <f t="shared" si="17"/>
        <v>70.826119209427418</v>
      </c>
      <c r="L155" s="28">
        <f t="shared" si="19"/>
        <v>206.14979348154898</v>
      </c>
      <c r="O155" s="40">
        <f t="shared" si="22"/>
        <v>61.587929747328189</v>
      </c>
    </row>
    <row r="156" spans="3:15" x14ac:dyDescent="0.3">
      <c r="C156" s="11" t="s">
        <v>84</v>
      </c>
      <c r="D156" s="10">
        <v>70000</v>
      </c>
      <c r="E156" s="36">
        <v>18</v>
      </c>
      <c r="F156" s="10"/>
      <c r="G156" s="10"/>
      <c r="H156" s="39"/>
      <c r="I156" s="40">
        <f>O156*(E156/18)^3</f>
        <v>81.890345643633225</v>
      </c>
      <c r="J156" s="10">
        <v>0.15</v>
      </c>
      <c r="K156" s="41">
        <f t="shared" si="17"/>
        <v>94.173897490178206</v>
      </c>
      <c r="L156" s="28">
        <f t="shared" si="19"/>
        <v>274.10692179176579</v>
      </c>
      <c r="O156" s="40">
        <f t="shared" si="22"/>
        <v>81.890345643633225</v>
      </c>
    </row>
    <row r="157" spans="3:15" x14ac:dyDescent="0.3">
      <c r="C157" s="35" t="s">
        <v>66</v>
      </c>
      <c r="D157" s="10">
        <v>1250</v>
      </c>
      <c r="E157" s="36">
        <v>12.5</v>
      </c>
      <c r="F157" s="10"/>
      <c r="G157" s="10"/>
      <c r="H157" s="39"/>
      <c r="I157" s="40">
        <f>O157*(E157/12.5)^3</f>
        <v>12.489233119122845</v>
      </c>
      <c r="J157" s="10">
        <v>0.1</v>
      </c>
      <c r="K157" s="41">
        <f t="shared" si="17"/>
        <v>13.738156431035131</v>
      </c>
      <c r="L157" s="28">
        <f t="shared" si="19"/>
        <v>39.986916446752495</v>
      </c>
      <c r="O157" s="40">
        <f t="shared" si="22"/>
        <v>12.489233119122845</v>
      </c>
    </row>
    <row r="158" spans="3:15" x14ac:dyDescent="0.3">
      <c r="C158" s="35" t="s">
        <v>67</v>
      </c>
      <c r="D158" s="10">
        <v>2530</v>
      </c>
      <c r="E158" s="36">
        <v>12</v>
      </c>
      <c r="F158" s="10"/>
      <c r="G158" s="10"/>
      <c r="H158" s="39"/>
      <c r="I158" s="40">
        <f>O158*(E158/12)^3</f>
        <v>19.277680259782255</v>
      </c>
      <c r="J158" s="10">
        <v>0.1</v>
      </c>
      <c r="K158" s="41">
        <f t="shared" si="17"/>
        <v>21.205448285760482</v>
      </c>
      <c r="L158" s="28">
        <f t="shared" si="19"/>
        <v>61.721563084192184</v>
      </c>
      <c r="O158" s="40">
        <f t="shared" si="22"/>
        <v>19.277680259782255</v>
      </c>
    </row>
    <row r="159" spans="3:15" x14ac:dyDescent="0.3">
      <c r="C159" s="35" t="s">
        <v>91</v>
      </c>
      <c r="D159" s="10">
        <v>4440</v>
      </c>
      <c r="E159" s="36">
        <v>13.5</v>
      </c>
      <c r="F159" s="10"/>
      <c r="G159" s="10"/>
      <c r="H159" s="39"/>
      <c r="I159" s="40">
        <f>O159*(E159/13.5)^3</f>
        <v>23.449883336473903</v>
      </c>
      <c r="J159" s="10">
        <v>0.15</v>
      </c>
      <c r="K159" s="41">
        <f t="shared" si="17"/>
        <v>26.967365836944985</v>
      </c>
      <c r="L159" s="28">
        <f t="shared" si="19"/>
        <v>78.492468034131775</v>
      </c>
      <c r="O159" s="40">
        <f t="shared" si="22"/>
        <v>23.449883336473903</v>
      </c>
    </row>
    <row r="160" spans="3:15" x14ac:dyDescent="0.3">
      <c r="C160" s="35" t="s">
        <v>92</v>
      </c>
      <c r="D160" s="10">
        <v>3000</v>
      </c>
      <c r="E160" s="36">
        <v>12</v>
      </c>
      <c r="F160" s="10"/>
      <c r="G160" s="10">
        <v>4000</v>
      </c>
      <c r="H160" s="42">
        <f>24*'Kalk kost 2010 sjø'!B18*'Kalk kost 2010 sjø'!G160*0.8</f>
        <v>11520</v>
      </c>
      <c r="I160" s="40">
        <f>O160*(E160/12)^3</f>
        <v>21.598272138228943</v>
      </c>
      <c r="J160" s="10">
        <v>0.1</v>
      </c>
      <c r="K160" s="41">
        <f t="shared" si="17"/>
        <v>23.75809935205184</v>
      </c>
      <c r="L160" s="28">
        <f t="shared" si="19"/>
        <v>69.151427885769152</v>
      </c>
      <c r="O160" s="40">
        <f>(H160)/(24*E160*1.852)</f>
        <v>21.598272138228943</v>
      </c>
    </row>
    <row r="161" spans="3:15" x14ac:dyDescent="0.3">
      <c r="C161" s="11" t="s">
        <v>163</v>
      </c>
      <c r="D161" s="10">
        <v>400</v>
      </c>
      <c r="E161" s="10">
        <v>35</v>
      </c>
      <c r="F161" s="10">
        <v>3000</v>
      </c>
      <c r="G161" s="10">
        <f>F161*$G$165</f>
        <v>4023</v>
      </c>
      <c r="H161" s="42">
        <f>24*'Kalk kost 2010 sjø'!B18*'Kalk kost 2010 sjø'!G161</f>
        <v>14482.8</v>
      </c>
      <c r="I161" s="40">
        <f>O161*(E161/20)^3</f>
        <v>49.893780372570184</v>
      </c>
      <c r="J161" s="10">
        <v>0.2</v>
      </c>
      <c r="K161" s="41">
        <f t="shared" si="17"/>
        <v>59.872536447084215</v>
      </c>
      <c r="L161" s="28">
        <f t="shared" si="19"/>
        <v>174.26778653912228</v>
      </c>
      <c r="O161" s="40">
        <f>(H161)/(24*E161*1.852)</f>
        <v>9.3096266584387521</v>
      </c>
    </row>
    <row r="162" spans="3:15" x14ac:dyDescent="0.3">
      <c r="C162" s="35" t="s">
        <v>58</v>
      </c>
      <c r="D162" s="10">
        <v>2530</v>
      </c>
      <c r="E162" s="36">
        <v>12</v>
      </c>
      <c r="F162" s="10"/>
      <c r="G162" s="10"/>
      <c r="H162" s="39"/>
      <c r="I162" s="40">
        <f>O162*(E162/12)^3</f>
        <v>19.277680259782255</v>
      </c>
      <c r="J162" s="10">
        <v>0.1</v>
      </c>
      <c r="K162" s="41">
        <f t="shared" si="17"/>
        <v>21.205448285760482</v>
      </c>
      <c r="L162" s="28">
        <f t="shared" si="19"/>
        <v>61.721563084192184</v>
      </c>
      <c r="O162" s="40">
        <f>O158</f>
        <v>19.277680259782255</v>
      </c>
    </row>
    <row r="163" spans="3:15" x14ac:dyDescent="0.3">
      <c r="C163" s="35" t="s">
        <v>59</v>
      </c>
      <c r="D163" s="10">
        <v>1000</v>
      </c>
      <c r="E163" s="10">
        <v>13</v>
      </c>
      <c r="F163" s="10"/>
      <c r="G163" s="10">
        <v>1800</v>
      </c>
      <c r="H163" s="39">
        <f>24*'Kalk kost 2010 sjø'!B18*'Kalk kost 2010 sjø'!G163*0.8</f>
        <v>5184</v>
      </c>
      <c r="I163" s="40">
        <f>O163*(E163/13)^3</f>
        <v>8.971589965110482</v>
      </c>
      <c r="J163" s="10">
        <v>0.1</v>
      </c>
      <c r="K163" s="41">
        <f t="shared" si="17"/>
        <v>9.8687489616215309</v>
      </c>
      <c r="L163" s="28">
        <f t="shared" si="19"/>
        <v>28.72443927562718</v>
      </c>
      <c r="O163" s="40">
        <f>(H163)/(24*E163*1.852)</f>
        <v>8.971589965110482</v>
      </c>
    </row>
    <row r="165" spans="3:15" x14ac:dyDescent="0.3">
      <c r="G165">
        <v>1.341</v>
      </c>
    </row>
  </sheetData>
  <sheetProtection algorithmName="SHA-512" hashValue="2B92L/xv+3FeTtmRqF+ckLI3cTv6Wh2rFTgRehXtz/bGT7OK58WhWQH2nvIVRVal8m+tFy4I/UlYv9KJdB5F4A==" saltValue="ADS2q7iMCSjTaxPKcVT1qA==" spinCount="100000" sheet="1" objects="1" scenarios="1"/>
  <pageMargins left="0.7" right="0.7" top="0.75" bottom="0.75" header="0.3" footer="0.3"/>
  <pageSetup paperSize="9" scale="1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57"/>
  <sheetViews>
    <sheetView topLeftCell="A22" workbookViewId="0">
      <selection activeCell="C53" sqref="C53"/>
    </sheetView>
  </sheetViews>
  <sheetFormatPr baseColWidth="10" defaultRowHeight="14.4" x14ac:dyDescent="0.3"/>
  <cols>
    <col min="2" max="2" width="23" bestFit="1" customWidth="1"/>
  </cols>
  <sheetData>
    <row r="3" spans="2:8" x14ac:dyDescent="0.3">
      <c r="B3" s="47" t="s">
        <v>235</v>
      </c>
      <c r="C3" s="47" t="s">
        <v>236</v>
      </c>
      <c r="D3" s="47" t="s">
        <v>237</v>
      </c>
      <c r="E3" s="47" t="s">
        <v>238</v>
      </c>
      <c r="F3" s="47" t="s">
        <v>435</v>
      </c>
      <c r="G3" s="47" t="s">
        <v>433</v>
      </c>
      <c r="H3" s="47" t="s">
        <v>434</v>
      </c>
    </row>
    <row r="4" spans="2:8" x14ac:dyDescent="0.3">
      <c r="B4" s="10" t="str">
        <f>'Kostnader 2012'!C6</f>
        <v>Utenlandsferger/cruiseskip</v>
      </c>
      <c r="C4" s="10"/>
      <c r="D4" s="10">
        <f>'Kostnader 2012'!E6</f>
        <v>40000</v>
      </c>
      <c r="E4" s="10">
        <f>'Kostnader 2012'!F6</f>
        <v>180</v>
      </c>
      <c r="F4" s="10"/>
      <c r="G4" s="28">
        <f>'Kostnader 2012'!O6</f>
        <v>529.73844492440605</v>
      </c>
      <c r="H4" s="28">
        <f>'Kostnader 2012'!H6</f>
        <v>43427.768721045148</v>
      </c>
    </row>
    <row r="5" spans="2:8" x14ac:dyDescent="0.3">
      <c r="B5" s="10" t="str">
        <f>'Kostnader 2012'!C7</f>
        <v>Utenlandsferger/cruiseskip</v>
      </c>
      <c r="C5" s="10"/>
      <c r="D5" s="10">
        <f>'Kostnader 2012'!E7</f>
        <v>75000</v>
      </c>
      <c r="E5" s="10">
        <f>'Kostnader 2012'!F7</f>
        <v>220</v>
      </c>
      <c r="F5" s="10"/>
      <c r="G5" s="28">
        <f>'Kostnader 2012'!O7</f>
        <v>704.98776097912162</v>
      </c>
      <c r="H5" s="28">
        <f>'Kostnader 2012'!H7</f>
        <v>58426.488516536432</v>
      </c>
    </row>
    <row r="6" spans="2:8" x14ac:dyDescent="0.3">
      <c r="B6" s="10" t="str">
        <f>'Kostnader 2012'!C8</f>
        <v>Cruiseskip</v>
      </c>
      <c r="C6" s="10"/>
      <c r="D6" s="10">
        <f>'Kostnader 2012'!E8</f>
        <v>77000</v>
      </c>
      <c r="E6" s="10">
        <f>'Kostnader 2012'!F8</f>
        <v>260</v>
      </c>
      <c r="F6" s="10"/>
      <c r="G6" s="28">
        <f>'Kostnader 2012'!O8</f>
        <v>813.44741651437107</v>
      </c>
      <c r="H6" s="28">
        <f>'Kostnader 2012'!H8</f>
        <v>63185.048483054285</v>
      </c>
    </row>
    <row r="7" spans="2:8" x14ac:dyDescent="0.3">
      <c r="B7" s="10" t="str">
        <f>'Kostnader 2012'!C9</f>
        <v>Cruiseskip</v>
      </c>
      <c r="C7" s="10"/>
      <c r="D7" s="10">
        <f>'Kostnader 2012'!E9</f>
        <v>128000</v>
      </c>
      <c r="E7" s="10">
        <f>'Kostnader 2012'!F9</f>
        <v>305</v>
      </c>
      <c r="F7" s="10"/>
      <c r="G7" s="28">
        <f>'Kostnader 2012'!O9</f>
        <v>858.63893965405839</v>
      </c>
      <c r="H7" s="28">
        <f>'Kostnader 2012'!H9</f>
        <v>115703.69128404133</v>
      </c>
    </row>
    <row r="8" spans="2:8" x14ac:dyDescent="0.3">
      <c r="B8" s="10" t="str">
        <f>'Kostnader 2012'!C10</f>
        <v>Break bulk</v>
      </c>
      <c r="C8" s="10">
        <f>'Kostnader 2012'!D10</f>
        <v>1000</v>
      </c>
      <c r="D8" s="10"/>
      <c r="E8" s="10">
        <f>'Kostnader 2012'!F10</f>
        <v>55</v>
      </c>
      <c r="F8" s="10"/>
      <c r="G8" s="28">
        <f>'Kostnader 2012'!O10</f>
        <v>49.307519551641597</v>
      </c>
      <c r="H8" s="28">
        <f>'Kostnader 2012'!H10</f>
        <v>948.42789511932494</v>
      </c>
    </row>
    <row r="9" spans="2:8" x14ac:dyDescent="0.3">
      <c r="B9" s="10" t="str">
        <f>'Kostnader 2012'!C11</f>
        <v>Break bulk</v>
      </c>
      <c r="C9" s="10">
        <f>'Kostnader 2012'!D11</f>
        <v>2500</v>
      </c>
      <c r="D9" s="10"/>
      <c r="E9" s="10">
        <f>'Kostnader 2012'!F11</f>
        <v>80</v>
      </c>
      <c r="F9" s="10"/>
      <c r="G9" s="28">
        <f>'Kostnader 2012'!O11</f>
        <v>70.456185198665409</v>
      </c>
      <c r="H9" s="28">
        <f>'Kostnader 2012'!H11</f>
        <v>1385.4530156365195</v>
      </c>
    </row>
    <row r="10" spans="2:8" x14ac:dyDescent="0.3">
      <c r="B10" s="10" t="str">
        <f>'Kostnader 2012'!C12</f>
        <v>Break bulk</v>
      </c>
      <c r="C10" s="10">
        <f>'Kostnader 2012'!D12</f>
        <v>5000</v>
      </c>
      <c r="D10" s="10"/>
      <c r="E10" s="10">
        <f>'Kostnader 2012'!F12</f>
        <v>97</v>
      </c>
      <c r="F10" s="10"/>
      <c r="G10" s="28">
        <f>'Kostnader 2012'!O12</f>
        <v>96.795837559329087</v>
      </c>
      <c r="H10" s="28">
        <f>'Kostnader 2012'!H12</f>
        <v>1902.2683018778132</v>
      </c>
    </row>
    <row r="11" spans="2:8" x14ac:dyDescent="0.3">
      <c r="B11" s="10" t="str">
        <f>'Kostnader 2012'!C13</f>
        <v>Break bulk</v>
      </c>
      <c r="C11" s="10">
        <f>'Kostnader 2012'!D13</f>
        <v>9000</v>
      </c>
      <c r="D11" s="10"/>
      <c r="E11" s="10">
        <f>'Kostnader 2012'!F13</f>
        <v>123</v>
      </c>
      <c r="F11" s="10"/>
      <c r="G11" s="28">
        <f>'Kostnader 2012'!O13</f>
        <v>125.95264757103537</v>
      </c>
      <c r="H11" s="28">
        <f>'Kostnader 2012'!H13</f>
        <v>2571.5641099377203</v>
      </c>
    </row>
    <row r="12" spans="2:8" x14ac:dyDescent="0.3">
      <c r="B12" s="10" t="str">
        <f>'Kostnader 2012'!C14</f>
        <v>Break bulk</v>
      </c>
      <c r="C12" s="10">
        <f>'Kostnader 2012'!D14</f>
        <v>17000</v>
      </c>
      <c r="D12" s="10"/>
      <c r="E12" s="10">
        <f>'Kostnader 2012'!F14</f>
        <v>150</v>
      </c>
      <c r="F12" s="10"/>
      <c r="G12" s="28">
        <f>'Kostnader 2012'!O14</f>
        <v>179.58192410310357</v>
      </c>
      <c r="H12" s="28">
        <f>'Kostnader 2012'!H14</f>
        <v>3136.6032284882131</v>
      </c>
    </row>
    <row r="13" spans="2:8" x14ac:dyDescent="0.3">
      <c r="B13" s="10" t="str">
        <f>'Kostnader 2012'!C15</f>
        <v>Break bulk</v>
      </c>
      <c r="C13" s="10">
        <f>'Kostnader 2012'!D15</f>
        <v>40000</v>
      </c>
      <c r="D13" s="10"/>
      <c r="E13" s="10">
        <f>'Kostnader 2012'!F15</f>
        <v>185</v>
      </c>
      <c r="F13" s="10"/>
      <c r="G13" s="28">
        <f>'Kostnader 2012'!O15</f>
        <v>289.42117347018313</v>
      </c>
      <c r="H13" s="28">
        <f>'Kostnader 2012'!H15</f>
        <v>4447.3508458477263</v>
      </c>
    </row>
    <row r="14" spans="2:8" x14ac:dyDescent="0.3">
      <c r="B14" s="10" t="str">
        <f>'Kostnader 2012'!C16</f>
        <v>Dry bulk</v>
      </c>
      <c r="C14" s="10">
        <f>'Kostnader 2012'!D16</f>
        <v>1000</v>
      </c>
      <c r="D14" s="10"/>
      <c r="E14" s="10">
        <f>'Kostnader 2012'!F16</f>
        <v>55</v>
      </c>
      <c r="F14" s="10"/>
      <c r="G14" s="28">
        <f>'Kostnader 2012'!O16</f>
        <v>49.307519551641597</v>
      </c>
      <c r="H14" s="28">
        <f>'Kostnader 2012'!H16</f>
        <v>921.77034016884716</v>
      </c>
    </row>
    <row r="15" spans="2:8" x14ac:dyDescent="0.3">
      <c r="B15" s="10" t="str">
        <f>'Kostnader 2012'!C17</f>
        <v>Dry bulk</v>
      </c>
      <c r="C15" s="10">
        <f>'Kostnader 2012'!D17</f>
        <v>2500</v>
      </c>
      <c r="D15" s="10"/>
      <c r="E15" s="10">
        <f>'Kostnader 2012'!F17</f>
        <v>80</v>
      </c>
      <c r="F15" s="10"/>
      <c r="G15" s="28">
        <f>'Kostnader 2012'!O17</f>
        <v>70.456185198665409</v>
      </c>
      <c r="H15" s="28">
        <f>'Kostnader 2012'!H17</f>
        <v>1145.5256878968112</v>
      </c>
    </row>
    <row r="16" spans="2:8" x14ac:dyDescent="0.3">
      <c r="B16" s="10" t="str">
        <f>'Kostnader 2012'!C18</f>
        <v>Dry bulk</v>
      </c>
      <c r="C16" s="10">
        <f>'Kostnader 2012'!D18</f>
        <v>5000</v>
      </c>
      <c r="D16" s="10"/>
      <c r="E16" s="10">
        <f>'Kostnader 2012'!F18</f>
        <v>97</v>
      </c>
      <c r="F16" s="10"/>
      <c r="G16" s="28">
        <f>'Kostnader 2012'!O18</f>
        <v>96.795837559329087</v>
      </c>
      <c r="H16" s="28">
        <f>'Kostnader 2012'!H18</f>
        <v>1546.1570687815886</v>
      </c>
    </row>
    <row r="17" spans="2:8" x14ac:dyDescent="0.3">
      <c r="B17" s="10" t="str">
        <f>'Kostnader 2012'!C19</f>
        <v>Dry bulk</v>
      </c>
      <c r="C17" s="10">
        <f>'Kostnader 2012'!D19</f>
        <v>9000</v>
      </c>
      <c r="D17" s="10"/>
      <c r="E17" s="10">
        <f>'Kostnader 2012'!F19</f>
        <v>123</v>
      </c>
      <c r="F17" s="10"/>
      <c r="G17" s="28">
        <f>'Kostnader 2012'!O19</f>
        <v>125.95264757103537</v>
      </c>
      <c r="H17" s="28">
        <f>'Kostnader 2012'!H19</f>
        <v>2179.8766243054215</v>
      </c>
    </row>
    <row r="18" spans="2:8" x14ac:dyDescent="0.3">
      <c r="B18" s="10" t="str">
        <f>'Kostnader 2012'!C20</f>
        <v>Dry bulk</v>
      </c>
      <c r="C18" s="10">
        <f>'Kostnader 2012'!D20</f>
        <v>17000</v>
      </c>
      <c r="D18" s="10"/>
      <c r="E18" s="10">
        <f>'Kostnader 2012'!F20</f>
        <v>150</v>
      </c>
      <c r="F18" s="10"/>
      <c r="G18" s="28">
        <f>'Kostnader 2012'!O20</f>
        <v>179.58192410310357</v>
      </c>
      <c r="H18" s="28">
        <f>'Kostnader 2012'!H20</f>
        <v>2837.3433606346084</v>
      </c>
    </row>
    <row r="19" spans="2:8" x14ac:dyDescent="0.3">
      <c r="B19" s="10" t="str">
        <f>'Kostnader 2012'!C21</f>
        <v>Dry bulk</v>
      </c>
      <c r="C19" s="10">
        <f>'Kostnader 2012'!D21</f>
        <v>45000</v>
      </c>
      <c r="D19" s="10"/>
      <c r="E19" s="10">
        <f>'Kostnader 2012'!F21</f>
        <v>187</v>
      </c>
      <c r="F19" s="10"/>
      <c r="G19" s="28">
        <f>'Kostnader 2012'!O21</f>
        <v>309.07283831436092</v>
      </c>
      <c r="H19" s="28">
        <f>'Kostnader 2012'!H21</f>
        <v>3807.7466338383356</v>
      </c>
    </row>
    <row r="20" spans="2:8" x14ac:dyDescent="0.3">
      <c r="B20" s="10" t="str">
        <f>'Kostnader 2012'!C22</f>
        <v>Dry bulk</v>
      </c>
      <c r="C20" s="10">
        <f>'Kostnader 2012'!D22</f>
        <v>56000</v>
      </c>
      <c r="D20" s="10"/>
      <c r="E20" s="10">
        <f>'Kostnader 2012'!F22</f>
        <v>190</v>
      </c>
      <c r="F20" s="10"/>
      <c r="G20" s="28">
        <f>'Kostnader 2012'!O22</f>
        <v>349.1675239651172</v>
      </c>
      <c r="H20" s="28">
        <f>'Kostnader 2012'!H22</f>
        <v>3979.30827346243</v>
      </c>
    </row>
    <row r="21" spans="2:8" x14ac:dyDescent="0.3">
      <c r="B21" s="10" t="str">
        <f>'Kostnader 2012'!C23</f>
        <v>Dry bulk</v>
      </c>
      <c r="C21" s="10">
        <f>'Kostnader 2012'!D23</f>
        <v>76000</v>
      </c>
      <c r="D21" s="10"/>
      <c r="E21" s="10">
        <f>'Kostnader 2012'!F23</f>
        <v>225</v>
      </c>
      <c r="F21" s="10"/>
      <c r="G21" s="28">
        <f>'Kostnader 2012'!O23</f>
        <v>414.00570448559233</v>
      </c>
      <c r="H21" s="28">
        <f>'Kostnader 2012'!H23</f>
        <v>4542.2195809359964</v>
      </c>
    </row>
    <row r="22" spans="2:8" x14ac:dyDescent="0.3">
      <c r="B22" s="10" t="str">
        <f>'Kostnader 2012'!C24</f>
        <v>Containerskip</v>
      </c>
      <c r="C22" s="10">
        <f>'Kostnader 2012'!D24</f>
        <v>8500</v>
      </c>
      <c r="D22" s="10">
        <f>'Kostnader 2012'!E24</f>
        <v>6500</v>
      </c>
      <c r="E22" s="10">
        <f>'Kostnader 2012'!F24</f>
        <v>134</v>
      </c>
      <c r="F22" s="10"/>
      <c r="G22" s="28">
        <f>'Kostnader 2012'!O24</f>
        <v>93.241154402972143</v>
      </c>
      <c r="H22" s="28">
        <f>'Kostnader 2012'!H24</f>
        <v>2575.5277855885874</v>
      </c>
    </row>
    <row r="23" spans="2:8" x14ac:dyDescent="0.3">
      <c r="B23" s="10" t="str">
        <f>'Kostnader 2012'!C25</f>
        <v>Containerskip</v>
      </c>
      <c r="C23" s="10">
        <f>'Kostnader 2012'!D25</f>
        <v>14200</v>
      </c>
      <c r="D23" s="10">
        <f>'Kostnader 2012'!E25</f>
        <v>12500</v>
      </c>
      <c r="E23" s="10">
        <f>'Kostnader 2012'!F25</f>
        <v>158</v>
      </c>
      <c r="F23" s="10"/>
      <c r="G23" s="28">
        <f>'Kostnader 2012'!O25</f>
        <v>125.7040052910539</v>
      </c>
      <c r="H23" s="28">
        <f>'Kostnader 2012'!H25</f>
        <v>2788.03231187244</v>
      </c>
    </row>
    <row r="24" spans="2:8" x14ac:dyDescent="0.3">
      <c r="B24" s="10" t="str">
        <f>'Kostnader 2012'!C26</f>
        <v>Containerskip</v>
      </c>
      <c r="C24" s="10">
        <f>'Kostnader 2012'!D26</f>
        <v>23000</v>
      </c>
      <c r="D24" s="10">
        <f>'Kostnader 2012'!E26</f>
        <v>16800</v>
      </c>
      <c r="E24" s="10">
        <f>'Kostnader 2012'!F26</f>
        <v>184</v>
      </c>
      <c r="F24" s="10"/>
      <c r="G24" s="28">
        <f>'Kostnader 2012'!O26</f>
        <v>144.76817298132417</v>
      </c>
      <c r="H24" s="28">
        <f>'Kostnader 2012'!H26</f>
        <v>3244.0903824236043</v>
      </c>
    </row>
    <row r="25" spans="2:8" x14ac:dyDescent="0.3">
      <c r="B25" s="10" t="str">
        <f>'Kostnader 2012'!C27</f>
        <v>Containerskip</v>
      </c>
      <c r="C25" s="10">
        <f>'Kostnader 2012'!D27</f>
        <v>34200</v>
      </c>
      <c r="D25" s="10">
        <f>'Kostnader 2012'!E27</f>
        <v>26400</v>
      </c>
      <c r="E25" s="10">
        <f>'Kostnader 2012'!F27</f>
        <v>209</v>
      </c>
      <c r="F25" s="10"/>
      <c r="G25" s="28">
        <f>'Kostnader 2012'!O27</f>
        <v>446.75686289416848</v>
      </c>
      <c r="H25" s="28">
        <f>'Kostnader 2012'!H27</f>
        <v>3732.9466666666658</v>
      </c>
    </row>
    <row r="26" spans="2:8" x14ac:dyDescent="0.3">
      <c r="B26" s="10" t="str">
        <f>'Kostnader 2012'!C28</f>
        <v>Containerskip</v>
      </c>
      <c r="C26" s="10">
        <f>'Kostnader 2012'!D28</f>
        <v>50300</v>
      </c>
      <c r="D26" s="10">
        <f>'Kostnader 2012'!E28</f>
        <v>40500</v>
      </c>
      <c r="E26" s="10">
        <f>'Kostnader 2012'!F28</f>
        <v>261</v>
      </c>
      <c r="F26" s="10"/>
      <c r="G26" s="28">
        <f>'Kostnader 2012'!O28</f>
        <v>617.28763822414214</v>
      </c>
      <c r="H26" s="28">
        <f>'Kostnader 2012'!H28</f>
        <v>5019.0649999999996</v>
      </c>
    </row>
    <row r="27" spans="2:8" x14ac:dyDescent="0.3">
      <c r="B27" s="10" t="str">
        <f>'Kostnader 2012'!C29</f>
        <v>RoRo lasteskip</v>
      </c>
      <c r="C27" s="10">
        <f>'Kostnader 2012'!D29</f>
        <v>3500</v>
      </c>
      <c r="D27" s="10">
        <f>'Kostnader 2012'!E29</f>
        <v>5000</v>
      </c>
      <c r="E27" s="10">
        <f>'Kostnader 2012'!F29</f>
        <v>107</v>
      </c>
      <c r="F27" s="10"/>
      <c r="G27" s="28">
        <f>'Kostnader 2012'!O29</f>
        <v>193.1134398848092</v>
      </c>
      <c r="H27" s="28">
        <f>'Kostnader 2012'!H29</f>
        <v>1815.2071188636246</v>
      </c>
    </row>
    <row r="28" spans="2:8" x14ac:dyDescent="0.3">
      <c r="B28" s="10" t="str">
        <f>'Kostnader 2012'!C30</f>
        <v>RoRo lasteskip</v>
      </c>
      <c r="C28" s="10">
        <f>'Kostnader 2012'!D30</f>
        <v>8000</v>
      </c>
      <c r="D28" s="10">
        <f>'Kostnader 2012'!E30</f>
        <v>10000</v>
      </c>
      <c r="E28" s="10">
        <f>'Kostnader 2012'!F30</f>
        <v>140</v>
      </c>
      <c r="F28" s="10"/>
      <c r="G28" s="28">
        <f>'Kostnader 2012'!O30</f>
        <v>264.47542343980899</v>
      </c>
      <c r="H28" s="28">
        <f>'Kostnader 2012'!H30</f>
        <v>4567.9589239171992</v>
      </c>
    </row>
    <row r="29" spans="2:8" x14ac:dyDescent="0.3">
      <c r="B29" s="10" t="str">
        <f>'Kostnader 2012'!C31</f>
        <v>RoRo lasteskip</v>
      </c>
      <c r="C29" s="10">
        <f>'Kostnader 2012'!D31</f>
        <v>15000</v>
      </c>
      <c r="D29" s="10">
        <f>'Kostnader 2012'!E31</f>
        <v>24000</v>
      </c>
      <c r="E29" s="10">
        <f>'Kostnader 2012'!F31</f>
        <v>190</v>
      </c>
      <c r="F29" s="10"/>
      <c r="G29" s="28">
        <f>'Kostnader 2012'!O31</f>
        <v>491.24317280891205</v>
      </c>
      <c r="H29" s="28">
        <f>'Kostnader 2012'!H31</f>
        <v>5266.35829181397</v>
      </c>
    </row>
    <row r="30" spans="2:8" x14ac:dyDescent="0.3">
      <c r="B30" s="10" t="str">
        <f>'Kostnader 2012'!C32</f>
        <v>Kjøle/fryseskip</v>
      </c>
      <c r="C30" s="10">
        <f>'Kostnader 2012'!D32</f>
        <v>3500</v>
      </c>
      <c r="D30" s="10">
        <f>'Kostnader 2012'!E32</f>
        <v>3100</v>
      </c>
      <c r="E30" s="10">
        <f>'Kostnader 2012'!F32</f>
        <v>96</v>
      </c>
      <c r="F30" s="10"/>
      <c r="G30" s="28">
        <f>'Kostnader 2012'!O32</f>
        <v>103.25410367170626</v>
      </c>
      <c r="H30" s="28">
        <f>'Kostnader 2012'!H32</f>
        <v>1391.9083333333331</v>
      </c>
    </row>
    <row r="31" spans="2:8" x14ac:dyDescent="0.3">
      <c r="B31" s="10" t="str">
        <f>'Kostnader 2012'!C33</f>
        <v>Kjøle/fryseskip</v>
      </c>
      <c r="C31" s="10">
        <f>'Kostnader 2012'!D33</f>
        <v>6500</v>
      </c>
      <c r="D31" s="10">
        <f>'Kostnader 2012'!E33</f>
        <v>6000</v>
      </c>
      <c r="E31" s="10">
        <f>'Kostnader 2012'!F33</f>
        <v>126</v>
      </c>
      <c r="F31" s="10"/>
      <c r="G31" s="28">
        <f>'Kostnader 2012'!O33</f>
        <v>118.31199379049674</v>
      </c>
      <c r="H31" s="28">
        <f>'Kostnader 2012'!H33</f>
        <v>1604.7299999999998</v>
      </c>
    </row>
    <row r="32" spans="2:8" x14ac:dyDescent="0.3">
      <c r="B32" s="10" t="str">
        <f>'Kostnader 2012'!C34</f>
        <v>Kjøle/fryseskip</v>
      </c>
      <c r="C32" s="10">
        <f>'Kostnader 2012'!D34</f>
        <v>13700</v>
      </c>
      <c r="D32" s="10">
        <f>'Kostnader 2012'!E34</f>
        <v>13400</v>
      </c>
      <c r="E32" s="10">
        <f>'Kostnader 2012'!F34</f>
        <v>163</v>
      </c>
      <c r="F32" s="10"/>
      <c r="G32" s="28">
        <f>'Kostnader 2012'!O34</f>
        <v>252.49878901040461</v>
      </c>
      <c r="H32" s="28">
        <f>'Kostnader 2012'!H34</f>
        <v>3104.7732383833941</v>
      </c>
    </row>
    <row r="33" spans="2:8" x14ac:dyDescent="0.3">
      <c r="B33" s="10" t="str">
        <f>'Kostnader 2012'!C35</f>
        <v>Oljetankere</v>
      </c>
      <c r="C33" s="10">
        <f>'Kostnader 2012'!D35</f>
        <v>3500</v>
      </c>
      <c r="D33" s="10"/>
      <c r="E33" s="10">
        <f>'Kostnader 2012'!F35</f>
        <v>94</v>
      </c>
      <c r="F33" s="10"/>
      <c r="G33" s="28">
        <f>'Kostnader 2012'!O35</f>
        <v>95.200820353061715</v>
      </c>
      <c r="H33" s="28">
        <f>'Kostnader 2012'!H35</f>
        <v>1922.7376730075914</v>
      </c>
    </row>
    <row r="34" spans="2:8" x14ac:dyDescent="0.3">
      <c r="B34" s="10" t="str">
        <f>'Kostnader 2012'!C36</f>
        <v>Oljetankere</v>
      </c>
      <c r="C34" s="10">
        <f>'Kostnader 2012'!D36</f>
        <v>9500</v>
      </c>
      <c r="D34" s="10"/>
      <c r="E34" s="10">
        <f>'Kostnader 2012'!F36</f>
        <v>120</v>
      </c>
      <c r="F34" s="10"/>
      <c r="G34" s="28">
        <f>'Kostnader 2012'!O36</f>
        <v>148.35286251643558</v>
      </c>
      <c r="H34" s="28">
        <f>'Kostnader 2012'!H36</f>
        <v>2392.6589963626743</v>
      </c>
    </row>
    <row r="35" spans="2:8" x14ac:dyDescent="0.3">
      <c r="B35" s="10" t="str">
        <f>'Kostnader 2012'!C37</f>
        <v>Oljetankere</v>
      </c>
      <c r="C35" s="10">
        <f>'Kostnader 2012'!D37</f>
        <v>17000</v>
      </c>
      <c r="D35" s="10"/>
      <c r="E35" s="10">
        <f>'Kostnader 2012'!F37</f>
        <v>154</v>
      </c>
      <c r="F35" s="10"/>
      <c r="G35" s="28">
        <f>'Kostnader 2012'!O37</f>
        <v>191.5540523766438</v>
      </c>
      <c r="H35" s="28">
        <f>'Kostnader 2012'!H37</f>
        <v>3540.748198416883</v>
      </c>
    </row>
    <row r="36" spans="2:8" x14ac:dyDescent="0.3">
      <c r="B36" s="10" t="str">
        <f>'Kostnader 2012'!C38</f>
        <v>Oljetankere</v>
      </c>
      <c r="C36" s="10">
        <f>'Kostnader 2012'!D38</f>
        <v>37000</v>
      </c>
      <c r="D36" s="10"/>
      <c r="E36" s="10">
        <f>'Kostnader 2012'!F38</f>
        <v>183</v>
      </c>
      <c r="F36" s="10"/>
      <c r="G36" s="28">
        <f>'Kostnader 2012'!O38</f>
        <v>277.10585697001096</v>
      </c>
      <c r="H36" s="28">
        <f>'Kostnader 2012'!H38</f>
        <v>4680.1485353155522</v>
      </c>
    </row>
    <row r="37" spans="2:8" x14ac:dyDescent="0.3">
      <c r="B37" s="10" t="str">
        <f>'Kostnader 2012'!C39</f>
        <v>Oljetankere</v>
      </c>
      <c r="C37" s="10">
        <f>'Kostnader 2012'!D39</f>
        <v>100000</v>
      </c>
      <c r="D37" s="10"/>
      <c r="E37" s="10">
        <f>'Kostnader 2012'!F39</f>
        <v>245</v>
      </c>
      <c r="F37" s="10"/>
      <c r="G37" s="28">
        <f>'Kostnader 2012'!O39</f>
        <v>482.48415889694928</v>
      </c>
      <c r="H37" s="28">
        <f>'Kostnader 2012'!H39</f>
        <v>6259.9219898793872</v>
      </c>
    </row>
    <row r="38" spans="2:8" x14ac:dyDescent="0.3">
      <c r="B38" s="10" t="str">
        <f>'Kostnader 2012'!C40</f>
        <v>Oljetankere</v>
      </c>
      <c r="C38" s="10">
        <f>'Kostnader 2012'!D40</f>
        <v>150000</v>
      </c>
      <c r="D38" s="10"/>
      <c r="E38" s="10">
        <f>'Kostnader 2012'!F40</f>
        <v>274</v>
      </c>
      <c r="F38" s="10"/>
      <c r="G38" s="28">
        <f>'Kostnader 2012'!O40</f>
        <v>604.92108081907782</v>
      </c>
      <c r="H38" s="28">
        <f>'Kostnader 2012'!H40</f>
        <v>7458.0271822143422</v>
      </c>
    </row>
    <row r="39" spans="2:8" x14ac:dyDescent="0.3">
      <c r="B39" s="10" t="str">
        <f>'Kostnader 2012'!C41</f>
        <v>Oljetankere</v>
      </c>
      <c r="C39" s="10">
        <f>'Kostnader 2012'!D41</f>
        <v>310000</v>
      </c>
      <c r="D39" s="10"/>
      <c r="E39" s="10">
        <f>'Kostnader 2012'!F41</f>
        <v>333</v>
      </c>
      <c r="F39" s="10"/>
      <c r="G39" s="28">
        <f>'Kostnader 2012'!O41</f>
        <v>906.86400932313643</v>
      </c>
      <c r="H39" s="28">
        <f>'Kostnader 2012'!H41</f>
        <v>10705.399185626942</v>
      </c>
    </row>
    <row r="40" spans="2:8" x14ac:dyDescent="0.3">
      <c r="B40" s="10" t="str">
        <f>'Kostnader 2012'!C42</f>
        <v>Produkt- og kjemikalieskip</v>
      </c>
      <c r="C40" s="10">
        <f>'Kostnader 2012'!D42</f>
        <v>3500</v>
      </c>
      <c r="D40" s="10">
        <f>'Kostnader 2012'!E42</f>
        <v>2400</v>
      </c>
      <c r="E40" s="10">
        <f>'Kostnader 2012'!F42</f>
        <v>90</v>
      </c>
      <c r="F40" s="10"/>
      <c r="G40" s="28">
        <f>'Kostnader 2012'!O42</f>
        <v>98.309007531906545</v>
      </c>
      <c r="H40" s="28">
        <f>'Kostnader 2012'!H42</f>
        <v>1713.251666666667</v>
      </c>
    </row>
    <row r="41" spans="2:8" x14ac:dyDescent="0.3">
      <c r="B41" s="10" t="str">
        <f>'Kostnader 2012'!C43</f>
        <v>Produkt- og kjemikalieskip</v>
      </c>
      <c r="C41" s="10">
        <f>'Kostnader 2012'!D43</f>
        <v>8000</v>
      </c>
      <c r="D41" s="10">
        <f>'Kostnader 2012'!E43</f>
        <v>5300</v>
      </c>
      <c r="E41" s="10">
        <f>'Kostnader 2012'!F43</f>
        <v>115</v>
      </c>
      <c r="F41" s="10"/>
      <c r="G41" s="28">
        <f>'Kostnader 2012'!O43</f>
        <v>136.53193011016796</v>
      </c>
      <c r="H41" s="28">
        <f>'Kostnader 2012'!H43</f>
        <v>3143.4241615400206</v>
      </c>
    </row>
    <row r="42" spans="2:8" x14ac:dyDescent="0.3">
      <c r="B42" s="10" t="str">
        <f>'Kostnader 2012'!C44</f>
        <v>Produkt- og kjemikalieskip</v>
      </c>
      <c r="C42" s="10">
        <f>'Kostnader 2012'!D44</f>
        <v>19000</v>
      </c>
      <c r="D42" s="10">
        <f>'Kostnader 2012'!E44</f>
        <v>11600</v>
      </c>
      <c r="E42" s="10">
        <f>'Kostnader 2012'!F44</f>
        <v>149</v>
      </c>
      <c r="F42" s="10"/>
      <c r="G42" s="28">
        <f>'Kostnader 2012'!O44</f>
        <v>210.84181424406509</v>
      </c>
      <c r="H42" s="28">
        <f>'Kostnader 2012'!H44</f>
        <v>3839.8774537938189</v>
      </c>
    </row>
    <row r="43" spans="2:8" x14ac:dyDescent="0.3">
      <c r="B43" s="10" t="str">
        <f>'Kostnader 2012'!C45</f>
        <v>Produkt- og kjemikalieskip</v>
      </c>
      <c r="C43" s="10">
        <f>'Kostnader 2012'!D45</f>
        <v>35000</v>
      </c>
      <c r="D43" s="10">
        <f>'Kostnader 2012'!E45</f>
        <v>23000</v>
      </c>
      <c r="E43" s="10">
        <f>'Kostnader 2012'!F45</f>
        <v>180</v>
      </c>
      <c r="F43" s="10"/>
      <c r="G43" s="28">
        <f>'Kostnader 2012'!O45</f>
        <v>234.39046119772235</v>
      </c>
      <c r="H43" s="28">
        <f>'Kostnader 2012'!H45</f>
        <v>5143.2316666666666</v>
      </c>
    </row>
    <row r="44" spans="2:8" x14ac:dyDescent="0.3">
      <c r="B44" s="10" t="str">
        <f>'Kostnader 2012'!C46</f>
        <v>Gasstankskip</v>
      </c>
      <c r="C44" s="10">
        <f>'Kostnader 2012'!D46</f>
        <v>8500</v>
      </c>
      <c r="D44" s="10">
        <f>'Kostnader 2012'!E46</f>
        <v>7500</v>
      </c>
      <c r="E44" s="10">
        <f>'Kostnader 2012'!F46</f>
        <v>120</v>
      </c>
      <c r="F44" s="10">
        <f>'Kostnader 2012'!G46</f>
        <v>7500</v>
      </c>
      <c r="G44" s="28">
        <f>'Kostnader 2012'!O46</f>
        <v>133.90248306289342</v>
      </c>
      <c r="H44" s="28">
        <f>'Kostnader 2012'!H46</f>
        <v>3738.6359940154944</v>
      </c>
    </row>
    <row r="45" spans="2:8" x14ac:dyDescent="0.3">
      <c r="B45" s="10" t="str">
        <f>'Kostnader 2012'!C47</f>
        <v>Gasstankskip</v>
      </c>
      <c r="C45" s="10">
        <f>'Kostnader 2012'!D47</f>
        <v>16500</v>
      </c>
      <c r="D45" s="10">
        <f>'Kostnader 2012'!E47</f>
        <v>11500</v>
      </c>
      <c r="E45" s="10">
        <f>'Kostnader 2012'!F47</f>
        <v>155</v>
      </c>
      <c r="F45" s="10">
        <f>'Kostnader 2012'!G47</f>
        <v>15000</v>
      </c>
      <c r="G45" s="28">
        <f>'Kostnader 2012'!O47</f>
        <v>178.50651640176477</v>
      </c>
      <c r="H45" s="28">
        <f>'Kostnader 2012'!H47</f>
        <v>4512.5601255534757</v>
      </c>
    </row>
    <row r="46" spans="2:8" x14ac:dyDescent="0.3">
      <c r="B46" s="10" t="str">
        <f>'Kostnader 2012'!C48</f>
        <v>Gasstankskip</v>
      </c>
      <c r="C46" s="10">
        <f>'Kostnader 2012'!D48</f>
        <v>30000</v>
      </c>
      <c r="D46" s="10">
        <f>'Kostnader 2012'!E48</f>
        <v>24000</v>
      </c>
      <c r="E46" s="10">
        <f>'Kostnader 2012'!F48</f>
        <v>183</v>
      </c>
      <c r="F46" s="10">
        <f>'Kostnader 2012'!G48</f>
        <v>35000</v>
      </c>
      <c r="G46" s="28">
        <f>'Kostnader 2012'!O48</f>
        <v>219.1253675310746</v>
      </c>
      <c r="H46" s="28">
        <f>'Kostnader 2012'!H48</f>
        <v>5460.3175904247901</v>
      </c>
    </row>
    <row r="47" spans="2:8" x14ac:dyDescent="0.3">
      <c r="B47" s="10" t="str">
        <f>'Kostnader 2012'!C49</f>
        <v>Gasstankskip</v>
      </c>
      <c r="C47" s="10">
        <f>'Kostnader 2012'!D49</f>
        <v>42000</v>
      </c>
      <c r="D47" s="10"/>
      <c r="E47" s="10">
        <f>'Kostnader 2012'!F49</f>
        <v>205</v>
      </c>
      <c r="F47" s="10">
        <f>'Kostnader 2012'!G49</f>
        <v>57000</v>
      </c>
      <c r="G47" s="28">
        <f>'Kostnader 2012'!O49</f>
        <v>264.36027848755174</v>
      </c>
      <c r="H47" s="28">
        <f>'Kostnader 2012'!H49</f>
        <v>6006.3493494672712</v>
      </c>
    </row>
    <row r="48" spans="2:8" x14ac:dyDescent="0.3">
      <c r="B48" s="10" t="str">
        <f>'Kostnader 2012'!C50</f>
        <v>Gasstankskip</v>
      </c>
      <c r="C48" s="10">
        <f>'Kostnader 2012'!D50</f>
        <v>70000</v>
      </c>
      <c r="D48" s="10"/>
      <c r="E48" s="10">
        <f>'Kostnader 2012'!F50</f>
        <v>285</v>
      </c>
      <c r="F48" s="10">
        <f>'Kostnader 2012'!G50</f>
        <v>145000</v>
      </c>
      <c r="G48" s="28">
        <f>'Kostnader 2012'!O50</f>
        <v>351.50645051081466</v>
      </c>
      <c r="H48" s="28">
        <f>'Kostnader 2012'!H50</f>
        <v>17538.595959105878</v>
      </c>
    </row>
    <row r="49" spans="2:8" x14ac:dyDescent="0.3">
      <c r="B49" s="10" t="str">
        <f>'Kostnader 2012'!C51</f>
        <v>Stykkgodsskip</v>
      </c>
      <c r="C49" s="10">
        <f>'Kostnader 2012'!D51</f>
        <v>1250</v>
      </c>
      <c r="D49" s="10">
        <f>'Kostnader 2012'!E51</f>
        <v>500</v>
      </c>
      <c r="E49" s="10">
        <f>'Kostnader 2012'!F51</f>
        <v>70</v>
      </c>
      <c r="F49" s="10"/>
      <c r="G49" s="28">
        <f>'Kostnader 2012'!O51</f>
        <v>51.278015801980821</v>
      </c>
      <c r="H49" s="28">
        <f>'Kostnader 2012'!H51</f>
        <v>900.47054073317327</v>
      </c>
    </row>
    <row r="50" spans="2:8" x14ac:dyDescent="0.3">
      <c r="B50" s="10" t="str">
        <f>'Kostnader 2012'!C52</f>
        <v>Stykkgodsskip</v>
      </c>
      <c r="C50" s="10">
        <f>'Kostnader 2012'!D52</f>
        <v>2530</v>
      </c>
      <c r="D50" s="10">
        <f>'Kostnader 2012'!E52</f>
        <v>1850</v>
      </c>
      <c r="E50" s="10">
        <f>'Kostnader 2012'!F52</f>
        <v>82</v>
      </c>
      <c r="F50" s="10"/>
      <c r="G50" s="28">
        <f>'Kostnader 2012'!O52</f>
        <v>79.149871217719323</v>
      </c>
      <c r="H50" s="28">
        <f>'Kostnader 2012'!H52</f>
        <v>1326.6904548608954</v>
      </c>
    </row>
    <row r="51" spans="2:8" x14ac:dyDescent="0.3">
      <c r="B51" s="10" t="str">
        <f>'Kostnader 2012'!C53</f>
        <v>Stykkgodsskip</v>
      </c>
      <c r="C51" s="10">
        <f>'Kostnader 2012'!D53</f>
        <v>4440</v>
      </c>
      <c r="D51" s="10">
        <f>'Kostnader 2012'!E53</f>
        <v>3200</v>
      </c>
      <c r="E51" s="10">
        <f>'Kostnader 2012'!F53</f>
        <v>97</v>
      </c>
      <c r="F51" s="10"/>
      <c r="G51" s="28">
        <f>'Kostnader 2012'!O53</f>
        <v>100.65637398048395</v>
      </c>
      <c r="H51" s="28">
        <f>'Kostnader 2012'!H53</f>
        <v>1814.6395115613691</v>
      </c>
    </row>
    <row r="52" spans="2:8" x14ac:dyDescent="0.3">
      <c r="B52" s="10" t="str">
        <f>'Kostnader 2012'!C54</f>
        <v>Stykkgodsskip</v>
      </c>
      <c r="C52" s="10">
        <f>'Kostnader 2012'!D54</f>
        <v>9500</v>
      </c>
      <c r="D52" s="10">
        <f>'Kostnader 2012'!E54</f>
        <v>6500</v>
      </c>
      <c r="E52" s="10">
        <f>'Kostnader 2012'!F54</f>
        <v>120</v>
      </c>
      <c r="F52" s="10"/>
      <c r="G52" s="28">
        <f>'Kostnader 2012'!O54</f>
        <v>181.33216328293736</v>
      </c>
      <c r="H52" s="28">
        <f>'Kostnader 2012'!H54</f>
        <v>1929.3016666666667</v>
      </c>
    </row>
    <row r="53" spans="2:8" x14ac:dyDescent="0.3">
      <c r="B53" s="10" t="str">
        <f>'Kostnader 2012'!C55</f>
        <v>Offshore supplyskip</v>
      </c>
      <c r="C53" s="10">
        <f>'Kostnader 2012'!D55</f>
        <v>3000</v>
      </c>
      <c r="D53" s="10"/>
      <c r="E53" s="10"/>
      <c r="F53" s="10"/>
      <c r="G53" s="28">
        <f>'Kostnader 2012'!O55</f>
        <v>88.677705783537334</v>
      </c>
      <c r="H53" s="28">
        <f>'Kostnader 2012'!H55</f>
        <v>5230.4831177574688</v>
      </c>
    </row>
    <row r="54" spans="2:8" x14ac:dyDescent="0.3">
      <c r="B54" s="10" t="str">
        <f>'Kostnader 2012'!C56</f>
        <v>Hurtigbåt</v>
      </c>
      <c r="C54" s="10"/>
      <c r="D54" s="10">
        <f>'Kostnader 2012'!E56</f>
        <v>360</v>
      </c>
      <c r="E54" s="10"/>
      <c r="F54" s="10"/>
      <c r="G54" s="28">
        <f>'Kostnader 2012'!O56</f>
        <v>223.4757542214804</v>
      </c>
      <c r="H54" s="28">
        <f>'Kostnader 2012'!H56</f>
        <v>1502.4722889011418</v>
      </c>
    </row>
    <row r="55" spans="2:8" x14ac:dyDescent="0.3">
      <c r="B55" s="10" t="str">
        <f>'Kostnader 2012'!C57</f>
        <v>Brønnbåt</v>
      </c>
      <c r="C55" s="10">
        <f>'Kostnader 2012'!D57</f>
        <v>1000</v>
      </c>
      <c r="D55" s="10">
        <f>'Kostnader 2012'!E57</f>
        <v>950</v>
      </c>
      <c r="E55" s="10">
        <f>'Kostnader 2012'!F57</f>
        <v>50</v>
      </c>
      <c r="F55" s="10"/>
      <c r="G55" s="28">
        <f>'Kostnader 2012'!O57</f>
        <v>56.116360691144706</v>
      </c>
      <c r="H55" s="28">
        <f>'Kostnader 2012'!H57</f>
        <v>1966.9736173097122</v>
      </c>
    </row>
    <row r="56" spans="2:8" x14ac:dyDescent="0.3">
      <c r="B56" s="10" t="str">
        <f>'Kostnader 2012'!C58</f>
        <v>Brønnbåt</v>
      </c>
      <c r="C56" s="10">
        <f>'Kostnader 2012'!D58</f>
        <v>1500</v>
      </c>
      <c r="D56" s="10">
        <f>'Kostnader 2012'!E58</f>
        <v>1250</v>
      </c>
      <c r="E56" s="10">
        <f>'Kostnader 2012'!F58</f>
        <v>57</v>
      </c>
      <c r="F56" s="10"/>
      <c r="G56" s="28">
        <f>'Kostnader 2012'!O58</f>
        <v>81.406133909287263</v>
      </c>
      <c r="H56" s="28">
        <f>'Kostnader 2012'!H58</f>
        <v>2695.9638242312349</v>
      </c>
    </row>
    <row r="57" spans="2:8" x14ac:dyDescent="0.3">
      <c r="B57" s="10" t="str">
        <f>'Kostnader 2012'!C59</f>
        <v>Brønnbåt</v>
      </c>
      <c r="C57" s="10">
        <f>'Kostnader 2012'!D59</f>
        <v>2200</v>
      </c>
      <c r="D57" s="10">
        <f>'Kostnader 2012'!E59</f>
        <v>2050</v>
      </c>
      <c r="E57" s="10">
        <f>'Kostnader 2012'!F59</f>
        <v>68</v>
      </c>
      <c r="F57" s="10"/>
      <c r="G57" s="28">
        <f>'Kostnader 2012'!O59</f>
        <v>85.908910691144712</v>
      </c>
      <c r="H57" s="28">
        <f>'Kostnader 2012'!H59</f>
        <v>4013.3984526452236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P59"/>
  <sheetViews>
    <sheetView topLeftCell="C37" workbookViewId="0">
      <selection activeCell="R55" sqref="R55"/>
    </sheetView>
  </sheetViews>
  <sheetFormatPr baseColWidth="10" defaultRowHeight="14.4" x14ac:dyDescent="0.3"/>
  <cols>
    <col min="3" max="3" width="33.77734375" bestFit="1" customWidth="1"/>
    <col min="15" max="15" width="9.44140625" bestFit="1" customWidth="1"/>
  </cols>
  <sheetData>
    <row r="2" spans="3:16" ht="23.4" x14ac:dyDescent="0.45">
      <c r="C2" s="78" t="s">
        <v>440</v>
      </c>
    </row>
    <row r="3" spans="3:16" ht="15" thickBot="1" x14ac:dyDescent="0.35"/>
    <row r="4" spans="3:16" ht="15" thickBot="1" x14ac:dyDescent="0.35">
      <c r="C4" s="10"/>
      <c r="D4" s="10"/>
      <c r="E4" s="10"/>
      <c r="F4" s="10"/>
      <c r="G4" s="39"/>
      <c r="H4" s="52" t="s">
        <v>93</v>
      </c>
      <c r="I4" s="53"/>
      <c r="J4" s="53"/>
      <c r="K4" s="53"/>
      <c r="L4" s="53"/>
      <c r="M4" s="53"/>
      <c r="N4" s="54"/>
    </row>
    <row r="5" spans="3:16" x14ac:dyDescent="0.3">
      <c r="C5" s="47" t="s">
        <v>235</v>
      </c>
      <c r="D5" s="47" t="s">
        <v>236</v>
      </c>
      <c r="E5" s="47" t="s">
        <v>237</v>
      </c>
      <c r="F5" s="47" t="s">
        <v>238</v>
      </c>
      <c r="G5" s="47" t="s">
        <v>239</v>
      </c>
      <c r="H5" s="49" t="s">
        <v>8</v>
      </c>
      <c r="I5" s="50" t="s">
        <v>96</v>
      </c>
      <c r="J5" s="51" t="s">
        <v>3</v>
      </c>
      <c r="K5" s="50" t="s">
        <v>4</v>
      </c>
      <c r="L5" s="50" t="s">
        <v>5</v>
      </c>
      <c r="M5" s="50" t="s">
        <v>6</v>
      </c>
      <c r="N5" s="50" t="s">
        <v>7</v>
      </c>
      <c r="O5" s="139" t="s">
        <v>258</v>
      </c>
      <c r="P5" s="138" t="s">
        <v>514</v>
      </c>
    </row>
    <row r="6" spans="3:16" x14ac:dyDescent="0.3">
      <c r="C6" s="55" t="s">
        <v>240</v>
      </c>
      <c r="D6" s="55"/>
      <c r="E6" s="55">
        <v>40000</v>
      </c>
      <c r="F6" s="55">
        <v>180</v>
      </c>
      <c r="G6" s="55"/>
      <c r="H6" s="136">
        <f t="shared" ref="H6:H9" si="0">SUM(I6:N6)</f>
        <v>43427.768721045148</v>
      </c>
      <c r="I6" s="136">
        <f>'Nye - cruise og ferge'!M4</f>
        <v>21512.855406392693</v>
      </c>
      <c r="J6" s="136">
        <f>'Nye - cruise og ferge'!N4</f>
        <v>9630.1369863013697</v>
      </c>
      <c r="K6" s="136">
        <f>'Nye - cruise og ferge'!O4</f>
        <v>3872.3139731506844</v>
      </c>
      <c r="L6" s="136">
        <f>'Nye - cruise og ferge'!P4</f>
        <v>4302.5710812785392</v>
      </c>
      <c r="M6" s="136">
        <f>'Nye - cruise og ferge'!Q4</f>
        <v>882.96296296296293</v>
      </c>
      <c r="N6" s="136">
        <f>'Nye - cruise og ferge'!R4</f>
        <v>3226.9283109589037</v>
      </c>
      <c r="O6" s="136">
        <f>'Nye - cruise og ferge'!S4</f>
        <v>529.73844492440605</v>
      </c>
      <c r="P6" s="137">
        <f>H6-M6</f>
        <v>42544.805758082184</v>
      </c>
    </row>
    <row r="7" spans="3:16" x14ac:dyDescent="0.3">
      <c r="C7" s="55" t="s">
        <v>240</v>
      </c>
      <c r="D7" s="55"/>
      <c r="E7" s="55">
        <v>75000</v>
      </c>
      <c r="F7" s="55">
        <v>220</v>
      </c>
      <c r="G7" s="55"/>
      <c r="H7" s="136">
        <f t="shared" si="0"/>
        <v>58426.488516536432</v>
      </c>
      <c r="I7" s="136">
        <f>'Nye - cruise og ferge'!M5</f>
        <v>29146.449260273967</v>
      </c>
      <c r="J7" s="136">
        <f>'Nye - cruise og ferge'!N5</f>
        <v>12671.232876712329</v>
      </c>
      <c r="K7" s="136">
        <f>'Nye - cruise og ferge'!O5</f>
        <v>5246.3608668493134</v>
      </c>
      <c r="L7" s="136">
        <f>'Nye - cruise og ferge'!P5</f>
        <v>5829.2898520547933</v>
      </c>
      <c r="M7" s="136">
        <f>'Nye - cruise og ferge'!Q5</f>
        <v>1161.1882716049381</v>
      </c>
      <c r="N7" s="136">
        <f>'Nye - cruise og ferge'!R5</f>
        <v>4371.967389041095</v>
      </c>
      <c r="O7" s="136">
        <f>'Nye - cruise og ferge'!S5</f>
        <v>704.98776097912162</v>
      </c>
      <c r="P7" s="137">
        <f t="shared" ref="P7:P59" si="1">H7-M7</f>
        <v>57265.300244931495</v>
      </c>
    </row>
    <row r="8" spans="3:16" x14ac:dyDescent="0.3">
      <c r="C8" s="55" t="s">
        <v>241</v>
      </c>
      <c r="D8" s="55"/>
      <c r="E8" s="55">
        <v>77000</v>
      </c>
      <c r="F8" s="55">
        <v>260</v>
      </c>
      <c r="G8" s="55"/>
      <c r="H8" s="136">
        <f t="shared" si="0"/>
        <v>63185.048483054285</v>
      </c>
      <c r="I8" s="136">
        <f>'Nye - cruise og ferge'!M6</f>
        <v>31228.338493150684</v>
      </c>
      <c r="J8" s="136">
        <f>'Nye - cruise og ferge'!N6</f>
        <v>14212.310958904109</v>
      </c>
      <c r="K8" s="136">
        <f>'Nye - cruise og ferge'!O6</f>
        <v>5621.1009287671232</v>
      </c>
      <c r="L8" s="136">
        <f>'Nye - cruise og ferge'!P6</f>
        <v>6245.6676986301372</v>
      </c>
      <c r="M8" s="136">
        <f>'Nye - cruise og ferge'!Q6</f>
        <v>1193.3796296296296</v>
      </c>
      <c r="N8" s="136">
        <f>'Nye - cruise og ferge'!R6</f>
        <v>4684.2507739726025</v>
      </c>
      <c r="O8" s="136">
        <f>'Nye - cruise og ferge'!S6</f>
        <v>813.44741651437107</v>
      </c>
      <c r="P8" s="137">
        <f t="shared" si="1"/>
        <v>61991.668853424657</v>
      </c>
    </row>
    <row r="9" spans="3:16" x14ac:dyDescent="0.3">
      <c r="C9" s="55" t="s">
        <v>241</v>
      </c>
      <c r="D9" s="55"/>
      <c r="E9" s="55">
        <v>128000</v>
      </c>
      <c r="F9" s="55">
        <v>305</v>
      </c>
      <c r="G9" s="55"/>
      <c r="H9" s="136">
        <f t="shared" si="0"/>
        <v>115703.69128404133</v>
      </c>
      <c r="I9" s="136">
        <f>'Nye - cruise og ferge'!M7</f>
        <v>58986.861598173513</v>
      </c>
      <c r="J9" s="136">
        <f>'Nye - cruise og ferge'!N7</f>
        <v>23456.465597758401</v>
      </c>
      <c r="K9" s="136">
        <f>'Nye - cruise og ferge'!O7</f>
        <v>10617.635087671231</v>
      </c>
      <c r="L9" s="136">
        <f>'Nye - cruise og ferge'!P7</f>
        <v>11797.372319634704</v>
      </c>
      <c r="M9" s="136">
        <f>'Nye - cruise og ferge'!Q7</f>
        <v>1997.3274410774413</v>
      </c>
      <c r="N9" s="136">
        <f>'Nye - cruise og ferge'!R7</f>
        <v>8848.0292397260273</v>
      </c>
      <c r="O9" s="136">
        <f>'Nye - cruise og ferge'!S7</f>
        <v>858.63893965405839</v>
      </c>
      <c r="P9" s="137">
        <f t="shared" si="1"/>
        <v>113706.36384296388</v>
      </c>
    </row>
    <row r="10" spans="3:16" x14ac:dyDescent="0.3">
      <c r="C10" s="10" t="s">
        <v>242</v>
      </c>
      <c r="D10" s="10">
        <v>1000</v>
      </c>
      <c r="E10" s="10"/>
      <c r="F10" s="10">
        <v>55</v>
      </c>
      <c r="G10" s="10"/>
      <c r="H10" s="136">
        <f>SUM(I10:N10)</f>
        <v>948.42789511932494</v>
      </c>
      <c r="I10" s="136">
        <f>'Korrigerte kost 2010 til 2012'!O6</f>
        <v>559.80865396003162</v>
      </c>
      <c r="J10" s="136">
        <f>'Korrigerte kost 2010 til 2012'!H6*'Korreksjonsfaktorer - MS'!P$30</f>
        <v>199.21032857142856</v>
      </c>
      <c r="K10" s="136">
        <f>'Korrigerte kost 2010 til 2012'!I6*'Korreksjonsfaktorer - MS'!Q$30</f>
        <v>30.405228571428577</v>
      </c>
      <c r="L10" s="136">
        <f>'Korrigerte kost 2010 til 2012'!J6*'Korreksjonsfaktorer - MS'!R$30</f>
        <v>53.103050000000003</v>
      </c>
      <c r="M10" s="136">
        <f>'Korrigerte kost 2010 til 2012'!K6*'Korreksjonsfaktorer - MS'!S$30</f>
        <v>36.415035714285722</v>
      </c>
      <c r="N10" s="136">
        <f>'Korrigerte kost 2010 til 2012'!L6*'Korreksjonsfaktorer - MS'!T$30</f>
        <v>69.485598302150407</v>
      </c>
      <c r="O10" s="136">
        <f>'Korrigerte kost 2010 til 2012'!N6</f>
        <v>49.307519551641597</v>
      </c>
      <c r="P10" s="137">
        <f t="shared" si="1"/>
        <v>912.01285940503919</v>
      </c>
    </row>
    <row r="11" spans="3:16" x14ac:dyDescent="0.3">
      <c r="C11" s="10" t="s">
        <v>242</v>
      </c>
      <c r="D11" s="10">
        <v>2500</v>
      </c>
      <c r="E11" s="10"/>
      <c r="F11" s="10">
        <v>80</v>
      </c>
      <c r="G11" s="10"/>
      <c r="H11" s="136">
        <f t="shared" ref="H11:H57" si="2">SUM(I11:N11)</f>
        <v>1385.4530156365195</v>
      </c>
      <c r="I11" s="136">
        <f>'Korrigerte kost 2010 til 2012'!O7</f>
        <v>685.93838154979176</v>
      </c>
      <c r="J11" s="136">
        <f>'Korrigerte kost 2010 til 2012'!H7*'Korreksjonsfaktorer - MS'!P$30</f>
        <v>358.57859142857131</v>
      </c>
      <c r="K11" s="136">
        <f>'Korrigerte kost 2010 til 2012'!I7*'Korreksjonsfaktorer - MS'!Q$30</f>
        <v>54.729411428571424</v>
      </c>
      <c r="L11" s="136">
        <f>'Korrigerte kost 2010 til 2012'!J7*'Korreksjonsfaktorer - MS'!R$30</f>
        <v>95.585490000000007</v>
      </c>
      <c r="M11" s="136">
        <f>'Korrigerte kost 2010 til 2012'!K7*'Korreksjonsfaktorer - MS'!S$30</f>
        <v>65.547064285714285</v>
      </c>
      <c r="N11" s="136">
        <f>'Korrigerte kost 2010 til 2012'!L7*'Korreksjonsfaktorer - MS'!T$30</f>
        <v>125.07407694387069</v>
      </c>
      <c r="O11" s="136">
        <f>'Korrigerte kost 2010 til 2012'!N7</f>
        <v>70.456185198665409</v>
      </c>
      <c r="P11" s="137">
        <f t="shared" si="1"/>
        <v>1319.9059513508053</v>
      </c>
    </row>
    <row r="12" spans="3:16" x14ac:dyDescent="0.3">
      <c r="C12" s="10" t="s">
        <v>242</v>
      </c>
      <c r="D12" s="10">
        <v>5000</v>
      </c>
      <c r="E12" s="10"/>
      <c r="F12" s="10">
        <v>97</v>
      </c>
      <c r="G12" s="10"/>
      <c r="H12" s="136">
        <f t="shared" si="2"/>
        <v>1902.2683018778132</v>
      </c>
      <c r="I12" s="136">
        <f>'Korrigerte kost 2010 til 2012'!O8</f>
        <v>943.38125019190488</v>
      </c>
      <c r="J12" s="136">
        <f>'Korrigerte kost 2010 til 2012'!H8*'Korreksjonsfaktorer - MS'!P$25</f>
        <v>496.57554395846063</v>
      </c>
      <c r="K12" s="136">
        <f>'Korrigerte kost 2010 til 2012'!I8*'Korreksjonsfaktorer - MS'!Q$25</f>
        <v>73.438009554062305</v>
      </c>
      <c r="L12" s="136">
        <f>'Korrigerte kost 2010 til 2012'!J8*'Korreksjonsfaktorer - MS'!R$25</f>
        <v>120.88059075137448</v>
      </c>
      <c r="M12" s="136">
        <f>'Korrigerte kost 2010 til 2012'!K8*'Korreksjonsfaktorer - MS'!S$25</f>
        <v>93.553959804520474</v>
      </c>
      <c r="N12" s="136">
        <f>'Korrigerte kost 2010 til 2012'!L8*'Korreksjonsfaktorer - MS'!T$25</f>
        <v>174.43894761749044</v>
      </c>
      <c r="O12" s="136">
        <f>'Korrigerte kost 2010 til 2012'!N8</f>
        <v>96.795837559329087</v>
      </c>
      <c r="P12" s="137">
        <f t="shared" si="1"/>
        <v>1808.7143420732928</v>
      </c>
    </row>
    <row r="13" spans="3:16" x14ac:dyDescent="0.3">
      <c r="C13" s="10" t="s">
        <v>242</v>
      </c>
      <c r="D13" s="10">
        <v>9000</v>
      </c>
      <c r="E13" s="10"/>
      <c r="F13" s="10">
        <v>123</v>
      </c>
      <c r="G13" s="10"/>
      <c r="H13" s="136">
        <f t="shared" si="2"/>
        <v>2571.5641099377203</v>
      </c>
      <c r="I13" s="136">
        <f>'Korrigerte kost 2010 til 2012'!O9</f>
        <v>1416.7996797753888</v>
      </c>
      <c r="J13" s="136">
        <f>'Korrigerte kost 2010 til 2012'!H9*'Korreksjonsfaktorer - MS'!P$25</f>
        <v>487.80030045815511</v>
      </c>
      <c r="K13" s="136">
        <f>'Korrigerte kost 2010 til 2012'!I9*'Korreksjonsfaktorer - MS'!Q$25</f>
        <v>145.13930942272452</v>
      </c>
      <c r="L13" s="136">
        <f>'Korrigerte kost 2010 til 2012'!J9*'Korreksjonsfaktorer - MS'!R$25</f>
        <v>220.52540204642639</v>
      </c>
      <c r="M13" s="136">
        <f>'Korrigerte kost 2010 til 2012'!K9*'Korreksjonsfaktorer - MS'!S$25</f>
        <v>102.40365870494809</v>
      </c>
      <c r="N13" s="136">
        <f>'Korrigerte kost 2010 til 2012'!L9*'Korreksjonsfaktorer - MS'!T$25</f>
        <v>198.89575953007781</v>
      </c>
      <c r="O13" s="136">
        <f>'Korrigerte kost 2010 til 2012'!N9</f>
        <v>125.95264757103537</v>
      </c>
      <c r="P13" s="137">
        <f t="shared" si="1"/>
        <v>2469.1604512327722</v>
      </c>
    </row>
    <row r="14" spans="3:16" x14ac:dyDescent="0.3">
      <c r="C14" s="10" t="s">
        <v>242</v>
      </c>
      <c r="D14" s="10">
        <v>17000</v>
      </c>
      <c r="E14" s="10"/>
      <c r="F14" s="10">
        <v>150</v>
      </c>
      <c r="G14" s="10"/>
      <c r="H14" s="136">
        <f t="shared" si="2"/>
        <v>3136.6032284882131</v>
      </c>
      <c r="I14" s="136">
        <f>'Korrigerte kost 2010 til 2012'!O10</f>
        <v>1879.1930712003409</v>
      </c>
      <c r="J14" s="136">
        <f>'Korrigerte kost 2010 til 2012'!H10*'Korreksjonsfaktorer - MS'!P$25</f>
        <v>531.16032716554673</v>
      </c>
      <c r="K14" s="136">
        <f>'Korrigerte kost 2010 til 2012'!I10*'Korreksjonsfaktorer - MS'!Q$25</f>
        <v>158.04058137141112</v>
      </c>
      <c r="L14" s="136">
        <f>'Korrigerte kost 2010 til 2012'!J10*'Korreksjonsfaktorer - MS'!R$25</f>
        <v>240.12766000610873</v>
      </c>
      <c r="M14" s="136">
        <f>'Korrigerte kost 2010 til 2012'!K10*'Korreksjonsfaktorer - MS'!S$25</f>
        <v>111.50620614538789</v>
      </c>
      <c r="N14" s="136">
        <f>'Korrigerte kost 2010 til 2012'!L10*'Korreksjonsfaktorer - MS'!T$25</f>
        <v>216.57538259941802</v>
      </c>
      <c r="O14" s="136">
        <f>'Korrigerte kost 2010 til 2012'!N10</f>
        <v>179.58192410310357</v>
      </c>
      <c r="P14" s="137">
        <f t="shared" si="1"/>
        <v>3025.0970223428253</v>
      </c>
    </row>
    <row r="15" spans="3:16" x14ac:dyDescent="0.3">
      <c r="C15" s="10" t="s">
        <v>242</v>
      </c>
      <c r="D15" s="10">
        <v>40000</v>
      </c>
      <c r="E15" s="10"/>
      <c r="F15" s="10">
        <v>185</v>
      </c>
      <c r="G15" s="10"/>
      <c r="H15" s="136">
        <f t="shared" si="2"/>
        <v>4447.3508458477263</v>
      </c>
      <c r="I15" s="136">
        <f>'Korrigerte kost 2010 til 2012'!O11</f>
        <v>3055.7456508047576</v>
      </c>
      <c r="J15" s="136">
        <f>'Korrigerte kost 2010 til 2012'!H11*'Korreksjonsfaktorer - MS'!P26</f>
        <v>600.90400545749856</v>
      </c>
      <c r="K15" s="136">
        <f>'Korrigerte kost 2010 til 2012'!I11*'Korreksjonsfaktorer - MS'!Q26</f>
        <v>203.65683021115319</v>
      </c>
      <c r="L15" s="136">
        <f>'Korrigerte kost 2010 til 2012'!J11*'Korreksjonsfaktorer - MS'!R26</f>
        <v>263.77648606388738</v>
      </c>
      <c r="M15" s="136">
        <f>'Korrigerte kost 2010 til 2012'!K11*'Korreksjonsfaktorer - MS'!S26</f>
        <v>145.25259917704383</v>
      </c>
      <c r="N15" s="136">
        <f>'Korrigerte kost 2010 til 2012'!L11*'Korreksjonsfaktorer - MS'!T26</f>
        <v>178.0152741333859</v>
      </c>
      <c r="O15" s="136">
        <f>'Korrigerte kost 2010 til 2012'!N11</f>
        <v>289.42117347018313</v>
      </c>
      <c r="P15" s="137">
        <f t="shared" si="1"/>
        <v>4302.0982466706828</v>
      </c>
    </row>
    <row r="16" spans="3:16" x14ac:dyDescent="0.3">
      <c r="C16" s="10" t="s">
        <v>243</v>
      </c>
      <c r="D16" s="10">
        <v>1000</v>
      </c>
      <c r="E16" s="10"/>
      <c r="F16" s="10">
        <v>55</v>
      </c>
      <c r="G16" s="10"/>
      <c r="H16" s="136">
        <f t="shared" si="2"/>
        <v>921.77034016884716</v>
      </c>
      <c r="I16" s="136">
        <f>'Korrigerte kost 2010 til 2012'!O12</f>
        <v>533.15109900955383</v>
      </c>
      <c r="J16" s="136">
        <f>'Korrigerte kost 2010 til 2012'!H12*'Korreksjonsfaktorer - MS'!P$30</f>
        <v>199.21032857142856</v>
      </c>
      <c r="K16" s="136">
        <f>'Korrigerte kost 2010 til 2012'!I12*'Korreksjonsfaktorer - MS'!Q$30</f>
        <v>30.405228571428577</v>
      </c>
      <c r="L16" s="136">
        <f>'Korrigerte kost 2010 til 2012'!J12*'Korreksjonsfaktorer - MS'!R$30</f>
        <v>53.103050000000003</v>
      </c>
      <c r="M16" s="136">
        <f>'Korrigerte kost 2010 til 2012'!K12*'Korreksjonsfaktorer - MS'!S$30</f>
        <v>36.415035714285722</v>
      </c>
      <c r="N16" s="136">
        <f>'Korrigerte kost 2010 til 2012'!L12*'Korreksjonsfaktorer - MS'!T$30</f>
        <v>69.485598302150407</v>
      </c>
      <c r="O16" s="136">
        <f>'Korrigerte kost 2010 til 2012'!N12</f>
        <v>49.307519551641597</v>
      </c>
      <c r="P16" s="137">
        <f>H16-M16</f>
        <v>885.35530445456141</v>
      </c>
    </row>
    <row r="17" spans="3:16" x14ac:dyDescent="0.3">
      <c r="C17" s="10" t="s">
        <v>243</v>
      </c>
      <c r="D17" s="10">
        <v>2500</v>
      </c>
      <c r="E17" s="10"/>
      <c r="F17" s="10">
        <v>80</v>
      </c>
      <c r="G17" s="10"/>
      <c r="H17" s="136">
        <f t="shared" si="2"/>
        <v>1145.5256878968112</v>
      </c>
      <c r="I17" s="136">
        <f>'Korrigerte kost 2010 til 2012'!O13</f>
        <v>653.27464909503988</v>
      </c>
      <c r="J17" s="136">
        <f>'Korrigerte kost 2010 til 2012'!H13*'Korreksjonsfaktorer - MS'!P$30</f>
        <v>252.33308285714284</v>
      </c>
      <c r="K17" s="136">
        <f>'Korrigerte kost 2010 til 2012'!I13*'Korreksjonsfaktorer - MS'!Q$30</f>
        <v>38.513289523809519</v>
      </c>
      <c r="L17" s="136">
        <f>'Korrigerte kost 2010 til 2012'!J13*'Korreksjonsfaktorer - MS'!R$30</f>
        <v>67.263863333333333</v>
      </c>
      <c r="M17" s="136">
        <f>'Korrigerte kost 2010 til 2012'!K13*'Korreksjonsfaktorer - MS'!S$30</f>
        <v>46.1257119047619</v>
      </c>
      <c r="N17" s="136">
        <f>'Korrigerte kost 2010 til 2012'!L13*'Korreksjonsfaktorer - MS'!T$30</f>
        <v>88.015091182723822</v>
      </c>
      <c r="O17" s="136">
        <f>'Korrigerte kost 2010 til 2012'!N13</f>
        <v>70.456185198665409</v>
      </c>
      <c r="P17" s="137">
        <f t="shared" si="1"/>
        <v>1099.3999759920493</v>
      </c>
    </row>
    <row r="18" spans="3:16" x14ac:dyDescent="0.3">
      <c r="C18" s="10" t="s">
        <v>243</v>
      </c>
      <c r="D18" s="10">
        <v>5000</v>
      </c>
      <c r="E18" s="10"/>
      <c r="F18" s="10">
        <v>97</v>
      </c>
      <c r="G18" s="10"/>
      <c r="H18" s="136">
        <f t="shared" si="2"/>
        <v>1546.1570687815886</v>
      </c>
      <c r="I18" s="136">
        <f>'Korrigerte kost 2010 til 2012'!O14</f>
        <v>898.45833351609997</v>
      </c>
      <c r="J18" s="136">
        <f>'Korrigerte kost 2010 til 2012'!H14*'Korreksjonsfaktorer - MS'!P$30</f>
        <v>332.0172142857142</v>
      </c>
      <c r="K18" s="136">
        <f>'Korrigerte kost 2010 til 2012'!I14*'Korreksjonsfaktorer - MS'!Q$30</f>
        <v>50.675380952380948</v>
      </c>
      <c r="L18" s="136">
        <f>'Korrigerte kost 2010 til 2012'!J14*'Korreksjonsfaktorer - MS'!R$30</f>
        <v>88.505083333333332</v>
      </c>
      <c r="M18" s="136">
        <f>'Korrigerte kost 2010 til 2012'!K14*'Korreksjonsfaktorer - MS'!S$30</f>
        <v>60.691726190476189</v>
      </c>
      <c r="N18" s="136">
        <f>'Korrigerte kost 2010 til 2012'!L14*'Korreksjonsfaktorer - MS'!T$30</f>
        <v>115.80933050358399</v>
      </c>
      <c r="O18" s="136">
        <f>'Korrigerte kost 2010 til 2012'!N14</f>
        <v>96.795837559329087</v>
      </c>
      <c r="P18" s="137">
        <f t="shared" si="1"/>
        <v>1485.4653425911124</v>
      </c>
    </row>
    <row r="19" spans="3:16" x14ac:dyDescent="0.3">
      <c r="C19" s="10" t="s">
        <v>243</v>
      </c>
      <c r="D19" s="10">
        <v>9000</v>
      </c>
      <c r="E19" s="10"/>
      <c r="F19" s="10">
        <v>123</v>
      </c>
      <c r="G19" s="10"/>
      <c r="H19" s="136">
        <f t="shared" si="2"/>
        <v>2179.8766243054215</v>
      </c>
      <c r="I19" s="136">
        <f>'Korrigerte kost 2010 til 2012'!O15</f>
        <v>1072.8843103525592</v>
      </c>
      <c r="J19" s="136">
        <f>'Korrigerte kost 2010 til 2012'!H15*'Korreksjonsfaktorer - MS'!P$5</f>
        <v>455.59287990430613</v>
      </c>
      <c r="K19" s="136">
        <f>'Korrigerte kost 2010 til 2012'!I15*'Korreksjonsfaktorer - MS'!Q$5</f>
        <v>139.90098349282292</v>
      </c>
      <c r="L19" s="136">
        <f>'Korrigerte kost 2010 til 2012'!J15*'Korreksjonsfaktorer - MS'!R$5</f>
        <v>225.54326052631575</v>
      </c>
      <c r="M19" s="136">
        <f>'Korrigerte kost 2010 til 2012'!K15*'Korreksjonsfaktorer - MS'!S$5</f>
        <v>92.798804066985625</v>
      </c>
      <c r="N19" s="136">
        <f>'Korrigerte kost 2010 til 2012'!L15*'Korreksjonsfaktorer - MS'!T$5</f>
        <v>193.15638596243207</v>
      </c>
      <c r="O19" s="136">
        <f>'Korrigerte kost 2010 til 2012'!N15</f>
        <v>125.95264757103537</v>
      </c>
      <c r="P19" s="137">
        <f t="shared" si="1"/>
        <v>2087.0778202384358</v>
      </c>
    </row>
    <row r="20" spans="3:16" x14ac:dyDescent="0.3">
      <c r="C20" s="10" t="s">
        <v>243</v>
      </c>
      <c r="D20" s="10">
        <v>17000</v>
      </c>
      <c r="E20" s="10"/>
      <c r="F20" s="10">
        <v>150</v>
      </c>
      <c r="G20" s="10"/>
      <c r="H20" s="136">
        <f t="shared" si="2"/>
        <v>2837.3433606346084</v>
      </c>
      <c r="I20" s="136">
        <f>'Korrigerte kost 2010 til 2012'!O16</f>
        <v>1550.087454527777</v>
      </c>
      <c r="J20" s="136">
        <f>'Korrigerte kost 2010 til 2012'!H16*'Korreksjonsfaktorer - MS'!P$5</f>
        <v>607.45717320574147</v>
      </c>
      <c r="K20" s="136">
        <f>'Korrigerte kost 2010 til 2012'!I16*'Korreksjonsfaktorer - MS'!Q$5</f>
        <v>163.2178140749601</v>
      </c>
      <c r="L20" s="136">
        <f>'Korrigerte kost 2010 til 2012'!J16*'Korreksjonsfaktorer - MS'!R$5</f>
        <v>213.01307938596489</v>
      </c>
      <c r="M20" s="136">
        <f>'Korrigerte kost 2010 til 2012'!K16*'Korreksjonsfaktorer - MS'!S$5</f>
        <v>108.26527141148323</v>
      </c>
      <c r="N20" s="136">
        <f>'Korrigerte kost 2010 til 2012'!L16*'Korreksjonsfaktorer - MS'!T$5</f>
        <v>195.30256802868138</v>
      </c>
      <c r="O20" s="136">
        <f>'Korrigerte kost 2010 til 2012'!N16</f>
        <v>179.58192410310357</v>
      </c>
      <c r="P20" s="137">
        <f t="shared" si="1"/>
        <v>2729.0780892231251</v>
      </c>
    </row>
    <row r="21" spans="3:16" x14ac:dyDescent="0.3">
      <c r="C21" s="10" t="s">
        <v>243</v>
      </c>
      <c r="D21" s="10">
        <v>45000</v>
      </c>
      <c r="E21" s="10"/>
      <c r="F21" s="10">
        <v>187</v>
      </c>
      <c r="G21" s="10"/>
      <c r="H21" s="136">
        <f t="shared" si="2"/>
        <v>3807.7466338383356</v>
      </c>
      <c r="I21" s="136">
        <f>'Korrigerte kost 2010 til 2012'!O17</f>
        <v>2254.3734742070642</v>
      </c>
      <c r="J21" s="136">
        <f>'Korrigerte kost 2010 til 2012'!H17*'Korreksjonsfaktorer - MS'!P$7</f>
        <v>686.78788690199724</v>
      </c>
      <c r="K21" s="136">
        <f>'Korrigerte kost 2010 til 2012'!I17*'Korreksjonsfaktorer - MS'!Q$7</f>
        <v>195.66336047375759</v>
      </c>
      <c r="L21" s="136">
        <f>'Korrigerte kost 2010 til 2012'!J17*'Korreksjonsfaktorer - MS'!R$7</f>
        <v>208.60513506734793</v>
      </c>
      <c r="M21" s="136">
        <f>'Korrigerte kost 2010 til 2012'!K17*'Korreksjonsfaktorer - MS'!S$7</f>
        <v>160.25803999071064</v>
      </c>
      <c r="N21" s="136">
        <f>'Korrigerte kost 2010 til 2012'!L17*'Korreksjonsfaktorer - MS'!T$7</f>
        <v>302.05873719745773</v>
      </c>
      <c r="O21" s="136">
        <f>'Korrigerte kost 2010 til 2012'!N17</f>
        <v>309.07283831436092</v>
      </c>
      <c r="P21" s="137">
        <f t="shared" si="1"/>
        <v>3647.488593847625</v>
      </c>
    </row>
    <row r="22" spans="3:16" x14ac:dyDescent="0.3">
      <c r="C22" s="10" t="s">
        <v>243</v>
      </c>
      <c r="D22" s="10">
        <v>56000</v>
      </c>
      <c r="E22" s="10"/>
      <c r="F22" s="10">
        <v>190</v>
      </c>
      <c r="G22" s="10"/>
      <c r="H22" s="136">
        <f t="shared" si="2"/>
        <v>3979.30827346243</v>
      </c>
      <c r="I22" s="136">
        <f>'Korrigerte kost 2010 til 2012'!O18</f>
        <v>2402.4710017097182</v>
      </c>
      <c r="J22" s="136">
        <f>'Korrigerte kost 2010 til 2012'!H18*'Korreksjonsfaktorer - MS'!P$7</f>
        <v>698.23435168369724</v>
      </c>
      <c r="K22" s="136">
        <f>'Korrigerte kost 2010 til 2012'!I18*'Korreksjonsfaktorer - MS'!Q$7</f>
        <v>214.22629467255001</v>
      </c>
      <c r="L22" s="136">
        <f>'Korrigerte kost 2010 til 2012'!J18*'Korreksjonsfaktorer - MS'!R$7</f>
        <v>227.23059355550396</v>
      </c>
      <c r="M22" s="136">
        <f>'Korrigerte kost 2010 til 2012'!K18*'Korreksjonsfaktorer - MS'!S$7</f>
        <v>148.11727938535381</v>
      </c>
      <c r="N22" s="136">
        <f>'Korrigerte kost 2010 til 2012'!L18*'Korreksjonsfaktorer - MS'!T$7</f>
        <v>289.02875245560659</v>
      </c>
      <c r="O22" s="136">
        <f>'Korrigerte kost 2010 til 2012'!N18</f>
        <v>349.1675239651172</v>
      </c>
      <c r="P22" s="137">
        <f t="shared" si="1"/>
        <v>3831.1909940770761</v>
      </c>
    </row>
    <row r="23" spans="3:16" x14ac:dyDescent="0.3">
      <c r="C23" s="10" t="s">
        <v>243</v>
      </c>
      <c r="D23" s="10">
        <v>76000</v>
      </c>
      <c r="E23" s="10"/>
      <c r="F23" s="10">
        <v>225</v>
      </c>
      <c r="G23" s="10"/>
      <c r="H23" s="136">
        <f t="shared" si="2"/>
        <v>4542.2195809359964</v>
      </c>
      <c r="I23" s="136">
        <f>'Korrigerte kost 2010 til 2012'!O19</f>
        <v>2780.9424608831664</v>
      </c>
      <c r="J23" s="136">
        <f>'Korrigerte kost 2010 til 2012'!H19*'Korreksjonsfaktorer - MS'!P$8</f>
        <v>809.86676414695819</v>
      </c>
      <c r="K23" s="136">
        <f>'Korrigerte kost 2010 til 2012'!I19*'Korreksjonsfaktorer - MS'!Q$8</f>
        <v>234.28611598393579</v>
      </c>
      <c r="L23" s="136">
        <f>'Korrigerte kost 2010 til 2012'!J19*'Korreksjonsfaktorer - MS'!R$8</f>
        <v>210.58278021121524</v>
      </c>
      <c r="M23" s="136">
        <f>'Korrigerte kost 2010 til 2012'!K19*'Korreksjonsfaktorer - MS'!S$8</f>
        <v>159.97657712330806</v>
      </c>
      <c r="N23" s="136">
        <f>'Korrigerte kost 2010 til 2012'!L19*'Korreksjonsfaktorer - MS'!T$8</f>
        <v>346.5648825874124</v>
      </c>
      <c r="O23" s="136">
        <f>'Korrigerte kost 2010 til 2012'!N19</f>
        <v>414.00570448559233</v>
      </c>
      <c r="P23" s="137">
        <f t="shared" si="1"/>
        <v>4382.2430038126886</v>
      </c>
    </row>
    <row r="24" spans="3:16" x14ac:dyDescent="0.3">
      <c r="C24" s="10" t="s">
        <v>244</v>
      </c>
      <c r="D24" s="10">
        <v>8500</v>
      </c>
      <c r="E24" s="10">
        <v>6500</v>
      </c>
      <c r="F24" s="10">
        <v>134</v>
      </c>
      <c r="G24" s="10"/>
      <c r="H24" s="136">
        <f t="shared" si="2"/>
        <v>2575.5277855885874</v>
      </c>
      <c r="I24" s="136">
        <f>'Korrigerte kost 2010 til 2012'!O20</f>
        <v>1378.9525338580438</v>
      </c>
      <c r="J24" s="136">
        <f>'Korrigerte kost 2010 til 2012'!H20*'Korreksjonsfaktorer - MS'!P$22</f>
        <v>639.19708158567778</v>
      </c>
      <c r="K24" s="136">
        <f>'Korrigerte kost 2010 til 2012'!I20*'Korreksjonsfaktorer - MS'!Q$22</f>
        <v>141.35957723785162</v>
      </c>
      <c r="L24" s="136">
        <f>'Korrigerte kost 2010 til 2012'!J20*'Korreksjonsfaktorer - MS'!R$22</f>
        <v>152.99129462915602</v>
      </c>
      <c r="M24" s="136">
        <f>'Korrigerte kost 2010 til 2012'!K20*'Korreksjonsfaktorer - MS'!S$22</f>
        <v>118.02772058823527</v>
      </c>
      <c r="N24" s="136">
        <f>'Korrigerte kost 2010 til 2012'!L20*'Korreksjonsfaktorer - MS'!T$22</f>
        <v>144.99957768962292</v>
      </c>
      <c r="O24" s="136">
        <f>'Korrigerte kost 2010 til 2012'!N20</f>
        <v>93.241154402972143</v>
      </c>
      <c r="P24" s="137">
        <f>H24-M24</f>
        <v>2457.5000650003522</v>
      </c>
    </row>
    <row r="25" spans="3:16" x14ac:dyDescent="0.3">
      <c r="C25" s="10" t="s">
        <v>244</v>
      </c>
      <c r="D25" s="10">
        <v>14200</v>
      </c>
      <c r="E25" s="10">
        <v>12500</v>
      </c>
      <c r="F25" s="10">
        <v>158</v>
      </c>
      <c r="G25" s="10"/>
      <c r="H25" s="136">
        <f t="shared" si="2"/>
        <v>2788.03231187244</v>
      </c>
      <c r="I25" s="136">
        <f>'Korrigerte kost 2010 til 2012'!O21</f>
        <v>1454.6468256927335</v>
      </c>
      <c r="J25" s="136">
        <f>'Korrigerte kost 2010 til 2012'!H21*'Korreksjonsfaktorer - MS'!P$23</f>
        <v>634.3229935064935</v>
      </c>
      <c r="K25" s="136">
        <f>'Korrigerte kost 2010 til 2012'!I21*'Korreksjonsfaktorer - MS'!Q$23</f>
        <v>183.76440909090911</v>
      </c>
      <c r="L25" s="136">
        <f>'Korrigerte kost 2010 til 2012'!J21*'Korreksjonsfaktorer - MS'!R$23</f>
        <v>180.73728219696969</v>
      </c>
      <c r="M25" s="136">
        <f>'Korrigerte kost 2010 til 2012'!K21*'Korreksjonsfaktorer - MS'!S$23</f>
        <v>143.26704761904762</v>
      </c>
      <c r="N25" s="136">
        <f>'Korrigerte kost 2010 til 2012'!L21*'Korreksjonsfaktorer - MS'!T$23</f>
        <v>191.29375376628644</v>
      </c>
      <c r="O25" s="136">
        <f>'Korrigerte kost 2010 til 2012'!N21</f>
        <v>125.7040052910539</v>
      </c>
      <c r="P25" s="137">
        <f t="shared" si="1"/>
        <v>2644.7652642533922</v>
      </c>
    </row>
    <row r="26" spans="3:16" x14ac:dyDescent="0.3">
      <c r="C26" s="10" t="s">
        <v>244</v>
      </c>
      <c r="D26" s="10">
        <v>23000</v>
      </c>
      <c r="E26" s="10">
        <v>16800</v>
      </c>
      <c r="F26" s="10">
        <v>184</v>
      </c>
      <c r="G26" s="10"/>
      <c r="H26" s="136">
        <f t="shared" si="2"/>
        <v>3244.0903824236043</v>
      </c>
      <c r="I26" s="136">
        <f>'Korrigerte kost 2010 til 2012'!O22</f>
        <v>1783.7524423652974</v>
      </c>
      <c r="J26" s="136">
        <f>'Korrigerte kost 2010 til 2012'!H22*'Korreksjonsfaktorer - MS'!P$24</f>
        <v>692.32810674486791</v>
      </c>
      <c r="K26" s="136">
        <f>'Korrigerte kost 2010 til 2012'!I22*'Korreksjonsfaktorer - MS'!Q$24</f>
        <v>200.74930943304003</v>
      </c>
      <c r="L26" s="136">
        <f>'Korrigerte kost 2010 til 2012'!J22*'Korreksjonsfaktorer - MS'!R$24</f>
        <v>205.27157595307915</v>
      </c>
      <c r="M26" s="136">
        <f>'Korrigerte kost 2010 til 2012'!K22*'Korreksjonsfaktorer - MS'!S$24</f>
        <v>153.40595403225808</v>
      </c>
      <c r="N26" s="136">
        <f>'Korrigerte kost 2010 til 2012'!L22*'Korreksjonsfaktorer - MS'!T$24</f>
        <v>208.58299389506098</v>
      </c>
      <c r="O26" s="136">
        <f>'Korrigerte kost 2010 til 2012'!N22</f>
        <v>144.76817298132417</v>
      </c>
      <c r="P26" s="137">
        <f t="shared" si="1"/>
        <v>3090.684428391346</v>
      </c>
    </row>
    <row r="27" spans="3:16" x14ac:dyDescent="0.3">
      <c r="C27" s="10" t="s">
        <v>244</v>
      </c>
      <c r="D27" s="10">
        <v>34200</v>
      </c>
      <c r="E27" s="10">
        <v>26400</v>
      </c>
      <c r="F27" s="10">
        <v>209</v>
      </c>
      <c r="G27" s="10"/>
      <c r="H27" s="136">
        <f t="shared" si="2"/>
        <v>3732.9466666666658</v>
      </c>
      <c r="I27" s="136">
        <f>'Nye båter delleveranse 2'!N8</f>
        <v>2069.1133333333332</v>
      </c>
      <c r="J27" s="136">
        <f>'Nye båter delleveranse 2'!O8</f>
        <v>725.15582147477357</v>
      </c>
      <c r="K27" s="136">
        <f>'Nye båter delleveranse 2'!P8</f>
        <v>242.579581716257</v>
      </c>
      <c r="L27" s="136">
        <f>'Nye båter delleveranse 2'!Q8</f>
        <v>307.58316084519191</v>
      </c>
      <c r="M27" s="136">
        <f>'Nye båter delleveranse 2'!R8</f>
        <v>160.35651142733934</v>
      </c>
      <c r="N27" s="136">
        <f>'Nye båter delleveranse 2'!S8</f>
        <v>228.15825786977143</v>
      </c>
      <c r="O27" s="136">
        <f>'Nye båter delleveranse 2'!T8</f>
        <v>446.75686289416848</v>
      </c>
      <c r="P27" s="137">
        <f t="shared" si="1"/>
        <v>3572.5901552393266</v>
      </c>
    </row>
    <row r="28" spans="3:16" x14ac:dyDescent="0.3">
      <c r="C28" s="10" t="s">
        <v>244</v>
      </c>
      <c r="D28" s="10">
        <v>50300</v>
      </c>
      <c r="E28" s="10">
        <v>40500</v>
      </c>
      <c r="F28" s="10">
        <v>261</v>
      </c>
      <c r="G28" s="10"/>
      <c r="H28" s="136">
        <f t="shared" si="2"/>
        <v>5019.0649999999996</v>
      </c>
      <c r="I28" s="136">
        <f>'Nye båter delleveranse 2'!N9</f>
        <v>3032.3983333333331</v>
      </c>
      <c r="J28" s="136">
        <f>'Nye båter delleveranse 2'!O9</f>
        <v>865.85769728331184</v>
      </c>
      <c r="K28" s="136">
        <f>'Nye båter delleveranse 2'!P9</f>
        <v>289.64726175075464</v>
      </c>
      <c r="L28" s="136">
        <f>'Nye båter delleveranse 2'!Q9</f>
        <v>367.26347563605003</v>
      </c>
      <c r="M28" s="136">
        <f>'Nye båter delleveranse 2'!R9</f>
        <v>191.47046140577834</v>
      </c>
      <c r="N28" s="136">
        <f>'Nye båter delleveranse 2'!S9</f>
        <v>272.4277705907719</v>
      </c>
      <c r="O28" s="136">
        <f>'Nye båter delleveranse 2'!T9</f>
        <v>617.28763822414214</v>
      </c>
      <c r="P28" s="137">
        <f t="shared" si="1"/>
        <v>4827.5945385942214</v>
      </c>
    </row>
    <row r="29" spans="3:16" x14ac:dyDescent="0.3">
      <c r="C29" s="10" t="s">
        <v>245</v>
      </c>
      <c r="D29" s="10">
        <v>3500</v>
      </c>
      <c r="E29" s="10">
        <v>5000</v>
      </c>
      <c r="F29" s="10">
        <v>107</v>
      </c>
      <c r="G29" s="10"/>
      <c r="H29" s="136">
        <f t="shared" si="2"/>
        <v>1815.2071188636246</v>
      </c>
      <c r="I29" s="136">
        <f>'Nye båter delleveranse 2'!N10</f>
        <v>926.00711886362478</v>
      </c>
      <c r="J29" s="136">
        <f>'Nye båter delleveranse 2'!O10</f>
        <v>461.31220876048462</v>
      </c>
      <c r="K29" s="136">
        <f>'Nye båter delleveranse 2'!P10</f>
        <v>105.24547996272133</v>
      </c>
      <c r="L29" s="136">
        <f>'Nye båter delleveranse 2'!Q10</f>
        <v>149.30493942218078</v>
      </c>
      <c r="M29" s="136">
        <f>'Nye båter delleveranse 2'!R10</f>
        <v>69.749301025163092</v>
      </c>
      <c r="N29" s="136">
        <f>'Nye båter delleveranse 2'!S10</f>
        <v>103.58807082945013</v>
      </c>
      <c r="O29" s="136">
        <f>'Nye båter delleveranse 2'!T10</f>
        <v>193.1134398848092</v>
      </c>
      <c r="P29" s="137">
        <f>H29-M29</f>
        <v>1745.4578178384616</v>
      </c>
    </row>
    <row r="30" spans="3:16" x14ac:dyDescent="0.3">
      <c r="C30" s="10" t="s">
        <v>245</v>
      </c>
      <c r="D30" s="10">
        <v>8000</v>
      </c>
      <c r="E30" s="10">
        <v>10000</v>
      </c>
      <c r="F30" s="10">
        <v>140</v>
      </c>
      <c r="G30" s="10"/>
      <c r="H30" s="136">
        <f t="shared" si="2"/>
        <v>4567.9589239171992</v>
      </c>
      <c r="I30" s="136">
        <f>'Korrigerte kost 2010 til 2012'!O23</f>
        <v>2961.9505500530772</v>
      </c>
      <c r="J30" s="136">
        <f>'Korrigerte kost 2010 til 2012'!H23*'Korreksjonsfaktorer - MS'!P$27</f>
        <v>781.78186619090104</v>
      </c>
      <c r="K30" s="136">
        <f>'Korrigerte kost 2010 til 2012'!I23*'Korreksjonsfaktorer - MS'!Q$27</f>
        <v>220.27564531668153</v>
      </c>
      <c r="L30" s="136">
        <f>'Korrigerte kost 2010 til 2012'!J23*'Korreksjonsfaktorer - MS'!R$27</f>
        <v>200.48525530776092</v>
      </c>
      <c r="M30" s="136">
        <f>'Korrigerte kost 2010 til 2012'!K23*'Korreksjonsfaktorer - MS'!S$27</f>
        <v>169.52435789473682</v>
      </c>
      <c r="N30" s="136">
        <f>'Korrigerte kost 2010 til 2012'!L23*'Korreksjonsfaktorer - MS'!T$27</f>
        <v>233.94124915404134</v>
      </c>
      <c r="O30" s="136">
        <f>'Nye båter delleveranse 2'!T11</f>
        <v>264.47542343980899</v>
      </c>
      <c r="P30" s="137">
        <f t="shared" si="1"/>
        <v>4398.4345660224626</v>
      </c>
    </row>
    <row r="31" spans="3:16" x14ac:dyDescent="0.3">
      <c r="C31" s="10" t="s">
        <v>245</v>
      </c>
      <c r="D31" s="10">
        <v>15000</v>
      </c>
      <c r="E31" s="10">
        <v>24000</v>
      </c>
      <c r="F31" s="10">
        <v>190</v>
      </c>
      <c r="G31" s="10"/>
      <c r="H31" s="136">
        <f t="shared" si="2"/>
        <v>5266.35829181397</v>
      </c>
      <c r="I31" s="136">
        <f>'Korrigerte kost 2010 til 2012'!O24</f>
        <v>3504.9748175628079</v>
      </c>
      <c r="J31" s="136">
        <f>'Korrigerte kost 2010 til 2012'!H24*'Korreksjonsfaktorer - MS'!P$27</f>
        <v>895.79172167707407</v>
      </c>
      <c r="K31" s="136">
        <f>'Korrigerte kost 2010 til 2012'!I24*'Korreksjonsfaktorer - MS'!Q$27</f>
        <v>207.68846558429968</v>
      </c>
      <c r="L31" s="136">
        <f>'Korrigerte kost 2010 til 2012'!J24*'Korreksjonsfaktorer - MS'!R$27</f>
        <v>267.79101958965208</v>
      </c>
      <c r="M31" s="136">
        <f>'Korrigerte kost 2010 til 2012'!K24*'Korreksjonsfaktorer - MS'!S$27</f>
        <v>152.57192210526313</v>
      </c>
      <c r="N31" s="136">
        <f>'Korrigerte kost 2010 til 2012'!L24*'Korreksjonsfaktorer - MS'!T$27</f>
        <v>237.54034529487271</v>
      </c>
      <c r="O31" s="136">
        <f>'Nye båter delleveranse 2'!T12</f>
        <v>491.24317280891205</v>
      </c>
      <c r="P31" s="137">
        <f t="shared" si="1"/>
        <v>5113.7863697087068</v>
      </c>
    </row>
    <row r="32" spans="3:16" x14ac:dyDescent="0.3">
      <c r="C32" s="10" t="s">
        <v>246</v>
      </c>
      <c r="D32" s="10">
        <v>3500</v>
      </c>
      <c r="E32" s="10">
        <v>3100</v>
      </c>
      <c r="F32" s="10">
        <v>96</v>
      </c>
      <c r="G32" s="10"/>
      <c r="H32" s="136">
        <f t="shared" si="2"/>
        <v>1391.9083333333331</v>
      </c>
      <c r="I32" s="136">
        <f>'Nye båter delleveranse 2'!N13</f>
        <v>274.40833333333336</v>
      </c>
      <c r="J32" s="136">
        <f>'Nye båter delleveranse 2'!O13</f>
        <v>486.83349729463845</v>
      </c>
      <c r="K32" s="136">
        <f>'Nye båter delleveranse 2'!P13</f>
        <v>153.91047712739794</v>
      </c>
      <c r="L32" s="136">
        <f>'Nye båter delleveranse 2'!Q13</f>
        <v>267.51106738809642</v>
      </c>
      <c r="M32" s="136">
        <f>'Nye båter delleveranse 2'!R13</f>
        <v>89.231431382193804</v>
      </c>
      <c r="N32" s="136">
        <f>'Nye båter delleveranse 2'!S13</f>
        <v>120.01352680767339</v>
      </c>
      <c r="O32" s="136">
        <f>'Nye båter delleveranse 2'!T13</f>
        <v>103.25410367170626</v>
      </c>
      <c r="P32" s="137">
        <f t="shared" si="1"/>
        <v>1302.6769019511394</v>
      </c>
    </row>
    <row r="33" spans="3:16" x14ac:dyDescent="0.3">
      <c r="C33" s="10" t="s">
        <v>246</v>
      </c>
      <c r="D33" s="10">
        <v>6500</v>
      </c>
      <c r="E33" s="10">
        <v>6000</v>
      </c>
      <c r="F33" s="10">
        <v>126</v>
      </c>
      <c r="G33" s="10"/>
      <c r="H33" s="136">
        <f t="shared" si="2"/>
        <v>1604.7299999999998</v>
      </c>
      <c r="I33" s="136">
        <f>'Nye båter delleveranse 2'!N14</f>
        <v>238.89666666666665</v>
      </c>
      <c r="J33" s="136">
        <f>'Nye båter delleveranse 2'!O14</f>
        <v>595.01871891566918</v>
      </c>
      <c r="K33" s="136">
        <f>'Nye båter delleveranse 2'!P14</f>
        <v>188.11280537793081</v>
      </c>
      <c r="L33" s="136">
        <f>'Nye båter delleveranse 2'!Q14</f>
        <v>326.95797125211783</v>
      </c>
      <c r="M33" s="136">
        <f>'Nye båter delleveranse 2'!R14</f>
        <v>109.06063835601465</v>
      </c>
      <c r="N33" s="136">
        <f>'Nye båter delleveranse 2'!S14</f>
        <v>146.6831994316008</v>
      </c>
      <c r="O33" s="136">
        <f>'Nye båter delleveranse 2'!T14</f>
        <v>118.31199379049674</v>
      </c>
      <c r="P33" s="137">
        <f t="shared" si="1"/>
        <v>1495.6693616439852</v>
      </c>
    </row>
    <row r="34" spans="3:16" x14ac:dyDescent="0.3">
      <c r="C34" s="10" t="s">
        <v>246</v>
      </c>
      <c r="D34" s="10">
        <v>13700</v>
      </c>
      <c r="E34" s="10">
        <v>13400</v>
      </c>
      <c r="F34" s="10">
        <v>163</v>
      </c>
      <c r="G34" s="10"/>
      <c r="H34" s="136">
        <f t="shared" si="2"/>
        <v>3104.7732383833941</v>
      </c>
      <c r="I34" s="136">
        <f>'Korrigerte kost 2010 til 2012'!O25</f>
        <v>1513.885836693795</v>
      </c>
      <c r="J34" s="136">
        <f>'Korrigerte kost 2010 til 2012'!H25*'Korreksjonsfaktorer - MS'!P$28</f>
        <v>681.77652341296925</v>
      </c>
      <c r="K34" s="136">
        <f>'Korrigerte kost 2010 til 2012'!I25*'Korreksjonsfaktorer - MS'!Q$28</f>
        <v>231.14842935153581</v>
      </c>
      <c r="L34" s="136">
        <f>'Korrigerte kost 2010 til 2012'!J25*'Korreksjonsfaktorer - MS'!R$28</f>
        <v>363.98825888509668</v>
      </c>
      <c r="M34" s="136">
        <f>'Korrigerte kost 2010 til 2012'!K25*'Korreksjonsfaktorer - MS'!S$28</f>
        <v>124.11052468714445</v>
      </c>
      <c r="N34" s="136">
        <f>'Korrigerte kost 2010 til 2012'!L25*'Korreksjonsfaktorer - MS'!T$28</f>
        <v>189.86366535285288</v>
      </c>
      <c r="O34" s="136">
        <f>'Korrigerte kost 2010 til 2012'!N25</f>
        <v>252.49878901040461</v>
      </c>
      <c r="P34" s="137">
        <f t="shared" si="1"/>
        <v>2980.6627136962497</v>
      </c>
    </row>
    <row r="35" spans="3:16" x14ac:dyDescent="0.3">
      <c r="C35" s="10" t="s">
        <v>247</v>
      </c>
      <c r="D35" s="10">
        <v>3500</v>
      </c>
      <c r="E35" s="10"/>
      <c r="F35" s="10">
        <v>94</v>
      </c>
      <c r="G35" s="10"/>
      <c r="H35" s="136">
        <f t="shared" si="2"/>
        <v>1922.7376730075914</v>
      </c>
      <c r="I35" s="136">
        <f>'Korrigerte kost 2010 til 2012'!O26</f>
        <v>683.11346972784429</v>
      </c>
      <c r="J35" s="136">
        <f>'Korrigerte kost 2010 til 2012'!H26*'Korreksjonsfaktorer - MS'!P$10</f>
        <v>664.05693632232135</v>
      </c>
      <c r="K35" s="136">
        <f>'Korrigerte kost 2010 til 2012'!I26*'Korreksjonsfaktorer - MS'!Q$10</f>
        <v>110.47670397482958</v>
      </c>
      <c r="L35" s="136">
        <f>'Korrigerte kost 2010 til 2012'!J26*'Korreksjonsfaktorer - MS'!R$10</f>
        <v>169.36443657402555</v>
      </c>
      <c r="M35" s="136">
        <f>'Korrigerte kost 2010 til 2012'!K26*'Korreksjonsfaktorer - MS'!S$10</f>
        <v>58.117571106449937</v>
      </c>
      <c r="N35" s="136">
        <f>'Korrigerte kost 2010 til 2012'!L26*'Korreksjonsfaktorer - MS'!T$10</f>
        <v>237.60855530212058</v>
      </c>
      <c r="O35" s="136">
        <f>'Korrigerte kost 2010 til 2012'!N26</f>
        <v>95.200820353061715</v>
      </c>
      <c r="P35" s="137">
        <f t="shared" si="1"/>
        <v>1864.6201019011414</v>
      </c>
    </row>
    <row r="36" spans="3:16" x14ac:dyDescent="0.3">
      <c r="C36" s="10" t="s">
        <v>247</v>
      </c>
      <c r="D36" s="10">
        <v>9500</v>
      </c>
      <c r="E36" s="10"/>
      <c r="F36" s="10">
        <v>120</v>
      </c>
      <c r="G36" s="10"/>
      <c r="H36" s="136">
        <f t="shared" si="2"/>
        <v>2392.6589963626743</v>
      </c>
      <c r="I36" s="136">
        <f>'Korrigerte kost 2010 til 2012'!O27</f>
        <v>944.62350426840817</v>
      </c>
      <c r="J36" s="136">
        <f>'Korrigerte kost 2010 til 2012'!H27*'Korreksjonsfaktorer - MS'!P$10</f>
        <v>779.54509916098573</v>
      </c>
      <c r="K36" s="136">
        <f>'Korrigerte kost 2010 til 2012'!I27*'Korreksjonsfaktorer - MS'!Q$10</f>
        <v>129.69004379653907</v>
      </c>
      <c r="L36" s="136">
        <f>'Korrigerte kost 2010 til 2012'!J27*'Korreksjonsfaktorer - MS'!R$10</f>
        <v>227.22185279496586</v>
      </c>
      <c r="M36" s="136">
        <f>'Korrigerte kost 2010 til 2012'!K27*'Korreksjonsfaktorer - MS'!S$10</f>
        <v>81.869969732564229</v>
      </c>
      <c r="N36" s="136">
        <f>'Korrigerte kost 2010 til 2012'!L27*'Korreksjonsfaktorer - MS'!T$10</f>
        <v>229.70852660921119</v>
      </c>
      <c r="O36" s="136">
        <f>'Korrigerte kost 2010 til 2012'!N27</f>
        <v>148.35286251643558</v>
      </c>
      <c r="P36" s="137">
        <f t="shared" si="1"/>
        <v>2310.7890266301101</v>
      </c>
    </row>
    <row r="37" spans="3:16" x14ac:dyDescent="0.3">
      <c r="C37" s="10" t="s">
        <v>247</v>
      </c>
      <c r="D37" s="10">
        <v>17000</v>
      </c>
      <c r="E37" s="10"/>
      <c r="F37" s="10">
        <v>154</v>
      </c>
      <c r="G37" s="10"/>
      <c r="H37" s="136">
        <f t="shared" si="2"/>
        <v>3540.748198416883</v>
      </c>
      <c r="I37" s="136">
        <f>'Korrigerte kost 2010 til 2012'!O28</f>
        <v>1364.7781304000623</v>
      </c>
      <c r="J37" s="136">
        <f>'Korrigerte kost 2010 til 2012'!H28*'Korreksjonsfaktorer - MS'!P$11</f>
        <v>1197.7362145051463</v>
      </c>
      <c r="K37" s="136">
        <f>'Korrigerte kost 2010 til 2012'!I28*'Korreksjonsfaktorer - MS'!Q$11</f>
        <v>173.9597249722882</v>
      </c>
      <c r="L37" s="136">
        <f>'Korrigerte kost 2010 til 2012'!J28*'Korreksjonsfaktorer - MS'!R$11</f>
        <v>385.74225694265346</v>
      </c>
      <c r="M37" s="136">
        <f>'Korrigerte kost 2010 til 2012'!K28*'Korreksjonsfaktorer - MS'!S$11</f>
        <v>123.54330854088902</v>
      </c>
      <c r="N37" s="136">
        <f>'Korrigerte kost 2010 til 2012'!L28*'Korreksjonsfaktorer - MS'!T$11</f>
        <v>294.98856305584371</v>
      </c>
      <c r="O37" s="136">
        <f>'Korrigerte kost 2010 til 2012'!N28</f>
        <v>191.5540523766438</v>
      </c>
      <c r="P37" s="137">
        <f t="shared" si="1"/>
        <v>3417.204889875994</v>
      </c>
    </row>
    <row r="38" spans="3:16" x14ac:dyDescent="0.3">
      <c r="C38" s="10" t="s">
        <v>247</v>
      </c>
      <c r="D38" s="10">
        <v>37000</v>
      </c>
      <c r="E38" s="10"/>
      <c r="F38" s="10">
        <v>183</v>
      </c>
      <c r="G38" s="10"/>
      <c r="H38" s="136">
        <f t="shared" si="2"/>
        <v>4680.1485353155522</v>
      </c>
      <c r="I38" s="136">
        <f>'Korrigerte kost 2010 til 2012'!O29</f>
        <v>2690.4384162982119</v>
      </c>
      <c r="J38" s="136">
        <f>'Korrigerte kost 2010 til 2012'!H29*'Korreksjonsfaktorer - MS'!P$12</f>
        <v>1031.2963794579171</v>
      </c>
      <c r="K38" s="136">
        <f>'Korrigerte kost 2010 til 2012'!I29*'Korreksjonsfaktorer - MS'!Q$12</f>
        <v>223.61711697574893</v>
      </c>
      <c r="L38" s="136">
        <f>'Korrigerte kost 2010 til 2012'!J29*'Korreksjonsfaktorer - MS'!R$12</f>
        <v>289.26511412268184</v>
      </c>
      <c r="M38" s="136">
        <f>'Korrigerte kost 2010 til 2012'!K29*'Korreksjonsfaktorer - MS'!S$12</f>
        <v>130.25150641940084</v>
      </c>
      <c r="N38" s="136">
        <f>'Korrigerte kost 2010 til 2012'!L29*'Korreksjonsfaktorer - MS'!T$12</f>
        <v>315.28000204159122</v>
      </c>
      <c r="O38" s="136">
        <f>'Korrigerte kost 2010 til 2012'!N29</f>
        <v>277.10585697001096</v>
      </c>
      <c r="P38" s="137">
        <f t="shared" si="1"/>
        <v>4549.8970288961509</v>
      </c>
    </row>
    <row r="39" spans="3:16" x14ac:dyDescent="0.3">
      <c r="C39" s="10" t="s">
        <v>247</v>
      </c>
      <c r="D39" s="10">
        <v>100000</v>
      </c>
      <c r="E39" s="10"/>
      <c r="F39" s="10">
        <v>245</v>
      </c>
      <c r="G39" s="10"/>
      <c r="H39" s="136">
        <f t="shared" si="2"/>
        <v>6259.9219898793872</v>
      </c>
      <c r="I39" s="136">
        <f>'Korrigerte kost 2010 til 2012'!O30</f>
        <v>4039.7714446557247</v>
      </c>
      <c r="J39" s="136">
        <f>'Korrigerte kost 2010 til 2012'!H30*'Korreksjonsfaktorer - MS'!P$14</f>
        <v>1129.5498549056601</v>
      </c>
      <c r="K39" s="136">
        <f>'Korrigerte kost 2010 til 2012'!I30*'Korreksjonsfaktorer - MS'!Q$14</f>
        <v>226.01289905660377</v>
      </c>
      <c r="L39" s="136">
        <f>'Korrigerte kost 2010 til 2012'!J30*'Korreksjonsfaktorer - MS'!R$14</f>
        <v>298.70585235849063</v>
      </c>
      <c r="M39" s="136">
        <f>'Korrigerte kost 2010 til 2012'!K30*'Korreksjonsfaktorer - MS'!S$14</f>
        <v>183.72661471698112</v>
      </c>
      <c r="N39" s="136">
        <f>'Korrigerte kost 2010 til 2012'!L30*'Korreksjonsfaktorer - MS'!T$14</f>
        <v>382.15532418592659</v>
      </c>
      <c r="O39" s="136">
        <f>'Korrigerte kost 2010 til 2012'!N30</f>
        <v>482.48415889694928</v>
      </c>
      <c r="P39" s="137">
        <f t="shared" si="1"/>
        <v>6076.195375162406</v>
      </c>
    </row>
    <row r="40" spans="3:16" x14ac:dyDescent="0.3">
      <c r="C40" s="10" t="s">
        <v>247</v>
      </c>
      <c r="D40" s="10">
        <v>150000</v>
      </c>
      <c r="E40" s="10"/>
      <c r="F40" s="10">
        <v>274</v>
      </c>
      <c r="G40" s="10"/>
      <c r="H40" s="136">
        <f t="shared" si="2"/>
        <v>7458.0271822143422</v>
      </c>
      <c r="I40" s="136">
        <f>'Korrigerte kost 2010 til 2012'!O31</f>
        <v>4903.673688421206</v>
      </c>
      <c r="J40" s="136">
        <f>'Korrigerte kost 2010 til 2012'!H31*'Korreksjonsfaktorer - MS'!P$15</f>
        <v>1294.890097746229</v>
      </c>
      <c r="K40" s="136">
        <f>'Korrigerte kost 2010 til 2012'!I31*'Korreksjonsfaktorer - MS'!Q$15</f>
        <v>283.8641351079562</v>
      </c>
      <c r="L40" s="136">
        <f>'Korrigerte kost 2010 til 2012'!J31*'Korreksjonsfaktorer - MS'!R$15</f>
        <v>284.13320063886414</v>
      </c>
      <c r="M40" s="136">
        <f>'Korrigerte kost 2010 til 2012'!K31*'Korreksjonsfaktorer - MS'!S$15</f>
        <v>230.41793646850047</v>
      </c>
      <c r="N40" s="136">
        <f>'Korrigerte kost 2010 til 2012'!L31*'Korreksjonsfaktorer - MS'!T$15</f>
        <v>461.04812383158657</v>
      </c>
      <c r="O40" s="136">
        <f>'Korrigerte kost 2010 til 2012'!N31</f>
        <v>604.92108081907782</v>
      </c>
      <c r="P40" s="137">
        <f t="shared" si="1"/>
        <v>7227.6092457458417</v>
      </c>
    </row>
    <row r="41" spans="3:16" x14ac:dyDescent="0.3">
      <c r="C41" s="10" t="s">
        <v>247</v>
      </c>
      <c r="D41" s="10">
        <v>310000</v>
      </c>
      <c r="E41" s="10"/>
      <c r="F41" s="10">
        <v>333</v>
      </c>
      <c r="G41" s="10"/>
      <c r="H41" s="136">
        <f t="shared" si="2"/>
        <v>10705.399185626942</v>
      </c>
      <c r="I41" s="136">
        <f>'Korrigerte kost 2010 til 2012'!O32</f>
        <v>7898.5348001415396</v>
      </c>
      <c r="J41" s="136">
        <f>'Korrigerte kost 2010 til 2012'!H32*'Korreksjonsfaktorer - MS'!P$16</f>
        <v>1287.1853742494427</v>
      </c>
      <c r="K41" s="136">
        <f>'Korrigerte kost 2010 til 2012'!I32*'Korreksjonsfaktorer - MS'!Q$16</f>
        <v>366.26135351260933</v>
      </c>
      <c r="L41" s="136">
        <f>'Korrigerte kost 2010 til 2012'!J32*'Korreksjonsfaktorer - MS'!R$16</f>
        <v>392.2175292717447</v>
      </c>
      <c r="M41" s="136">
        <f>'Korrigerte kost 2010 til 2012'!K32*'Korreksjonsfaktorer - MS'!S$16</f>
        <v>318.04529284611419</v>
      </c>
      <c r="N41" s="136">
        <f>'Korrigerte kost 2010 til 2012'!L32*'Korreksjonsfaktorer - MS'!T$16</f>
        <v>443.1548356054916</v>
      </c>
      <c r="O41" s="136">
        <f>'Korrigerte kost 2010 til 2012'!N32</f>
        <v>906.86400932313643</v>
      </c>
      <c r="P41" s="137">
        <f t="shared" si="1"/>
        <v>10387.353892780828</v>
      </c>
    </row>
    <row r="42" spans="3:16" x14ac:dyDescent="0.3">
      <c r="C42" s="10" t="s">
        <v>248</v>
      </c>
      <c r="D42" s="10">
        <v>3500</v>
      </c>
      <c r="E42" s="10">
        <v>2400</v>
      </c>
      <c r="F42" s="10">
        <v>90</v>
      </c>
      <c r="G42" s="10"/>
      <c r="H42" s="136">
        <f t="shared" si="2"/>
        <v>1713.251666666667</v>
      </c>
      <c r="I42" s="136">
        <f>'Nye båter delleveranse 2'!N15</f>
        <v>570.91833333333329</v>
      </c>
      <c r="J42" s="136">
        <f>'Nye båter delleveranse 2'!O15</f>
        <v>635.11040965207633</v>
      </c>
      <c r="K42" s="136">
        <f>'Nye båter delleveranse 2'!P15</f>
        <v>99.521464646464651</v>
      </c>
      <c r="L42" s="136">
        <f>'Nye båter delleveranse 2'!Q15</f>
        <v>169.23456790123456</v>
      </c>
      <c r="M42" s="136">
        <f>'Nye båter delleveranse 2'!R15</f>
        <v>57.693602693602692</v>
      </c>
      <c r="N42" s="136">
        <f>'Nye båter delleveranse 2'!S15</f>
        <v>180.77328843995511</v>
      </c>
      <c r="O42" s="136">
        <f>'Nye båter delleveranse 2'!T15</f>
        <v>98.309007531906545</v>
      </c>
      <c r="P42" s="137">
        <f t="shared" si="1"/>
        <v>1655.5580639730642</v>
      </c>
    </row>
    <row r="43" spans="3:16" x14ac:dyDescent="0.3">
      <c r="C43" s="10" t="s">
        <v>248</v>
      </c>
      <c r="D43" s="10">
        <v>8000</v>
      </c>
      <c r="E43" s="10">
        <v>5300</v>
      </c>
      <c r="F43" s="10">
        <v>115</v>
      </c>
      <c r="G43" s="10"/>
      <c r="H43" s="136">
        <f t="shared" si="2"/>
        <v>3143.4241615400206</v>
      </c>
      <c r="I43" s="136">
        <f>'Korrigerte kost 2010 til 2012'!O33</f>
        <v>1464.5199941929102</v>
      </c>
      <c r="J43" s="136">
        <f>'Korrigerte kost 2010 til 2012'!H33*'Korreksjonsfaktorer - MS'!P$17</f>
        <v>915.51426801337323</v>
      </c>
      <c r="K43" s="136">
        <f>'Korrigerte kost 2010 til 2012'!I33*'Korreksjonsfaktorer - MS'!Q$17</f>
        <v>143.48964814398195</v>
      </c>
      <c r="L43" s="136">
        <f>'Korrigerte kost 2010 til 2012'!J33*'Korreksjonsfaktorer - MS'!R$17</f>
        <v>257.70636260467444</v>
      </c>
      <c r="M43" s="136">
        <f>'Korrigerte kost 2010 til 2012'!K33*'Korreksjonsfaktorer - MS'!S$17</f>
        <v>94.581632827146592</v>
      </c>
      <c r="N43" s="136">
        <f>'Korrigerte kost 2010 til 2012'!L33*'Korreksjonsfaktorer - MS'!T$17</f>
        <v>267.61225575793429</v>
      </c>
      <c r="O43" s="136">
        <f>'Korrigerte kost 2010 til 2012'!N33</f>
        <v>136.53193011016796</v>
      </c>
      <c r="P43" s="137">
        <f t="shared" si="1"/>
        <v>3048.8425287128739</v>
      </c>
    </row>
    <row r="44" spans="3:16" x14ac:dyDescent="0.3">
      <c r="C44" s="10" t="s">
        <v>248</v>
      </c>
      <c r="D44" s="10">
        <v>19000</v>
      </c>
      <c r="E44" s="10">
        <v>11600</v>
      </c>
      <c r="F44" s="10">
        <v>149</v>
      </c>
      <c r="G44" s="10"/>
      <c r="H44" s="136">
        <f t="shared" si="2"/>
        <v>3839.8774537938189</v>
      </c>
      <c r="I44" s="136">
        <f>'Korrigerte kost 2010 til 2012'!O34</f>
        <v>1908.8125767008723</v>
      </c>
      <c r="J44" s="136">
        <f>'Korrigerte kost 2010 til 2012'!H34*'Korreksjonsfaktorer - MS'!P$17</f>
        <v>1075.569209973753</v>
      </c>
      <c r="K44" s="136">
        <f>'Korrigerte kost 2010 til 2012'!I34*'Korreksjonsfaktorer - MS'!Q$17</f>
        <v>147.16886989126357</v>
      </c>
      <c r="L44" s="136">
        <f>'Korrigerte kost 2010 til 2012'!J34*'Korreksjonsfaktorer - MS'!R$17</f>
        <v>334.52268222722159</v>
      </c>
      <c r="M44" s="136">
        <f>'Korrigerte kost 2010 til 2012'!K34*'Korreksjonsfaktorer - MS'!S$17</f>
        <v>109.13265326209221</v>
      </c>
      <c r="N44" s="136">
        <f>'Korrigerte kost 2010 til 2012'!L34*'Korreksjonsfaktorer - MS'!T$17</f>
        <v>264.67146173861624</v>
      </c>
      <c r="O44" s="136">
        <f>'Korrigerte kost 2010 til 2012'!N34</f>
        <v>210.84181424406509</v>
      </c>
      <c r="P44" s="137">
        <f t="shared" si="1"/>
        <v>3730.7448005317265</v>
      </c>
    </row>
    <row r="45" spans="3:16" x14ac:dyDescent="0.3">
      <c r="C45" s="10" t="s">
        <v>248</v>
      </c>
      <c r="D45" s="10">
        <v>35000</v>
      </c>
      <c r="E45" s="10">
        <v>23000</v>
      </c>
      <c r="F45" s="10">
        <v>180</v>
      </c>
      <c r="G45" s="10"/>
      <c r="H45" s="136">
        <f t="shared" si="2"/>
        <v>5143.2316666666666</v>
      </c>
      <c r="I45" s="136">
        <f>'Nye båter delleveranse 2'!N16</f>
        <v>2898.1741666666662</v>
      </c>
      <c r="J45" s="136">
        <f>'Nye båter delleveranse 2'!O16</f>
        <v>1195.6836111111111</v>
      </c>
      <c r="K45" s="136">
        <f>'Nye båter delleveranse 2'!P16</f>
        <v>216.71222222222221</v>
      </c>
      <c r="L45" s="136">
        <f>'Nye båter delleveranse 2'!Q16*1.25</f>
        <v>391.125</v>
      </c>
      <c r="M45" s="136">
        <f>'Nye båter delleveranse 2'!R16</f>
        <v>146.01999999999998</v>
      </c>
      <c r="N45" s="136">
        <f>'Nye båter delleveranse 2'!S16</f>
        <v>295.51666666666665</v>
      </c>
      <c r="O45" s="136">
        <f>'Nye båter delleveranse 2'!T16</f>
        <v>234.39046119772235</v>
      </c>
      <c r="P45" s="137">
        <f t="shared" si="1"/>
        <v>4997.2116666666661</v>
      </c>
    </row>
    <row r="46" spans="3:16" x14ac:dyDescent="0.3">
      <c r="C46" s="10" t="s">
        <v>249</v>
      </c>
      <c r="D46" s="10">
        <v>8500</v>
      </c>
      <c r="E46" s="10">
        <v>7500</v>
      </c>
      <c r="F46" s="10">
        <v>120</v>
      </c>
      <c r="G46" s="10">
        <v>7500</v>
      </c>
      <c r="H46" s="136">
        <f t="shared" si="2"/>
        <v>3738.6359940154944</v>
      </c>
      <c r="I46" s="136">
        <f>'Nye gasstankere'!G39</f>
        <v>2248.6359940154944</v>
      </c>
      <c r="J46" s="136">
        <f>'Nye gasstankere'!H39</f>
        <v>833.46875</v>
      </c>
      <c r="K46" s="136">
        <f>'Nye gasstankere'!I39</f>
        <v>150.01222826086956</v>
      </c>
      <c r="L46" s="136">
        <f>'Nye gasstankere'!J39</f>
        <v>212.16304347826087</v>
      </c>
      <c r="M46" s="136">
        <f>'Nye gasstankere'!K39</f>
        <v>95.554347826086953</v>
      </c>
      <c r="N46" s="136">
        <f>'Nye gasstankere'!L39</f>
        <v>198.8016304347826</v>
      </c>
      <c r="O46" s="136">
        <f>'Nye gasstankere'!M39</f>
        <v>133.90248306289342</v>
      </c>
      <c r="P46" s="137">
        <f>H46-M46</f>
        <v>3643.0816461894074</v>
      </c>
    </row>
    <row r="47" spans="3:16" x14ac:dyDescent="0.3">
      <c r="C47" s="10" t="s">
        <v>249</v>
      </c>
      <c r="D47" s="10">
        <v>16500</v>
      </c>
      <c r="E47" s="10">
        <v>11500</v>
      </c>
      <c r="F47" s="10">
        <v>155</v>
      </c>
      <c r="G47" s="10">
        <v>15000</v>
      </c>
      <c r="H47" s="136">
        <f t="shared" si="2"/>
        <v>4512.5601255534757</v>
      </c>
      <c r="I47" s="136">
        <f>'Nye gasstankere'!G40</f>
        <v>2923.2267922201422</v>
      </c>
      <c r="J47" s="136">
        <f>'Nye gasstankere'!H40</f>
        <v>889.0333333333333</v>
      </c>
      <c r="K47" s="136">
        <f>'Nye gasstankere'!I40</f>
        <v>160.01304347826087</v>
      </c>
      <c r="L47" s="136">
        <f>'Nye gasstankere'!J40</f>
        <v>226.30724637681161</v>
      </c>
      <c r="M47" s="136">
        <f>'Nye gasstankere'!K40</f>
        <v>101.92463768115942</v>
      </c>
      <c r="N47" s="136">
        <f>'Nye gasstankere'!L40</f>
        <v>212.05507246376808</v>
      </c>
      <c r="O47" s="136">
        <f>'Nye gasstankere'!M40</f>
        <v>178.50651640176477</v>
      </c>
      <c r="P47" s="137">
        <f t="shared" si="1"/>
        <v>4410.6354878723159</v>
      </c>
    </row>
    <row r="48" spans="3:16" x14ac:dyDescent="0.3">
      <c r="C48" s="10" t="s">
        <v>249</v>
      </c>
      <c r="D48" s="10">
        <v>30000</v>
      </c>
      <c r="E48" s="10">
        <v>24000</v>
      </c>
      <c r="F48" s="10">
        <v>183</v>
      </c>
      <c r="G48" s="10">
        <v>35000</v>
      </c>
      <c r="H48" s="136">
        <f t="shared" si="2"/>
        <v>5460.3175904247901</v>
      </c>
      <c r="I48" s="136">
        <f>'Nye gasstankere'!G48</f>
        <v>3597.8175904247901</v>
      </c>
      <c r="J48" s="136">
        <f>'Nye gasstankere'!H48</f>
        <v>1041.8359374999998</v>
      </c>
      <c r="K48" s="136">
        <f>'Nye gasstankere'!I48</f>
        <v>187.51528532608697</v>
      </c>
      <c r="L48" s="136">
        <f>'Nye gasstankere'!J48</f>
        <v>265.20380434782612</v>
      </c>
      <c r="M48" s="136">
        <f>'Nye gasstankere'!K48</f>
        <v>119.4429347826087</v>
      </c>
      <c r="N48" s="136">
        <f>'Nye gasstankere'!L48</f>
        <v>248.50203804347825</v>
      </c>
      <c r="O48" s="136">
        <f>'Korrigerte kost 2010 til 2012'!N35</f>
        <v>219.1253675310746</v>
      </c>
      <c r="P48" s="137">
        <f t="shared" si="1"/>
        <v>5340.8746556421811</v>
      </c>
    </row>
    <row r="49" spans="3:16" x14ac:dyDescent="0.3">
      <c r="C49" s="10" t="s">
        <v>249</v>
      </c>
      <c r="D49" s="10">
        <v>42000</v>
      </c>
      <c r="E49" s="10"/>
      <c r="F49" s="10">
        <v>205</v>
      </c>
      <c r="G49" s="10">
        <v>57000</v>
      </c>
      <c r="H49" s="136">
        <f t="shared" si="2"/>
        <v>6006.3493494672712</v>
      </c>
      <c r="I49" s="136">
        <f>'Nye gasstankere'!G49</f>
        <v>3957.5993494672703</v>
      </c>
      <c r="J49" s="136">
        <f>'Nye gasstankere'!H49</f>
        <v>1146.0195312499998</v>
      </c>
      <c r="K49" s="136">
        <f>'Nye gasstankere'!I49</f>
        <v>206.26681385869563</v>
      </c>
      <c r="L49" s="136">
        <f>'Nye gasstankere'!J49</f>
        <v>291.72418478260869</v>
      </c>
      <c r="M49" s="136">
        <f>'Nye gasstankere'!K49</f>
        <v>131.38722826086959</v>
      </c>
      <c r="N49" s="136">
        <f>'Nye gasstankere'!L49</f>
        <v>273.35224184782606</v>
      </c>
      <c r="O49" s="136">
        <f>'Korrigerte kost 2010 til 2012'!N36</f>
        <v>264.36027848755174</v>
      </c>
      <c r="P49" s="137">
        <f t="shared" si="1"/>
        <v>5874.9621212064012</v>
      </c>
    </row>
    <row r="50" spans="3:16" x14ac:dyDescent="0.3">
      <c r="C50" s="10" t="s">
        <v>249</v>
      </c>
      <c r="D50" s="10">
        <v>70000</v>
      </c>
      <c r="E50" s="10"/>
      <c r="F50" s="10">
        <v>285</v>
      </c>
      <c r="G50" s="10">
        <v>145000</v>
      </c>
      <c r="H50" s="136">
        <f t="shared" si="2"/>
        <v>17538.595959105878</v>
      </c>
      <c r="I50" s="136">
        <f>'Nye gasstankere'!G50</f>
        <v>15365.67929243921</v>
      </c>
      <c r="J50" s="136">
        <f>'Nye gasstankere'!H50</f>
        <v>1215.4752604166665</v>
      </c>
      <c r="K50" s="136">
        <f>'Nye gasstankere'!I50</f>
        <v>218.76783288043475</v>
      </c>
      <c r="L50" s="136">
        <f>'Nye gasstankere'!J50</f>
        <v>309.40443840579712</v>
      </c>
      <c r="M50" s="136">
        <f>'Nye gasstankere'!K50</f>
        <v>139.35009057971016</v>
      </c>
      <c r="N50" s="136">
        <f>'Nye gasstankere'!L50</f>
        <v>289.91904438405794</v>
      </c>
      <c r="O50" s="136">
        <f>'Korrigerte kost 2010 til 2012'!N37</f>
        <v>351.50645051081466</v>
      </c>
      <c r="P50" s="137">
        <f t="shared" si="1"/>
        <v>17399.245868526166</v>
      </c>
    </row>
    <row r="51" spans="3:16" x14ac:dyDescent="0.3">
      <c r="C51" s="10" t="s">
        <v>250</v>
      </c>
      <c r="D51" s="10">
        <v>1250</v>
      </c>
      <c r="E51" s="10">
        <v>500</v>
      </c>
      <c r="F51" s="10">
        <v>70</v>
      </c>
      <c r="G51" s="10"/>
      <c r="H51" s="136">
        <f t="shared" si="2"/>
        <v>900.47054073317327</v>
      </c>
      <c r="I51" s="136">
        <f>'Korrigerte kost 2010 til 2012'!O38</f>
        <v>511.85129957387994</v>
      </c>
      <c r="J51" s="136">
        <f>'Korrigerte kost 2010 til 2012'!H38*'Korreksjonsfaktorer - MS'!P$30</f>
        <v>199.21032857142856</v>
      </c>
      <c r="K51" s="136">
        <f>'Korrigerte kost 2010 til 2012'!I38*'Korreksjonsfaktorer - MS'!Q$30</f>
        <v>30.405228571428577</v>
      </c>
      <c r="L51" s="136">
        <f>'Korrigerte kost 2010 til 2012'!J38*'Korreksjonsfaktorer - MS'!R$30</f>
        <v>53.103050000000003</v>
      </c>
      <c r="M51" s="136">
        <f>'Korrigerte kost 2010 til 2012'!K38*'Korreksjonsfaktorer - MS'!S$30</f>
        <v>36.415035714285722</v>
      </c>
      <c r="N51" s="136">
        <f>'Korrigerte kost 2010 til 2012'!L38*'Korreksjonsfaktorer - MS'!T$30</f>
        <v>69.485598302150407</v>
      </c>
      <c r="O51" s="136">
        <f>'Korrigerte kost 2010 til 2012'!N38</f>
        <v>51.278015801980821</v>
      </c>
      <c r="P51" s="135">
        <f t="shared" si="1"/>
        <v>864.05550501888752</v>
      </c>
    </row>
    <row r="52" spans="3:16" x14ac:dyDescent="0.3">
      <c r="C52" s="10" t="s">
        <v>250</v>
      </c>
      <c r="D52" s="10">
        <v>2530</v>
      </c>
      <c r="E52" s="10">
        <v>1850</v>
      </c>
      <c r="F52" s="10">
        <v>82</v>
      </c>
      <c r="G52" s="10"/>
      <c r="H52" s="136">
        <f t="shared" si="2"/>
        <v>1326.6904548608954</v>
      </c>
      <c r="I52" s="136">
        <f>'Korrigerte kost 2010 til 2012'!O39</f>
        <v>627.17582077416773</v>
      </c>
      <c r="J52" s="136">
        <f>'Korrigerte kost 2010 til 2012'!H39*'Korreksjonsfaktorer - MS'!P$30</f>
        <v>358.57859142857131</v>
      </c>
      <c r="K52" s="136">
        <f>'Korrigerte kost 2010 til 2012'!I39*'Korreksjonsfaktorer - MS'!Q$30</f>
        <v>54.729411428571424</v>
      </c>
      <c r="L52" s="136">
        <f>'Korrigerte kost 2010 til 2012'!J39*'Korreksjonsfaktorer - MS'!R$30</f>
        <v>95.585490000000007</v>
      </c>
      <c r="M52" s="136">
        <f>'Korrigerte kost 2010 til 2012'!K39*'Korreksjonsfaktorer - MS'!S$30</f>
        <v>65.547064285714285</v>
      </c>
      <c r="N52" s="136">
        <f>'Korrigerte kost 2010 til 2012'!L39*'Korreksjonsfaktorer - MS'!T$30</f>
        <v>125.07407694387069</v>
      </c>
      <c r="O52" s="136">
        <f>'Korrigerte kost 2010 til 2012'!N39</f>
        <v>79.149871217719323</v>
      </c>
      <c r="P52" s="135">
        <f t="shared" si="1"/>
        <v>1261.1433905751812</v>
      </c>
    </row>
    <row r="53" spans="3:16" x14ac:dyDescent="0.3">
      <c r="C53" s="10" t="s">
        <v>250</v>
      </c>
      <c r="D53" s="10">
        <v>4440</v>
      </c>
      <c r="E53" s="10">
        <v>3200</v>
      </c>
      <c r="F53" s="10">
        <v>97</v>
      </c>
      <c r="G53" s="10"/>
      <c r="H53" s="136">
        <f t="shared" si="2"/>
        <v>1814.6395115613691</v>
      </c>
      <c r="I53" s="136">
        <f>'Korrigerte kost 2010 til 2012'!O40</f>
        <v>862.56422705968657</v>
      </c>
      <c r="J53" s="136">
        <f>'Korrigerte kost 2010 til 2012'!H40*'Korreksjonsfaktorer - MS'!P$30</f>
        <v>510.28491857142848</v>
      </c>
      <c r="K53" s="136">
        <f>'Korrigerte kost 2010 til 2012'!I40*'Korreksjonsfaktorer - MS'!Q$30</f>
        <v>112.49934571428571</v>
      </c>
      <c r="L53" s="136">
        <f>'Korrigerte kost 2010 til 2012'!J40*'Korreksjonsfaktorer - MS'!R$30</f>
        <v>121.63127166666666</v>
      </c>
      <c r="M53" s="136">
        <f>'Korrigerte kost 2010 til 2012'!K40*'Korreksjonsfaktorer - MS'!S$30</f>
        <v>89.823754761904766</v>
      </c>
      <c r="N53" s="136">
        <f>'Korrigerte kost 2010 til 2012'!L40*'Korreksjonsfaktorer - MS'!T$30</f>
        <v>117.83599378739672</v>
      </c>
      <c r="O53" s="136">
        <f>'Korrigerte kost 2010 til 2012'!N40</f>
        <v>100.65637398048395</v>
      </c>
      <c r="P53" s="135">
        <f t="shared" si="1"/>
        <v>1724.8157567994642</v>
      </c>
    </row>
    <row r="54" spans="3:16" x14ac:dyDescent="0.3">
      <c r="C54" s="10" t="s">
        <v>250</v>
      </c>
      <c r="D54" s="10">
        <v>9500</v>
      </c>
      <c r="E54" s="10">
        <v>6500</v>
      </c>
      <c r="F54" s="10">
        <v>120</v>
      </c>
      <c r="G54" s="10"/>
      <c r="H54" s="136">
        <f t="shared" si="2"/>
        <v>1929.3016666666667</v>
      </c>
      <c r="I54" s="136">
        <f>'Nye båter delleveranse 2'!N17</f>
        <v>749.22166666666669</v>
      </c>
      <c r="J54" s="136">
        <f>'Nye båter delleveranse 2'!O17</f>
        <v>629.15979388526273</v>
      </c>
      <c r="K54" s="136">
        <f>'Nye båter delleveranse 2'!P17</f>
        <v>82.698838886980411</v>
      </c>
      <c r="L54" s="136">
        <f>'Nye båter delleveranse 2'!Q17</f>
        <v>167.01922363448983</v>
      </c>
      <c r="M54" s="136">
        <f>'Nye båter delleveranse 2'!R17</f>
        <v>110.26511851597388</v>
      </c>
      <c r="N54" s="136">
        <f>'Nye båter delleveranse 2'!S17</f>
        <v>190.93702507729301</v>
      </c>
      <c r="O54" s="136">
        <f>'Nye båter delleveranse 2'!T17</f>
        <v>181.33216328293736</v>
      </c>
      <c r="P54" s="135">
        <f t="shared" si="1"/>
        <v>1819.0365481506929</v>
      </c>
    </row>
    <row r="55" spans="3:16" x14ac:dyDescent="0.3">
      <c r="C55" s="10" t="s">
        <v>251</v>
      </c>
      <c r="D55" s="10">
        <v>3000</v>
      </c>
      <c r="E55" s="10"/>
      <c r="F55" s="10"/>
      <c r="G55" s="10"/>
      <c r="H55" s="136">
        <f t="shared" si="2"/>
        <v>5230.4831177574688</v>
      </c>
      <c r="I55" s="136">
        <f>'Korrigerte kost 2010 til 2012'!O41</f>
        <v>1910.310974900327</v>
      </c>
      <c r="J55" s="136">
        <f>'Korrigerte kost 2010 til 2012'!H41*'Korreksjonsfaktorer - MS'!$P$30</f>
        <v>1792.8929571428569</v>
      </c>
      <c r="K55" s="136">
        <f>'Korrigerte kost 2010 til 2012'!I41*'Korreksjonsfaktorer - MS'!$P$30</f>
        <v>398.42065714285707</v>
      </c>
      <c r="L55" s="136">
        <f>'Korrigerte kost 2010 til 2012'!J41*'Korreksjonsfaktorer - MS'!$P$30</f>
        <v>431.6223785714285</v>
      </c>
      <c r="M55" s="136">
        <f>'Korrigerte kost 2010 til 2012'!K41*'Korreksjonsfaktorer - MS'!$P$30</f>
        <v>332.01721428571426</v>
      </c>
      <c r="N55" s="136">
        <f>'Korrigerte kost 2010 til 2012'!L41*'Korreksjonsfaktorer - MS'!$P$30</f>
        <v>365.21893571428564</v>
      </c>
      <c r="O55" s="136">
        <f>'Korrigerte kost 2010 til 2012'!N41</f>
        <v>88.677705783537334</v>
      </c>
      <c r="P55" s="135">
        <f t="shared" si="1"/>
        <v>4898.4659034717542</v>
      </c>
    </row>
    <row r="56" spans="3:16" x14ac:dyDescent="0.3">
      <c r="C56" s="10" t="s">
        <v>253</v>
      </c>
      <c r="D56" s="10"/>
      <c r="E56" s="10">
        <v>360</v>
      </c>
      <c r="F56" s="10"/>
      <c r="G56" s="10"/>
      <c r="H56" s="136">
        <f t="shared" si="2"/>
        <v>1502.4722889011418</v>
      </c>
      <c r="I56" s="136">
        <f>'Korrigerte kost 2010 til 2012'!O42</f>
        <v>638.50745221100317</v>
      </c>
      <c r="J56" s="136">
        <f>'Korrigerte kost 2010 til 2012'!H42*'Korreksjonsfaktorer - MS'!$P$27</f>
        <v>381.11865976806422</v>
      </c>
      <c r="K56" s="136">
        <f>'Korrigerte kost 2010 til 2012'!I42*'Korreksjonsfaktorer - MS'!$P$27</f>
        <v>58.633639964317567</v>
      </c>
      <c r="L56" s="136">
        <f>'Korrigerte kost 2010 til 2012'!J42*'Korreksjonsfaktorer - MS'!$P$27</f>
        <v>156.6821156824264</v>
      </c>
      <c r="M56" s="136">
        <f>'Korrigerte kost 2010 til 2012'!K42*'Korreksjonsfaktorer - MS'!$P$27</f>
        <v>94.344021751096108</v>
      </c>
      <c r="N56" s="136">
        <f>'Korrigerte kost 2010 til 2012'!L42*'Korreksjonsfaktorer - MS'!$P$27</f>
        <v>173.18639952423428</v>
      </c>
      <c r="O56" s="136">
        <f>'Korrigerte kost 2010 til 2012'!N42</f>
        <v>223.4757542214804</v>
      </c>
      <c r="P56" s="135">
        <f t="shared" si="1"/>
        <v>1408.1282671500458</v>
      </c>
    </row>
    <row r="57" spans="3:16" x14ac:dyDescent="0.3">
      <c r="C57" s="10" t="s">
        <v>252</v>
      </c>
      <c r="D57" s="10">
        <v>1000</v>
      </c>
      <c r="E57" s="10">
        <v>950</v>
      </c>
      <c r="F57" s="10">
        <v>50</v>
      </c>
      <c r="G57" s="10"/>
      <c r="H57" s="136">
        <f t="shared" si="2"/>
        <v>1966.9736173097122</v>
      </c>
      <c r="I57" s="136">
        <f>'Nye båter delleveranse 2'!N18</f>
        <v>993.5792946430455</v>
      </c>
      <c r="J57" s="136">
        <f>'Nye båter delleveranse 2'!O18</f>
        <v>530.27919000000009</v>
      </c>
      <c r="K57" s="136">
        <f>'Nye båter delleveranse 2'!P18</f>
        <v>115.595252</v>
      </c>
      <c r="L57" s="136">
        <f>'Nye båter delleveranse 2'!Q18</f>
        <v>125.22818966666668</v>
      </c>
      <c r="M57" s="136">
        <f>'Nye båter delleveranse 2'!R18</f>
        <v>96.329376666666676</v>
      </c>
      <c r="N57" s="136">
        <f>'Nye båter delleveranse 2'!S18</f>
        <v>105.96231433333334</v>
      </c>
      <c r="O57" s="136">
        <f>'Nye båter delleveranse 2'!T18</f>
        <v>56.116360691144706</v>
      </c>
      <c r="P57" s="135">
        <f t="shared" si="1"/>
        <v>1870.6442406430456</v>
      </c>
    </row>
    <row r="58" spans="3:16" x14ac:dyDescent="0.3">
      <c r="C58" s="10" t="s">
        <v>252</v>
      </c>
      <c r="D58" s="10">
        <v>1500</v>
      </c>
      <c r="E58" s="10">
        <v>1250</v>
      </c>
      <c r="F58" s="10">
        <v>57</v>
      </c>
      <c r="G58" s="10"/>
      <c r="H58" s="136">
        <f t="shared" ref="H58:H59" si="3">SUM(I58:N58)</f>
        <v>2695.9638242312349</v>
      </c>
      <c r="I58" s="136">
        <f>'Nye båter delleveranse 2'!N19</f>
        <v>1490.368941964568</v>
      </c>
      <c r="J58" s="136">
        <f>'Nye båter delleveranse 2'!O19</f>
        <v>583.3071090000002</v>
      </c>
      <c r="K58" s="136">
        <f>'Nye båter delleveranse 2'!P19</f>
        <v>173.392878</v>
      </c>
      <c r="L58" s="136">
        <f>'Nye båter delleveranse 2'!Q19</f>
        <v>187.84228450000001</v>
      </c>
      <c r="M58" s="136">
        <f>'Nye båter delleveranse 2'!R19</f>
        <v>144.49406500000001</v>
      </c>
      <c r="N58" s="136">
        <f>'Nye båter delleveranse 2'!S19</f>
        <v>116.55854576666668</v>
      </c>
      <c r="O58" s="136">
        <f>'Nye båter delleveranse 2'!T19</f>
        <v>81.406133909287263</v>
      </c>
      <c r="P58" s="135">
        <f t="shared" si="1"/>
        <v>2551.469759231235</v>
      </c>
    </row>
    <row r="59" spans="3:16" x14ac:dyDescent="0.3">
      <c r="C59" s="10" t="s">
        <v>252</v>
      </c>
      <c r="D59" s="10">
        <v>2200</v>
      </c>
      <c r="E59" s="10">
        <v>2050</v>
      </c>
      <c r="F59" s="10">
        <v>68</v>
      </c>
      <c r="G59" s="10"/>
      <c r="H59" s="136">
        <f t="shared" si="3"/>
        <v>4013.3984526452236</v>
      </c>
      <c r="I59" s="136">
        <f>'Nye båter delleveranse 2'!N20</f>
        <v>2444.205064821891</v>
      </c>
      <c r="J59" s="136">
        <f>'Nye båter delleveranse 2'!O20</f>
        <v>641.6378199000003</v>
      </c>
      <c r="K59" s="136">
        <f>'Nye båter delleveranse 2'!P20</f>
        <v>254.3095544</v>
      </c>
      <c r="L59" s="136">
        <f>'Nye båter delleveranse 2'!Q20</f>
        <v>308.06134657999996</v>
      </c>
      <c r="M59" s="136">
        <f>'Nye båter delleveranse 2'!R20</f>
        <v>236.97026659999997</v>
      </c>
      <c r="N59" s="136">
        <f>'Nye båter delleveranse 2'!S20</f>
        <v>128.21440034333335</v>
      </c>
      <c r="O59" s="136">
        <f>'Nye båter delleveranse 2'!T20</f>
        <v>85.908910691144712</v>
      </c>
      <c r="P59" s="135">
        <f t="shared" si="1"/>
        <v>3776.4281860452238</v>
      </c>
    </row>
  </sheetData>
  <pageMargins left="0.7" right="0.7" top="0.75" bottom="0.75" header="0.3" footer="0.3"/>
  <pageSetup paperSize="9"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4"/>
  <sheetViews>
    <sheetView workbookViewId="0">
      <selection activeCell="M11" sqref="M11"/>
    </sheetView>
  </sheetViews>
  <sheetFormatPr baseColWidth="10" defaultRowHeight="14.4" x14ac:dyDescent="0.3"/>
  <cols>
    <col min="2" max="2" width="40.21875" bestFit="1" customWidth="1"/>
  </cols>
  <sheetData>
    <row r="3" spans="2:5" x14ac:dyDescent="0.3">
      <c r="B3" s="10" t="s">
        <v>421</v>
      </c>
      <c r="C3" s="10">
        <v>620</v>
      </c>
    </row>
    <row r="5" spans="2:5" x14ac:dyDescent="0.3">
      <c r="B5" s="10" t="s">
        <v>436</v>
      </c>
      <c r="C5" s="72">
        <v>0.08</v>
      </c>
      <c r="E5" t="s">
        <v>437</v>
      </c>
    </row>
    <row r="6" spans="2:5" x14ac:dyDescent="0.3">
      <c r="B6" s="71"/>
      <c r="C6" s="76"/>
    </row>
    <row r="7" spans="2:5" x14ac:dyDescent="0.3">
      <c r="B7" s="10" t="s">
        <v>275</v>
      </c>
      <c r="C7" s="10">
        <v>5.96</v>
      </c>
    </row>
    <row r="10" spans="2:5" x14ac:dyDescent="0.3">
      <c r="B10" s="113" t="s">
        <v>438</v>
      </c>
    </row>
    <row r="11" spans="2:5" x14ac:dyDescent="0.3">
      <c r="B11" s="113" t="s">
        <v>507</v>
      </c>
    </row>
    <row r="12" spans="2:5" x14ac:dyDescent="0.3">
      <c r="B12" s="113" t="s">
        <v>439</v>
      </c>
    </row>
    <row r="13" spans="2:5" x14ac:dyDescent="0.3">
      <c r="B13" s="113"/>
      <c r="C13" s="34"/>
    </row>
    <row r="14" spans="2:5" x14ac:dyDescent="0.3">
      <c r="B14" s="113" t="s">
        <v>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33"/>
  <sheetViews>
    <sheetView workbookViewId="0">
      <selection activeCell="T6" sqref="T6"/>
    </sheetView>
  </sheetViews>
  <sheetFormatPr baseColWidth="10" defaultRowHeight="14.4" x14ac:dyDescent="0.3"/>
  <cols>
    <col min="1" max="1" width="15.21875" bestFit="1" customWidth="1"/>
    <col min="2" max="2" width="20.77734375" bestFit="1" customWidth="1"/>
    <col min="14" max="14" width="21.44140625" bestFit="1" customWidth="1"/>
    <col min="15" max="15" width="6.77734375" customWidth="1"/>
  </cols>
  <sheetData>
    <row r="2" spans="1:22" ht="18" x14ac:dyDescent="0.35">
      <c r="C2" s="86" t="s">
        <v>513</v>
      </c>
      <c r="J2" s="86" t="s">
        <v>509</v>
      </c>
      <c r="P2" s="86" t="s">
        <v>443</v>
      </c>
    </row>
    <row r="3" spans="1:22" ht="15" thickBot="1" x14ac:dyDescent="0.35"/>
    <row r="4" spans="1:22" ht="28.8" x14ac:dyDescent="0.3">
      <c r="C4" s="79" t="s">
        <v>441</v>
      </c>
      <c r="D4" s="80" t="s">
        <v>442</v>
      </c>
      <c r="E4" s="82" t="s">
        <v>189</v>
      </c>
      <c r="F4" s="88" t="s">
        <v>233</v>
      </c>
      <c r="G4" s="91" t="s">
        <v>232</v>
      </c>
      <c r="H4" s="81" t="s">
        <v>234</v>
      </c>
      <c r="I4" s="89" t="s">
        <v>3</v>
      </c>
      <c r="J4" s="10" t="s">
        <v>4</v>
      </c>
      <c r="K4" s="10" t="s">
        <v>5</v>
      </c>
      <c r="L4" s="10" t="s">
        <v>6</v>
      </c>
      <c r="M4" s="10" t="s">
        <v>7</v>
      </c>
      <c r="P4" s="27" t="s">
        <v>3</v>
      </c>
      <c r="Q4" s="10" t="s">
        <v>4</v>
      </c>
      <c r="R4" s="10" t="s">
        <v>5</v>
      </c>
      <c r="S4" s="10" t="s">
        <v>6</v>
      </c>
      <c r="T4" s="10" t="s">
        <v>7</v>
      </c>
    </row>
    <row r="5" spans="1:22" x14ac:dyDescent="0.3">
      <c r="B5" t="s">
        <v>190</v>
      </c>
      <c r="C5" s="122">
        <v>1720</v>
      </c>
      <c r="D5" s="123">
        <v>1672</v>
      </c>
      <c r="E5" s="83">
        <f>(C5/D5)-1</f>
        <v>2.8708133971291794E-2</v>
      </c>
      <c r="F5" s="126">
        <v>1.2790697674418539E-2</v>
      </c>
      <c r="G5" s="92">
        <f t="shared" ref="G5:G30" si="0">((1+E5)*(1+F5))-1</f>
        <v>4.1866028708133829E-2</v>
      </c>
      <c r="H5" s="93">
        <f>1+G5</f>
        <v>1.0418660287081338</v>
      </c>
      <c r="I5" s="90">
        <v>1.0999999999999999E-2</v>
      </c>
      <c r="J5" s="46">
        <v>3.0000000000000001E-3</v>
      </c>
      <c r="K5" s="46">
        <v>1E-3</v>
      </c>
      <c r="L5" s="46">
        <v>-3.9E-2</v>
      </c>
      <c r="M5" s="56">
        <f>(1+G5)-(0.46*(1+I5))-(0.13*(1+J5))-(0.15*(1+K5))-(0.1*(1+L5))</f>
        <v>0.20016602870813377</v>
      </c>
      <c r="N5" s="10" t="s">
        <v>190</v>
      </c>
      <c r="O5" s="48">
        <v>1</v>
      </c>
      <c r="P5" s="57">
        <f>(1+$E5)*(1+I5)</f>
        <v>1.040023923444976</v>
      </c>
      <c r="Q5" s="57">
        <f t="shared" ref="Q5:T20" si="1">(1+$E5)*(1+J5)</f>
        <v>1.0317942583732056</v>
      </c>
      <c r="R5" s="57">
        <f t="shared" si="1"/>
        <v>1.0297368421052631</v>
      </c>
      <c r="S5" s="57">
        <f t="shared" si="1"/>
        <v>0.98858851674641135</v>
      </c>
      <c r="T5" s="57">
        <f t="shared" si="1"/>
        <v>1.2346205558480801</v>
      </c>
    </row>
    <row r="6" spans="1:22" x14ac:dyDescent="0.3">
      <c r="A6" t="s">
        <v>191</v>
      </c>
      <c r="B6" t="s">
        <v>192</v>
      </c>
      <c r="C6" s="122">
        <v>1927</v>
      </c>
      <c r="D6" s="123">
        <v>1867</v>
      </c>
      <c r="E6" s="83">
        <f t="shared" ref="E6:E30" si="2">(C6/D6)-1</f>
        <v>3.2137118371719398E-2</v>
      </c>
      <c r="F6" s="126">
        <v>1.2E-2</v>
      </c>
      <c r="G6" s="92">
        <f t="shared" si="0"/>
        <v>4.452276379218012E-2</v>
      </c>
      <c r="H6" s="93">
        <f t="shared" ref="H6:H30" si="3">1+G6</f>
        <v>1.0445227637921801</v>
      </c>
      <c r="I6" s="128">
        <v>1.0999999999999999E-2</v>
      </c>
      <c r="J6" s="129">
        <v>3.0000000000000001E-3</v>
      </c>
      <c r="K6" s="129">
        <v>1E-3</v>
      </c>
      <c r="L6" s="129">
        <v>-3.9E-2</v>
      </c>
      <c r="M6" s="56">
        <f>(1+G6)-(0.46*(1+I6))-(0.13*(1+J6))-(0.15*(1+K6))-(0.1*(1+L6))</f>
        <v>0.20282276379218006</v>
      </c>
      <c r="N6" s="10" t="s">
        <v>192</v>
      </c>
      <c r="O6" s="48">
        <v>2</v>
      </c>
      <c r="P6" s="57">
        <f t="shared" ref="P6:P30" si="4">(1+$E6)*(1+I6)</f>
        <v>1.0434906266738082</v>
      </c>
      <c r="Q6" s="57">
        <f t="shared" si="1"/>
        <v>1.0352335297268345</v>
      </c>
      <c r="R6" s="57">
        <f t="shared" si="1"/>
        <v>1.0331692554900911</v>
      </c>
      <c r="S6" s="57">
        <f t="shared" si="1"/>
        <v>0.99188377075522227</v>
      </c>
      <c r="T6" s="57">
        <f t="shared" si="1"/>
        <v>1.241478021332368</v>
      </c>
    </row>
    <row r="7" spans="1:22" x14ac:dyDescent="0.3">
      <c r="A7" t="s">
        <v>193</v>
      </c>
      <c r="B7" t="s">
        <v>194</v>
      </c>
      <c r="C7" s="122">
        <v>2177</v>
      </c>
      <c r="D7" s="123">
        <v>2153</v>
      </c>
      <c r="E7" s="83">
        <f t="shared" si="2"/>
        <v>1.1147236414305706E-2</v>
      </c>
      <c r="F7" s="126">
        <v>8.9999999999999993E-3</v>
      </c>
      <c r="G7" s="92">
        <f t="shared" si="0"/>
        <v>2.0247561542034331E-2</v>
      </c>
      <c r="H7" s="93">
        <f t="shared" si="3"/>
        <v>1.0202475615420343</v>
      </c>
      <c r="I7" s="128">
        <v>1.2999999999999999E-2</v>
      </c>
      <c r="J7" s="129">
        <v>-1E-3</v>
      </c>
      <c r="K7" s="129">
        <v>-1.0999999999999999E-2</v>
      </c>
      <c r="L7" s="129">
        <v>-3.3000000000000002E-2</v>
      </c>
      <c r="M7" s="56">
        <f t="shared" ref="M7:M9" si="5">(1+G7)-(0.46*(1+I7))-(0.13*(1+J7))-(0.15*(1+K7))-(0.1*(1+L7))</f>
        <v>0.17934756154203435</v>
      </c>
      <c r="N7" s="10" t="s">
        <v>194</v>
      </c>
      <c r="O7" s="48">
        <v>3</v>
      </c>
      <c r="P7" s="57">
        <f t="shared" si="4"/>
        <v>1.0242921504876916</v>
      </c>
      <c r="Q7" s="57">
        <f t="shared" si="1"/>
        <v>1.0101360891778914</v>
      </c>
      <c r="R7" s="57">
        <f t="shared" si="1"/>
        <v>1.0000246168137483</v>
      </c>
      <c r="S7" s="57">
        <f t="shared" si="1"/>
        <v>0.97777937761263356</v>
      </c>
      <c r="T7" s="57">
        <f t="shared" si="1"/>
        <v>1.1924940276251783</v>
      </c>
    </row>
    <row r="8" spans="1:22" x14ac:dyDescent="0.3">
      <c r="A8" t="s">
        <v>195</v>
      </c>
      <c r="B8" t="s">
        <v>196</v>
      </c>
      <c r="C8" s="122">
        <v>2362</v>
      </c>
      <c r="D8" s="123">
        <v>2241</v>
      </c>
      <c r="E8" s="83">
        <f t="shared" si="2"/>
        <v>5.3993752788933591E-2</v>
      </c>
      <c r="F8" s="126">
        <v>1.6E-2</v>
      </c>
      <c r="G8" s="92">
        <f t="shared" si="0"/>
        <v>7.0857652833556495E-2</v>
      </c>
      <c r="H8" s="93">
        <f t="shared" si="3"/>
        <v>1.0708576528335565</v>
      </c>
      <c r="I8" s="128">
        <v>5.0999999999999997E-2</v>
      </c>
      <c r="J8" s="129">
        <v>-1E-3</v>
      </c>
      <c r="K8" s="129">
        <v>-3.3000000000000002E-2</v>
      </c>
      <c r="L8" s="129">
        <v>-4.4999999999999998E-2</v>
      </c>
      <c r="M8" s="56">
        <f t="shared" si="5"/>
        <v>0.21697765283355644</v>
      </c>
      <c r="N8" s="10" t="s">
        <v>196</v>
      </c>
      <c r="O8" s="48">
        <v>4</v>
      </c>
      <c r="P8" s="57">
        <f t="shared" si="4"/>
        <v>1.1077474341811691</v>
      </c>
      <c r="Q8" s="57">
        <f t="shared" si="1"/>
        <v>1.0529397590361447</v>
      </c>
      <c r="R8" s="57">
        <f t="shared" si="1"/>
        <v>1.0192119589468986</v>
      </c>
      <c r="S8" s="57">
        <f t="shared" si="1"/>
        <v>1.0065640339134316</v>
      </c>
      <c r="T8" s="57">
        <f t="shared" si="1"/>
        <v>1.2826868433703082</v>
      </c>
    </row>
    <row r="9" spans="1:22" x14ac:dyDescent="0.3">
      <c r="A9" t="s">
        <v>197</v>
      </c>
      <c r="B9" t="s">
        <v>198</v>
      </c>
      <c r="C9" s="122">
        <v>2715</v>
      </c>
      <c r="D9" s="123">
        <v>2669</v>
      </c>
      <c r="E9" s="83">
        <f t="shared" si="2"/>
        <v>1.7234919445485275E-2</v>
      </c>
      <c r="F9" s="126">
        <v>1.4E-2</v>
      </c>
      <c r="G9" s="92">
        <f t="shared" si="0"/>
        <v>3.1476208317722021E-2</v>
      </c>
      <c r="H9" s="93">
        <f t="shared" si="3"/>
        <v>1.031476208317722</v>
      </c>
      <c r="I9" s="128">
        <v>3.1E-2</v>
      </c>
      <c r="J9" s="129">
        <v>-3.0000000000000001E-3</v>
      </c>
      <c r="K9" s="129">
        <v>-3.4000000000000002E-2</v>
      </c>
      <c r="L9" s="129">
        <v>-4.8000000000000001E-2</v>
      </c>
      <c r="M9" s="56">
        <f t="shared" si="5"/>
        <v>0.18750620831772208</v>
      </c>
      <c r="N9" s="10" t="s">
        <v>198</v>
      </c>
      <c r="O9" s="48">
        <v>5</v>
      </c>
      <c r="P9" s="57">
        <f t="shared" si="4"/>
        <v>1.0487692019482953</v>
      </c>
      <c r="Q9" s="57">
        <f t="shared" si="1"/>
        <v>1.0141832146871488</v>
      </c>
      <c r="R9" s="57">
        <f t="shared" si="1"/>
        <v>0.9826489321843388</v>
      </c>
      <c r="S9" s="57">
        <f t="shared" si="1"/>
        <v>0.96840764331210194</v>
      </c>
      <c r="T9" s="57">
        <f t="shared" si="1"/>
        <v>1.2079727821590918</v>
      </c>
    </row>
    <row r="10" spans="1:22" x14ac:dyDescent="0.3">
      <c r="B10" t="s">
        <v>199</v>
      </c>
      <c r="C10" s="122">
        <v>1978</v>
      </c>
      <c r="D10" s="123">
        <v>1907</v>
      </c>
      <c r="E10" s="83">
        <f t="shared" si="2"/>
        <v>3.7231253277399068E-2</v>
      </c>
      <c r="F10" s="126">
        <v>7.5834175935287629E-3</v>
      </c>
      <c r="G10" s="92">
        <f t="shared" si="0"/>
        <v>4.5097011012060761E-2</v>
      </c>
      <c r="H10" s="93">
        <f t="shared" si="3"/>
        <v>1.0450970110120608</v>
      </c>
      <c r="I10" s="90">
        <f>I11</f>
        <v>1.9E-2</v>
      </c>
      <c r="J10" s="46">
        <f t="shared" ref="J10:L10" si="6">J11</f>
        <v>3.5999999999999997E-2</v>
      </c>
      <c r="K10" s="46">
        <f t="shared" si="6"/>
        <v>2.1000000000000001E-2</v>
      </c>
      <c r="L10" s="46">
        <f t="shared" si="6"/>
        <v>-1.9E-2</v>
      </c>
      <c r="M10" s="56">
        <f>(1+G10)-(0.54*(1+I10))-(0.1*(1+J10))-(0.14*(1+K10))-(0.07*(1+L10))</f>
        <v>0.17962701101206074</v>
      </c>
      <c r="N10" s="10" t="s">
        <v>199</v>
      </c>
      <c r="O10" s="48">
        <v>6</v>
      </c>
      <c r="P10" s="57">
        <f t="shared" si="4"/>
        <v>1.0569386470896696</v>
      </c>
      <c r="Q10" s="57">
        <f t="shared" si="1"/>
        <v>1.0745715783953855</v>
      </c>
      <c r="R10" s="57">
        <f t="shared" si="1"/>
        <v>1.0590131095962243</v>
      </c>
      <c r="S10" s="57">
        <f t="shared" si="1"/>
        <v>1.0175238594651286</v>
      </c>
      <c r="T10" s="57">
        <f t="shared" si="1"/>
        <v>1.2235460030319121</v>
      </c>
    </row>
    <row r="11" spans="1:22" x14ac:dyDescent="0.3">
      <c r="A11" t="s">
        <v>200</v>
      </c>
      <c r="B11" t="s">
        <v>201</v>
      </c>
      <c r="C11" s="122">
        <v>3001</v>
      </c>
      <c r="D11" s="123">
        <v>2947</v>
      </c>
      <c r="E11" s="83">
        <f t="shared" si="2"/>
        <v>1.8323719036308139E-2</v>
      </c>
      <c r="F11" s="126">
        <v>1.7999999999999999E-2</v>
      </c>
      <c r="G11" s="92">
        <f t="shared" si="0"/>
        <v>3.6653545978961644E-2</v>
      </c>
      <c r="H11" s="93">
        <f t="shared" si="3"/>
        <v>1.0366535459789616</v>
      </c>
      <c r="I11" s="128">
        <v>1.9E-2</v>
      </c>
      <c r="J11" s="129">
        <v>3.5999999999999997E-2</v>
      </c>
      <c r="K11" s="129">
        <v>2.1000000000000001E-2</v>
      </c>
      <c r="L11" s="129">
        <v>-1.9E-2</v>
      </c>
      <c r="M11" s="56">
        <f>(1+G11)-(0.54*(1+I11))-(0.1*(1+J11))-(0.14*(1+K11))-(0.07*(1+L11))</f>
        <v>0.17118354597896163</v>
      </c>
      <c r="N11" s="10" t="s">
        <v>201</v>
      </c>
      <c r="O11" s="48">
        <v>7</v>
      </c>
      <c r="P11" s="57">
        <f t="shared" si="4"/>
        <v>1.0376718696979979</v>
      </c>
      <c r="Q11" s="57">
        <f t="shared" si="1"/>
        <v>1.0549833729216154</v>
      </c>
      <c r="R11" s="57">
        <f t="shared" si="1"/>
        <v>1.0397085171360705</v>
      </c>
      <c r="S11" s="57">
        <f t="shared" si="1"/>
        <v>0.99897556837461832</v>
      </c>
      <c r="T11" s="57">
        <f t="shared" si="1"/>
        <v>1.1926439842154273</v>
      </c>
    </row>
    <row r="12" spans="1:22" x14ac:dyDescent="0.3">
      <c r="A12" t="s">
        <v>191</v>
      </c>
      <c r="B12" t="s">
        <v>202</v>
      </c>
      <c r="C12" s="122">
        <v>2800</v>
      </c>
      <c r="D12" s="123">
        <v>2804</v>
      </c>
      <c r="E12" s="83">
        <f t="shared" si="2"/>
        <v>-1.4265335235378318E-3</v>
      </c>
      <c r="F12" s="126">
        <v>2.1000000000000001E-2</v>
      </c>
      <c r="G12" s="92">
        <f t="shared" si="0"/>
        <v>1.9543509272467841E-2</v>
      </c>
      <c r="H12" s="93">
        <f t="shared" si="3"/>
        <v>1.0195435092724678</v>
      </c>
      <c r="I12" s="128">
        <v>6.0000000000000001E-3</v>
      </c>
      <c r="J12" s="129">
        <v>5.0999999999999997E-2</v>
      </c>
      <c r="K12" s="129">
        <v>-3.0000000000000001E-3</v>
      </c>
      <c r="L12" s="129">
        <v>-3.7999999999999999E-2</v>
      </c>
      <c r="M12" s="56">
        <f t="shared" ref="M12:M21" si="7">(1+G12)-(0.54*(1+I12))-(0.1*(1+J12))-(0.14*(1+K12))-(0.07*(1+L12))</f>
        <v>0.16428350927246779</v>
      </c>
      <c r="N12" s="10" t="s">
        <v>202</v>
      </c>
      <c r="O12" s="48">
        <v>8</v>
      </c>
      <c r="P12" s="57">
        <f t="shared" si="4"/>
        <v>1.0045649072753209</v>
      </c>
      <c r="Q12" s="57">
        <f t="shared" si="1"/>
        <v>1.0495007132667618</v>
      </c>
      <c r="R12" s="57">
        <f t="shared" si="1"/>
        <v>0.99557774607703275</v>
      </c>
      <c r="S12" s="57">
        <f t="shared" si="1"/>
        <v>0.9606276747503566</v>
      </c>
      <c r="T12" s="57">
        <f t="shared" si="1"/>
        <v>1.1626226198155882</v>
      </c>
    </row>
    <row r="13" spans="1:22" x14ac:dyDescent="0.3">
      <c r="A13" t="s">
        <v>195</v>
      </c>
      <c r="B13" t="s">
        <v>203</v>
      </c>
      <c r="C13" s="122">
        <v>3046</v>
      </c>
      <c r="D13" s="123">
        <v>2995</v>
      </c>
      <c r="E13" s="83">
        <f t="shared" si="2"/>
        <v>1.7028380634390716E-2</v>
      </c>
      <c r="F13" s="126">
        <v>8.9999999999999993E-3</v>
      </c>
      <c r="G13" s="92">
        <f t="shared" si="0"/>
        <v>2.6181636060100155E-2</v>
      </c>
      <c r="H13" s="93">
        <f t="shared" si="3"/>
        <v>1.0261816360601002</v>
      </c>
      <c r="I13" s="128">
        <v>1.9E-2</v>
      </c>
      <c r="J13" s="129">
        <v>-2.4E-2</v>
      </c>
      <c r="K13" s="129">
        <v>-1.4E-2</v>
      </c>
      <c r="L13" s="129">
        <v>-3.5000000000000003E-2</v>
      </c>
      <c r="M13" s="56">
        <f t="shared" si="7"/>
        <v>0.17273163606010014</v>
      </c>
      <c r="N13" s="10" t="s">
        <v>203</v>
      </c>
      <c r="O13" s="48">
        <v>9</v>
      </c>
      <c r="P13" s="57">
        <f t="shared" si="4"/>
        <v>1.0363519198664441</v>
      </c>
      <c r="Q13" s="57">
        <f t="shared" si="1"/>
        <v>0.99261969949916529</v>
      </c>
      <c r="R13" s="57">
        <f t="shared" si="1"/>
        <v>1.0027899833055092</v>
      </c>
      <c r="S13" s="57">
        <f t="shared" si="1"/>
        <v>0.98143238731218696</v>
      </c>
      <c r="T13" s="57">
        <f t="shared" si="1"/>
        <v>1.1927013567409233</v>
      </c>
    </row>
    <row r="14" spans="1:22" x14ac:dyDescent="0.3">
      <c r="A14" t="s">
        <v>204</v>
      </c>
      <c r="B14" t="s">
        <v>205</v>
      </c>
      <c r="C14" s="122">
        <v>3051</v>
      </c>
      <c r="D14" s="123">
        <v>2968</v>
      </c>
      <c r="E14" s="83">
        <f t="shared" si="2"/>
        <v>2.7964959568733239E-2</v>
      </c>
      <c r="F14" s="126">
        <v>1.7999999999999999E-2</v>
      </c>
      <c r="G14" s="92">
        <f t="shared" si="0"/>
        <v>4.6468328840970408E-2</v>
      </c>
      <c r="H14" s="93">
        <f t="shared" si="3"/>
        <v>1.0464683288409704</v>
      </c>
      <c r="I14" s="128">
        <v>1.2999999999999999E-2</v>
      </c>
      <c r="J14" s="129">
        <v>5.3999999999999999E-2</v>
      </c>
      <c r="K14" s="129">
        <v>-5.0000000000000001E-3</v>
      </c>
      <c r="L14" s="129">
        <v>-4.8000000000000001E-2</v>
      </c>
      <c r="M14" s="56">
        <f t="shared" si="7"/>
        <v>0.18810832884097042</v>
      </c>
      <c r="N14" s="10" t="s">
        <v>205</v>
      </c>
      <c r="O14" s="48">
        <v>10</v>
      </c>
      <c r="P14" s="57">
        <f t="shared" si="4"/>
        <v>1.0413285040431266</v>
      </c>
      <c r="Q14" s="57">
        <f t="shared" si="1"/>
        <v>1.083475067385445</v>
      </c>
      <c r="R14" s="57">
        <f t="shared" si="1"/>
        <v>1.0228251347708897</v>
      </c>
      <c r="S14" s="57">
        <f t="shared" si="1"/>
        <v>0.97862264150943401</v>
      </c>
      <c r="T14" s="57">
        <f t="shared" si="1"/>
        <v>1.2213337302202834</v>
      </c>
    </row>
    <row r="15" spans="1:22" x14ac:dyDescent="0.3">
      <c r="A15" t="s">
        <v>206</v>
      </c>
      <c r="B15" t="s">
        <v>207</v>
      </c>
      <c r="C15" s="122">
        <v>3469</v>
      </c>
      <c r="D15" s="123">
        <v>3381</v>
      </c>
      <c r="E15" s="83">
        <f t="shared" si="2"/>
        <v>2.6027802425317992E-2</v>
      </c>
      <c r="F15" s="126">
        <v>1.9E-2</v>
      </c>
      <c r="G15" s="92">
        <f t="shared" si="0"/>
        <v>4.5522330671398992E-2</v>
      </c>
      <c r="H15" s="93">
        <f t="shared" si="3"/>
        <v>1.045522330671399</v>
      </c>
      <c r="I15" s="128">
        <v>3.7999999999999999E-2</v>
      </c>
      <c r="J15" s="129">
        <v>5.5E-2</v>
      </c>
      <c r="K15" s="129">
        <v>-3.2000000000000001E-2</v>
      </c>
      <c r="L15" s="129">
        <v>-5.8000000000000003E-2</v>
      </c>
      <c r="M15" s="56">
        <f t="shared" si="7"/>
        <v>0.17804233067139899</v>
      </c>
      <c r="N15" s="10" t="s">
        <v>207</v>
      </c>
      <c r="O15" s="48">
        <v>11</v>
      </c>
      <c r="P15" s="57">
        <f t="shared" si="4"/>
        <v>1.0650168589174802</v>
      </c>
      <c r="Q15" s="57">
        <f t="shared" si="1"/>
        <v>1.0824593315587103</v>
      </c>
      <c r="R15" s="57">
        <f t="shared" si="1"/>
        <v>0.99319491274770777</v>
      </c>
      <c r="S15" s="57">
        <f t="shared" si="1"/>
        <v>0.96651818988464955</v>
      </c>
      <c r="T15" s="57">
        <f t="shared" si="1"/>
        <v>1.2087041837027752</v>
      </c>
    </row>
    <row r="16" spans="1:22" x14ac:dyDescent="0.3">
      <c r="A16" t="s">
        <v>208</v>
      </c>
      <c r="B16" t="s">
        <v>209</v>
      </c>
      <c r="C16" s="122">
        <v>3895</v>
      </c>
      <c r="D16" s="123">
        <v>3886</v>
      </c>
      <c r="E16" s="83">
        <f t="shared" si="2"/>
        <v>2.3160061760165718E-3</v>
      </c>
      <c r="F16" s="126">
        <v>0.01</v>
      </c>
      <c r="G16" s="92">
        <f t="shared" si="0"/>
        <v>1.2339166237776755E-2</v>
      </c>
      <c r="H16" s="93">
        <f t="shared" si="3"/>
        <v>1.0123391662377768</v>
      </c>
      <c r="I16" s="128">
        <v>2.1999999999999999E-2</v>
      </c>
      <c r="J16" s="129">
        <v>2.9000000000000001E-2</v>
      </c>
      <c r="K16" s="129">
        <v>-4.4999999999999998E-2</v>
      </c>
      <c r="L16" s="129">
        <v>-3.2000000000000001E-2</v>
      </c>
      <c r="M16" s="56">
        <f t="shared" si="7"/>
        <v>0.1560991662377767</v>
      </c>
      <c r="N16" s="10" t="s">
        <v>209</v>
      </c>
      <c r="O16" s="48">
        <v>12</v>
      </c>
      <c r="P16" s="57">
        <f t="shared" si="4"/>
        <v>1.0243669583118891</v>
      </c>
      <c r="Q16" s="57">
        <f t="shared" si="1"/>
        <v>1.0313831703551211</v>
      </c>
      <c r="R16" s="57">
        <f t="shared" si="1"/>
        <v>0.95721178589809575</v>
      </c>
      <c r="S16" s="57">
        <f t="shared" si="1"/>
        <v>0.97024189397838401</v>
      </c>
      <c r="T16" s="57">
        <f t="shared" si="1"/>
        <v>1.1587766990468709</v>
      </c>
      <c r="V16" s="77">
        <f>1.002*0.968</f>
        <v>0.96993600000000002</v>
      </c>
    </row>
    <row r="17" spans="1:20" x14ac:dyDescent="0.3">
      <c r="A17" t="s">
        <v>210</v>
      </c>
      <c r="B17" t="s">
        <v>211</v>
      </c>
      <c r="C17" s="122">
        <v>2699</v>
      </c>
      <c r="D17" s="123">
        <v>2667</v>
      </c>
      <c r="E17" s="83">
        <f t="shared" si="2"/>
        <v>1.1998500187476502E-2</v>
      </c>
      <c r="F17" s="126">
        <v>1.1485735457576807E-2</v>
      </c>
      <c r="G17" s="92">
        <f t="shared" si="0"/>
        <v>2.3622047244094446E-2</v>
      </c>
      <c r="H17" s="93">
        <f t="shared" si="3"/>
        <v>1.0236220472440944</v>
      </c>
      <c r="I17" s="90">
        <f t="shared" ref="I17:J17" si="8">I13</f>
        <v>1.9E-2</v>
      </c>
      <c r="J17" s="46">
        <f t="shared" si="8"/>
        <v>-2.4E-2</v>
      </c>
      <c r="K17" s="46">
        <f>K13</f>
        <v>-1.4E-2</v>
      </c>
      <c r="L17" s="46">
        <f>L13</f>
        <v>-3.5000000000000003E-2</v>
      </c>
      <c r="M17" s="56">
        <f t="shared" si="7"/>
        <v>0.17017204724409443</v>
      </c>
      <c r="N17" s="10" t="s">
        <v>211</v>
      </c>
      <c r="O17" s="48">
        <v>13</v>
      </c>
      <c r="P17" s="57">
        <f t="shared" si="4"/>
        <v>1.0312264716910384</v>
      </c>
      <c r="Q17" s="57">
        <f t="shared" si="1"/>
        <v>0.98771053618297699</v>
      </c>
      <c r="R17" s="57">
        <f t="shared" si="1"/>
        <v>0.99783052118485183</v>
      </c>
      <c r="S17" s="57">
        <f t="shared" si="1"/>
        <v>0.97657855268091476</v>
      </c>
      <c r="T17" s="57">
        <f t="shared" si="1"/>
        <v>1.1842123567723324</v>
      </c>
    </row>
    <row r="18" spans="1:20" x14ac:dyDescent="0.3">
      <c r="A18" t="s">
        <v>210</v>
      </c>
      <c r="B18" t="s">
        <v>212</v>
      </c>
      <c r="C18" s="122">
        <v>2750</v>
      </c>
      <c r="D18" s="123">
        <v>2741</v>
      </c>
      <c r="E18" s="83">
        <f t="shared" si="2"/>
        <v>3.2834731849689103E-3</v>
      </c>
      <c r="F18" s="126">
        <v>1.9636363636363674E-2</v>
      </c>
      <c r="G18" s="92">
        <f t="shared" si="0"/>
        <v>2.2984312294782816E-2</v>
      </c>
      <c r="H18" s="93">
        <f t="shared" si="3"/>
        <v>1.0229843122947828</v>
      </c>
      <c r="I18" s="90">
        <f>I17</f>
        <v>1.9E-2</v>
      </c>
      <c r="J18" s="46">
        <f t="shared" ref="J18:L18" si="9">J17</f>
        <v>-2.4E-2</v>
      </c>
      <c r="K18" s="46">
        <f t="shared" si="9"/>
        <v>-1.4E-2</v>
      </c>
      <c r="L18" s="46">
        <f t="shared" si="9"/>
        <v>-3.5000000000000003E-2</v>
      </c>
      <c r="M18" s="56">
        <f t="shared" si="7"/>
        <v>0.1695343122947828</v>
      </c>
      <c r="N18" s="10" t="s">
        <v>212</v>
      </c>
      <c r="O18" s="48">
        <v>14</v>
      </c>
      <c r="P18" s="57">
        <f t="shared" si="4"/>
        <v>1.0223458591754833</v>
      </c>
      <c r="Q18" s="57">
        <f t="shared" si="1"/>
        <v>0.97920466982852961</v>
      </c>
      <c r="R18" s="57">
        <f t="shared" si="1"/>
        <v>0.98923750456037929</v>
      </c>
      <c r="S18" s="57">
        <f t="shared" si="1"/>
        <v>0.96816855162349502</v>
      </c>
      <c r="T18" s="57">
        <f t="shared" si="1"/>
        <v>1.1733744468481038</v>
      </c>
    </row>
    <row r="19" spans="1:20" x14ac:dyDescent="0.3">
      <c r="A19" t="s">
        <v>213</v>
      </c>
      <c r="B19" t="s">
        <v>214</v>
      </c>
      <c r="C19" s="122">
        <v>1721</v>
      </c>
      <c r="D19" s="123">
        <v>1672</v>
      </c>
      <c r="E19" s="83">
        <f t="shared" si="2"/>
        <v>2.9306220095693725E-2</v>
      </c>
      <c r="F19" s="126">
        <v>3.6606624055781412E-2</v>
      </c>
      <c r="G19" s="92">
        <f t="shared" si="0"/>
        <v>6.698564593301426E-2</v>
      </c>
      <c r="H19" s="93">
        <f t="shared" si="3"/>
        <v>1.0669856459330143</v>
      </c>
      <c r="I19" s="90">
        <f t="shared" ref="I19:I21" si="10">I18</f>
        <v>1.9E-2</v>
      </c>
      <c r="J19" s="46">
        <f t="shared" ref="J19:J21" si="11">J18</f>
        <v>-2.4E-2</v>
      </c>
      <c r="K19" s="46">
        <f t="shared" ref="K19:K21" si="12">K18</f>
        <v>-1.4E-2</v>
      </c>
      <c r="L19" s="46">
        <f t="shared" ref="L19:L21" si="13">L18</f>
        <v>-3.5000000000000003E-2</v>
      </c>
      <c r="M19" s="56">
        <f t="shared" si="7"/>
        <v>0.21353564593301422</v>
      </c>
      <c r="N19" s="10" t="s">
        <v>214</v>
      </c>
      <c r="O19" s="48">
        <v>15</v>
      </c>
      <c r="P19" s="57">
        <f t="shared" si="4"/>
        <v>1.0488630382775117</v>
      </c>
      <c r="Q19" s="57">
        <f t="shared" si="1"/>
        <v>1.0046028708133972</v>
      </c>
      <c r="R19" s="57">
        <f t="shared" si="1"/>
        <v>1.0148959330143541</v>
      </c>
      <c r="S19" s="57">
        <f t="shared" si="1"/>
        <v>0.99328050239234444</v>
      </c>
      <c r="T19" s="57">
        <f t="shared" si="1"/>
        <v>1.249099788666697</v>
      </c>
    </row>
    <row r="20" spans="1:20" x14ac:dyDescent="0.3">
      <c r="A20" t="s">
        <v>213</v>
      </c>
      <c r="B20" t="s">
        <v>215</v>
      </c>
      <c r="C20" s="122">
        <v>2619</v>
      </c>
      <c r="D20" s="123">
        <v>2553</v>
      </c>
      <c r="E20" s="83">
        <f t="shared" si="2"/>
        <v>2.5851938895417259E-2</v>
      </c>
      <c r="F20" s="126">
        <v>2.5964108438335298E-2</v>
      </c>
      <c r="G20" s="92">
        <f t="shared" si="0"/>
        <v>5.2487269878574327E-2</v>
      </c>
      <c r="H20" s="93">
        <f t="shared" si="3"/>
        <v>1.0524872698785743</v>
      </c>
      <c r="I20" s="90">
        <f t="shared" si="10"/>
        <v>1.9E-2</v>
      </c>
      <c r="J20" s="46">
        <f t="shared" si="11"/>
        <v>-2.4E-2</v>
      </c>
      <c r="K20" s="46">
        <f t="shared" si="12"/>
        <v>-1.4E-2</v>
      </c>
      <c r="L20" s="46">
        <f t="shared" si="13"/>
        <v>-3.5000000000000003E-2</v>
      </c>
      <c r="M20" s="56">
        <f t="shared" si="7"/>
        <v>0.19903726987857429</v>
      </c>
      <c r="N20" s="10" t="s">
        <v>215</v>
      </c>
      <c r="O20" s="48">
        <v>16</v>
      </c>
      <c r="P20" s="57">
        <f t="shared" si="4"/>
        <v>1.0453431257344301</v>
      </c>
      <c r="Q20" s="57">
        <f t="shared" si="1"/>
        <v>1.0012314923619272</v>
      </c>
      <c r="R20" s="57">
        <f t="shared" si="1"/>
        <v>1.0114900117508814</v>
      </c>
      <c r="S20" s="57">
        <f t="shared" si="1"/>
        <v>0.98994712103407767</v>
      </c>
      <c r="T20" s="57">
        <f t="shared" si="1"/>
        <v>1.2300347081128031</v>
      </c>
    </row>
    <row r="21" spans="1:20" x14ac:dyDescent="0.3">
      <c r="A21" t="s">
        <v>216</v>
      </c>
      <c r="B21" t="s">
        <v>217</v>
      </c>
      <c r="C21" s="122">
        <v>2558</v>
      </c>
      <c r="D21" s="123">
        <v>2512</v>
      </c>
      <c r="E21" s="83">
        <f t="shared" si="2"/>
        <v>1.8312101910828105E-2</v>
      </c>
      <c r="F21" s="126">
        <v>3.8702111024237595E-2</v>
      </c>
      <c r="G21" s="92">
        <f t="shared" si="0"/>
        <v>5.7722929936305789E-2</v>
      </c>
      <c r="H21" s="93">
        <f t="shared" si="3"/>
        <v>1.0577229299363058</v>
      </c>
      <c r="I21" s="90">
        <f t="shared" si="10"/>
        <v>1.9E-2</v>
      </c>
      <c r="J21" s="46">
        <f t="shared" si="11"/>
        <v>-2.4E-2</v>
      </c>
      <c r="K21" s="46">
        <f t="shared" si="12"/>
        <v>-1.4E-2</v>
      </c>
      <c r="L21" s="46">
        <f t="shared" si="13"/>
        <v>-3.5000000000000003E-2</v>
      </c>
      <c r="M21" s="56">
        <f t="shared" si="7"/>
        <v>0.20427292993630575</v>
      </c>
      <c r="N21" s="10" t="s">
        <v>217</v>
      </c>
      <c r="O21" s="48">
        <v>17</v>
      </c>
      <c r="P21" s="57">
        <f t="shared" si="4"/>
        <v>1.0376600318471338</v>
      </c>
      <c r="Q21" s="57">
        <f t="shared" ref="Q21:Q30" si="14">(1+$E21)*(1+J21)</f>
        <v>0.99387261146496819</v>
      </c>
      <c r="R21" s="57">
        <f t="shared" ref="R21:R30" si="15">(1+$E21)*(1+K21)</f>
        <v>1.0040557324840764</v>
      </c>
      <c r="S21" s="57">
        <f t="shared" ref="S21:S30" si="16">(1+$E21)*(1+L21)</f>
        <v>0.98267117834394913</v>
      </c>
      <c r="T21" s="57">
        <f t="shared" ref="T21:T30" si="17">(1+$E21)*(1+M21)</f>
        <v>1.2263256985577509</v>
      </c>
    </row>
    <row r="22" spans="1:20" x14ac:dyDescent="0.3">
      <c r="A22" t="s">
        <v>218</v>
      </c>
      <c r="B22" t="s">
        <v>221</v>
      </c>
      <c r="C22" s="122">
        <v>1596</v>
      </c>
      <c r="D22" s="123">
        <v>1564</v>
      </c>
      <c r="E22" s="83">
        <f t="shared" si="2"/>
        <v>2.0460358056265893E-2</v>
      </c>
      <c r="F22" s="126">
        <v>3.5999999999999997E-2</v>
      </c>
      <c r="G22" s="92">
        <f t="shared" si="0"/>
        <v>5.7196930946291413E-2</v>
      </c>
      <c r="H22" s="93">
        <f t="shared" si="3"/>
        <v>1.0571969309462914</v>
      </c>
      <c r="I22" s="128">
        <v>3.7999999999999999E-2</v>
      </c>
      <c r="J22" s="129">
        <v>3.3000000000000002E-2</v>
      </c>
      <c r="K22" s="129">
        <v>3.2000000000000001E-2</v>
      </c>
      <c r="L22" s="129">
        <v>3.5000000000000003E-2</v>
      </c>
      <c r="M22" s="56">
        <f>(1+G22)-(0.5*(1+I22))-(0.13*(1+J22))-(0.14*(1+K22))-(0.1*(1+L22))</f>
        <v>0.15592693094629134</v>
      </c>
      <c r="N22" s="10" t="s">
        <v>221</v>
      </c>
      <c r="O22" s="48">
        <v>18</v>
      </c>
      <c r="P22" s="57">
        <f t="shared" si="4"/>
        <v>1.0592378516624041</v>
      </c>
      <c r="Q22" s="57">
        <f t="shared" si="14"/>
        <v>1.0541355498721225</v>
      </c>
      <c r="R22" s="57">
        <f t="shared" si="15"/>
        <v>1.0531150895140664</v>
      </c>
      <c r="S22" s="57">
        <f t="shared" si="16"/>
        <v>1.0561764705882351</v>
      </c>
      <c r="T22" s="57">
        <f t="shared" si="17"/>
        <v>1.179577609840333</v>
      </c>
    </row>
    <row r="23" spans="1:20" x14ac:dyDescent="0.3">
      <c r="B23" t="s">
        <v>222</v>
      </c>
      <c r="C23" s="122">
        <v>1893</v>
      </c>
      <c r="D23" s="123">
        <v>1848</v>
      </c>
      <c r="E23" s="83">
        <f t="shared" si="2"/>
        <v>2.4350649350649345E-2</v>
      </c>
      <c r="F23" s="126">
        <v>0.03</v>
      </c>
      <c r="G23" s="92">
        <f t="shared" si="0"/>
        <v>5.5081168831168759E-2</v>
      </c>
      <c r="H23" s="93">
        <f t="shared" si="3"/>
        <v>1.0550811688311688</v>
      </c>
      <c r="I23" s="128">
        <v>3.9E-2</v>
      </c>
      <c r="J23" s="129">
        <v>3.2000000000000001E-2</v>
      </c>
      <c r="K23" s="129">
        <v>1.4999999999999999E-2</v>
      </c>
      <c r="L23" s="129">
        <v>2.4E-2</v>
      </c>
      <c r="M23" s="56">
        <f t="shared" ref="M23:M24" si="18">(1+G23)-(0.5*(1+I23))-(0.13*(1+J23))-(0.14*(1+K23))-(0.1*(1+L23))</f>
        <v>0.1569211688311688</v>
      </c>
      <c r="N23" s="10" t="s">
        <v>222</v>
      </c>
      <c r="O23" s="48">
        <v>19</v>
      </c>
      <c r="P23" s="57">
        <f t="shared" si="4"/>
        <v>1.0643003246753246</v>
      </c>
      <c r="Q23" s="57">
        <f t="shared" si="14"/>
        <v>1.0571298701298701</v>
      </c>
      <c r="R23" s="57">
        <f t="shared" si="15"/>
        <v>1.0397159090909089</v>
      </c>
      <c r="S23" s="57">
        <f t="shared" si="16"/>
        <v>1.0489350649350651</v>
      </c>
      <c r="T23" s="57">
        <f t="shared" si="17"/>
        <v>1.1850929505397199</v>
      </c>
    </row>
    <row r="24" spans="1:20" x14ac:dyDescent="0.3">
      <c r="A24" t="s">
        <v>219</v>
      </c>
      <c r="B24" t="s">
        <v>220</v>
      </c>
      <c r="C24" s="122">
        <v>2755</v>
      </c>
      <c r="D24" s="123">
        <v>2728</v>
      </c>
      <c r="E24" s="83">
        <f t="shared" si="2"/>
        <v>9.8973607038124189E-3</v>
      </c>
      <c r="F24" s="126">
        <v>2.4E-2</v>
      </c>
      <c r="G24" s="92">
        <f t="shared" si="0"/>
        <v>3.4134897360703853E-2</v>
      </c>
      <c r="H24" s="93">
        <f t="shared" si="3"/>
        <v>1.0341348973607039</v>
      </c>
      <c r="I24" s="128">
        <v>2.7E-2</v>
      </c>
      <c r="J24" s="129">
        <v>2.1000000000000001E-2</v>
      </c>
      <c r="K24" s="129">
        <v>4.3999999999999997E-2</v>
      </c>
      <c r="L24" s="129">
        <v>-7.0000000000000001E-3</v>
      </c>
      <c r="M24" s="56">
        <f t="shared" si="18"/>
        <v>0.14244489736070387</v>
      </c>
      <c r="N24" s="10" t="s">
        <v>220</v>
      </c>
      <c r="O24" s="48">
        <v>20</v>
      </c>
      <c r="P24" s="57">
        <f t="shared" si="4"/>
        <v>1.0371645894428152</v>
      </c>
      <c r="Q24" s="57">
        <f t="shared" si="14"/>
        <v>1.0311052052785923</v>
      </c>
      <c r="R24" s="57">
        <f t="shared" si="15"/>
        <v>1.0543328445747802</v>
      </c>
      <c r="S24" s="57">
        <f t="shared" si="16"/>
        <v>1.0028280791788857</v>
      </c>
      <c r="T24" s="57">
        <f t="shared" si="17"/>
        <v>1.1537520865941127</v>
      </c>
    </row>
    <row r="25" spans="1:20" x14ac:dyDescent="0.3">
      <c r="A25" t="s">
        <v>223</v>
      </c>
      <c r="B25" t="s">
        <v>224</v>
      </c>
      <c r="C25" s="122">
        <v>1647</v>
      </c>
      <c r="D25" s="123">
        <v>1637</v>
      </c>
      <c r="E25" s="83">
        <f t="shared" si="2"/>
        <v>6.108735491753281E-3</v>
      </c>
      <c r="F25" s="126">
        <v>3.0000000000000001E-3</v>
      </c>
      <c r="G25" s="92">
        <f t="shared" si="0"/>
        <v>9.1270616982284114E-3</v>
      </c>
      <c r="H25" s="93">
        <f t="shared" si="3"/>
        <v>1.0091270616982284</v>
      </c>
      <c r="I25" s="128">
        <v>3.3000000000000002E-2</v>
      </c>
      <c r="J25" s="129">
        <v>-7.0000000000000001E-3</v>
      </c>
      <c r="K25" s="129">
        <v>-6.6000000000000003E-2</v>
      </c>
      <c r="L25" s="129">
        <v>1.2E-2</v>
      </c>
      <c r="M25" s="56">
        <f>M7</f>
        <v>0.17934756154203435</v>
      </c>
      <c r="N25" s="10" t="s">
        <v>224</v>
      </c>
      <c r="O25" s="48">
        <v>21</v>
      </c>
      <c r="P25" s="57">
        <f t="shared" si="4"/>
        <v>1.039310323762981</v>
      </c>
      <c r="Q25" s="57">
        <f t="shared" si="14"/>
        <v>0.99906597434331101</v>
      </c>
      <c r="R25" s="57">
        <f t="shared" si="15"/>
        <v>0.93970555894929753</v>
      </c>
      <c r="S25" s="57">
        <f t="shared" si="16"/>
        <v>1.0181820403176542</v>
      </c>
      <c r="T25" s="57">
        <f t="shared" si="17"/>
        <v>1.1865518838483389</v>
      </c>
    </row>
    <row r="26" spans="1:20" x14ac:dyDescent="0.3">
      <c r="A26" t="s">
        <v>223</v>
      </c>
      <c r="B26" t="s">
        <v>225</v>
      </c>
      <c r="C26" s="122">
        <v>1902</v>
      </c>
      <c r="D26" s="123">
        <v>1847</v>
      </c>
      <c r="E26" s="83">
        <f t="shared" si="2"/>
        <v>2.9778018408229467E-2</v>
      </c>
      <c r="F26" s="126">
        <v>4.3112513144058839E-2</v>
      </c>
      <c r="G26" s="92">
        <f t="shared" si="0"/>
        <v>7.4174336762317106E-2</v>
      </c>
      <c r="H26" s="93">
        <f t="shared" si="3"/>
        <v>1.0741743367623171</v>
      </c>
      <c r="I26" s="90">
        <f>I24</f>
        <v>2.7E-2</v>
      </c>
      <c r="J26" s="46">
        <f t="shared" ref="J26:L26" si="19">J24</f>
        <v>2.1000000000000001E-2</v>
      </c>
      <c r="K26" s="46">
        <f t="shared" si="19"/>
        <v>4.3999999999999997E-2</v>
      </c>
      <c r="L26" s="46">
        <f t="shared" si="19"/>
        <v>-7.0000000000000001E-3</v>
      </c>
      <c r="M26" s="56">
        <f>M8</f>
        <v>0.21697765283355644</v>
      </c>
      <c r="N26" s="10" t="s">
        <v>225</v>
      </c>
      <c r="O26" s="48">
        <v>22</v>
      </c>
      <c r="P26" s="57">
        <f t="shared" si="4"/>
        <v>1.0575820249052517</v>
      </c>
      <c r="Q26" s="57">
        <f t="shared" si="14"/>
        <v>1.0514033567948022</v>
      </c>
      <c r="R26" s="57">
        <f t="shared" si="15"/>
        <v>1.0750882512181916</v>
      </c>
      <c r="S26" s="57">
        <f t="shared" si="16"/>
        <v>1.022569572279372</v>
      </c>
      <c r="T26" s="57">
        <f t="shared" si="17"/>
        <v>1.2532168357820381</v>
      </c>
    </row>
    <row r="27" spans="1:20" x14ac:dyDescent="0.3">
      <c r="B27" t="s">
        <v>226</v>
      </c>
      <c r="C27" s="122">
        <v>2312</v>
      </c>
      <c r="D27" s="123">
        <v>2242</v>
      </c>
      <c r="E27" s="83">
        <f t="shared" si="2"/>
        <v>3.1222123104371002E-2</v>
      </c>
      <c r="F27" s="126">
        <v>1.6E-2</v>
      </c>
      <c r="G27" s="92">
        <f t="shared" si="0"/>
        <v>4.7721677074040958E-2</v>
      </c>
      <c r="H27" s="93">
        <f t="shared" si="3"/>
        <v>1.047721677074041</v>
      </c>
      <c r="I27" s="128">
        <v>0.06</v>
      </c>
      <c r="J27" s="129">
        <v>2.4E-2</v>
      </c>
      <c r="K27" s="129">
        <v>-6.8000000000000005E-2</v>
      </c>
      <c r="L27" s="129">
        <v>3.0000000000000001E-3</v>
      </c>
      <c r="M27" s="56">
        <f>M11</f>
        <v>0.17118354597896163</v>
      </c>
      <c r="N27" s="10" t="s">
        <v>226</v>
      </c>
      <c r="O27" s="48">
        <v>23</v>
      </c>
      <c r="P27" s="57">
        <f t="shared" si="4"/>
        <v>1.0930954504906334</v>
      </c>
      <c r="Q27" s="57">
        <f t="shared" si="14"/>
        <v>1.0559714540588758</v>
      </c>
      <c r="R27" s="57">
        <f t="shared" si="15"/>
        <v>0.96109901873327375</v>
      </c>
      <c r="S27" s="57">
        <f t="shared" si="16"/>
        <v>1.0343157894736841</v>
      </c>
      <c r="T27" s="57">
        <f t="shared" si="17"/>
        <v>1.2077503828293306</v>
      </c>
    </row>
    <row r="28" spans="1:20" x14ac:dyDescent="0.3">
      <c r="B28" t="s">
        <v>227</v>
      </c>
      <c r="C28" s="122">
        <v>2114</v>
      </c>
      <c r="D28" s="123">
        <v>2051</v>
      </c>
      <c r="E28" s="83">
        <f t="shared" si="2"/>
        <v>3.0716723549488067E-2</v>
      </c>
      <c r="F28" s="126">
        <v>5.2980132450331174E-2</v>
      </c>
      <c r="G28" s="92">
        <f t="shared" si="0"/>
        <v>8.5324232081911422E-2</v>
      </c>
      <c r="H28" s="93">
        <f t="shared" si="3"/>
        <v>1.0853242320819114</v>
      </c>
      <c r="I28" s="128">
        <v>6.8000000000000005E-2</v>
      </c>
      <c r="J28" s="129">
        <v>3.7999999999999999E-2</v>
      </c>
      <c r="K28" s="129">
        <v>6.6000000000000003E-2</v>
      </c>
      <c r="L28" s="129">
        <v>4.4999999999999998E-2</v>
      </c>
      <c r="M28" s="56">
        <f t="shared" ref="M28:M30" si="20">(1+G28)-(0.5*(1+I28))-(0.13*(1+J28))-(0.14*(1+K28))-(0.1*(1+L28))</f>
        <v>0.16264423208191142</v>
      </c>
      <c r="N28" s="10" t="s">
        <v>227</v>
      </c>
      <c r="O28" s="48">
        <v>24</v>
      </c>
      <c r="P28" s="57">
        <f t="shared" si="4"/>
        <v>1.1008054607508533</v>
      </c>
      <c r="Q28" s="57">
        <f t="shared" si="14"/>
        <v>1.0698839590443687</v>
      </c>
      <c r="R28" s="57">
        <f t="shared" si="15"/>
        <v>1.0987440273037543</v>
      </c>
      <c r="S28" s="57">
        <f t="shared" si="16"/>
        <v>1.0770989761092149</v>
      </c>
      <c r="T28" s="57">
        <f t="shared" si="17"/>
        <v>1.1983568535451783</v>
      </c>
    </row>
    <row r="29" spans="1:20" x14ac:dyDescent="0.3">
      <c r="A29" t="s">
        <v>228</v>
      </c>
      <c r="B29" t="s">
        <v>229</v>
      </c>
      <c r="C29" s="122">
        <v>1683</v>
      </c>
      <c r="D29" s="123">
        <v>1620</v>
      </c>
      <c r="E29" s="83">
        <f t="shared" si="2"/>
        <v>3.8888888888888973E-2</v>
      </c>
      <c r="F29" s="126">
        <v>3.0897207367795554E-2</v>
      </c>
      <c r="G29" s="92">
        <f t="shared" si="0"/>
        <v>7.0987654320987748E-2</v>
      </c>
      <c r="H29" s="93">
        <f t="shared" si="3"/>
        <v>1.0709876543209877</v>
      </c>
      <c r="I29" s="90">
        <f>I10</f>
        <v>1.9E-2</v>
      </c>
      <c r="J29" s="46">
        <f t="shared" ref="J29:L29" si="21">J10</f>
        <v>3.5999999999999997E-2</v>
      </c>
      <c r="K29" s="46">
        <f t="shared" si="21"/>
        <v>2.1000000000000001E-2</v>
      </c>
      <c r="L29" s="46">
        <f t="shared" si="21"/>
        <v>-1.9E-2</v>
      </c>
      <c r="M29" s="56">
        <f t="shared" si="20"/>
        <v>0.18576765432098774</v>
      </c>
      <c r="N29" s="10" t="s">
        <v>229</v>
      </c>
      <c r="O29" s="48">
        <v>25</v>
      </c>
      <c r="P29" s="57">
        <f t="shared" si="4"/>
        <v>1.0586277777777777</v>
      </c>
      <c r="Q29" s="57">
        <f t="shared" si="14"/>
        <v>1.0762888888888891</v>
      </c>
      <c r="R29" s="57">
        <f t="shared" si="15"/>
        <v>1.0607055555555556</v>
      </c>
      <c r="S29" s="57">
        <f t="shared" si="16"/>
        <v>1.01915</v>
      </c>
      <c r="T29" s="57">
        <f t="shared" si="17"/>
        <v>1.2318808408779152</v>
      </c>
    </row>
    <row r="30" spans="1:20" ht="15" thickBot="1" x14ac:dyDescent="0.35">
      <c r="A30" t="s">
        <v>230</v>
      </c>
      <c r="B30" t="s">
        <v>231</v>
      </c>
      <c r="C30" s="124">
        <v>1061</v>
      </c>
      <c r="D30" s="125">
        <v>1043</v>
      </c>
      <c r="E30" s="84">
        <f t="shared" si="2"/>
        <v>1.7257909875359578E-2</v>
      </c>
      <c r="F30" s="127">
        <v>9.4250706880294466E-4</v>
      </c>
      <c r="G30" s="94">
        <f t="shared" si="0"/>
        <v>1.8216682646212901E-2</v>
      </c>
      <c r="H30" s="95">
        <f t="shared" si="3"/>
        <v>1.0182166826462129</v>
      </c>
      <c r="I30" s="90">
        <f>I5</f>
        <v>1.0999999999999999E-2</v>
      </c>
      <c r="J30" s="46">
        <f t="shared" ref="J30:L30" si="22">J5</f>
        <v>3.0000000000000001E-3</v>
      </c>
      <c r="K30" s="46">
        <f t="shared" si="22"/>
        <v>1E-3</v>
      </c>
      <c r="L30" s="46">
        <f t="shared" si="22"/>
        <v>-3.9E-2</v>
      </c>
      <c r="M30" s="56">
        <f t="shared" si="20"/>
        <v>0.14608668264621294</v>
      </c>
      <c r="N30" s="10" t="s">
        <v>231</v>
      </c>
      <c r="O30" s="48">
        <v>26</v>
      </c>
      <c r="P30" s="57">
        <f t="shared" si="4"/>
        <v>1.0284477468839883</v>
      </c>
      <c r="Q30" s="57">
        <f t="shared" si="14"/>
        <v>1.0203096836049856</v>
      </c>
      <c r="R30" s="57">
        <f t="shared" si="15"/>
        <v>1.0182751677852349</v>
      </c>
      <c r="S30" s="57">
        <f t="shared" si="16"/>
        <v>0.97758485139022055</v>
      </c>
      <c r="T30" s="57">
        <f t="shared" si="17"/>
        <v>1.1658657433246711</v>
      </c>
    </row>
    <row r="33" spans="3:3" ht="18" x14ac:dyDescent="0.35">
      <c r="C33" s="86" t="s">
        <v>508</v>
      </c>
    </row>
  </sheetData>
  <sheetProtection algorithmName="SHA-512" hashValue="0ogOIAFQ/avwSEuRBZmU1fzLMVl5CO9h1QP6UWA5R0cQBm1mjhpp2j3RS5veIIVsa7pD/kejuhhCvs56Da0yOw==" saltValue="3tgzwJia2azIZpCiQA5Mr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Y48"/>
  <sheetViews>
    <sheetView topLeftCell="A4" workbookViewId="0">
      <pane ySplit="4" topLeftCell="A8" activePane="bottomLeft" state="frozen"/>
      <selection activeCell="B4" sqref="B4"/>
      <selection pane="bottomLeft" activeCell="O9" sqref="O9"/>
    </sheetView>
  </sheetViews>
  <sheetFormatPr baseColWidth="10" defaultRowHeight="14.4" x14ac:dyDescent="0.3"/>
  <cols>
    <col min="3" max="3" width="21.77734375" bestFit="1" customWidth="1"/>
    <col min="4" max="4" width="25.77734375" bestFit="1" customWidth="1"/>
    <col min="5" max="5" width="18.77734375" customWidth="1"/>
    <col min="6" max="6" width="26.44140625" bestFit="1" customWidth="1"/>
    <col min="7" max="7" width="16.77734375" bestFit="1" customWidth="1"/>
    <col min="8" max="8" width="16.44140625" customWidth="1"/>
    <col min="9" max="9" width="22.44140625" bestFit="1" customWidth="1"/>
    <col min="11" max="11" width="21.77734375" bestFit="1" customWidth="1"/>
  </cols>
  <sheetData>
    <row r="3" spans="3:25" x14ac:dyDescent="0.3">
      <c r="Y3" s="113" t="s">
        <v>503</v>
      </c>
    </row>
    <row r="5" spans="3:25" x14ac:dyDescent="0.3">
      <c r="T5" s="113" t="s">
        <v>500</v>
      </c>
    </row>
    <row r="6" spans="3:25" ht="100.8" x14ac:dyDescent="0.3">
      <c r="E6" s="118" t="s">
        <v>493</v>
      </c>
      <c r="F6" s="118" t="s">
        <v>495</v>
      </c>
      <c r="G6" s="118" t="s">
        <v>494</v>
      </c>
      <c r="H6" s="118" t="s">
        <v>496</v>
      </c>
      <c r="I6" s="118" t="s">
        <v>497</v>
      </c>
      <c r="J6" s="118" t="s">
        <v>498</v>
      </c>
      <c r="M6" s="30" t="s">
        <v>93</v>
      </c>
      <c r="N6" s="24"/>
      <c r="O6" s="119" t="s">
        <v>499</v>
      </c>
      <c r="P6" s="24"/>
      <c r="Q6" s="24"/>
      <c r="R6" s="24"/>
      <c r="S6" s="25"/>
      <c r="T6" s="29" t="s">
        <v>170</v>
      </c>
      <c r="U6" s="9" t="s">
        <v>390</v>
      </c>
      <c r="V6" s="9" t="s">
        <v>391</v>
      </c>
      <c r="W6" t="s">
        <v>256</v>
      </c>
      <c r="X6" t="s">
        <v>392</v>
      </c>
      <c r="Y6" s="9" t="s">
        <v>393</v>
      </c>
    </row>
    <row r="7" spans="3:25" ht="15.6" x14ac:dyDescent="0.3">
      <c r="C7" s="10" t="s">
        <v>235</v>
      </c>
      <c r="D7" s="10" t="s">
        <v>236</v>
      </c>
      <c r="E7" s="10" t="s">
        <v>394</v>
      </c>
      <c r="F7" s="10" t="s">
        <v>395</v>
      </c>
      <c r="G7" s="37" t="s">
        <v>396</v>
      </c>
      <c r="H7" s="37" t="s">
        <v>397</v>
      </c>
      <c r="I7" s="37" t="s">
        <v>398</v>
      </c>
      <c r="J7" s="37" t="s">
        <v>399</v>
      </c>
      <c r="K7" s="10" t="s">
        <v>235</v>
      </c>
      <c r="L7" s="10" t="s">
        <v>236</v>
      </c>
      <c r="M7" s="29" t="s">
        <v>8</v>
      </c>
      <c r="N7" s="26" t="s">
        <v>96</v>
      </c>
      <c r="O7" s="27" t="s">
        <v>3</v>
      </c>
      <c r="P7" s="10" t="s">
        <v>4</v>
      </c>
      <c r="Q7" s="10" t="s">
        <v>5</v>
      </c>
      <c r="R7" s="10" t="s">
        <v>6</v>
      </c>
      <c r="S7" s="10" t="s">
        <v>7</v>
      </c>
      <c r="T7" s="10"/>
    </row>
    <row r="8" spans="3:25" x14ac:dyDescent="0.3">
      <c r="C8" s="10" t="s">
        <v>244</v>
      </c>
      <c r="D8" s="10">
        <v>34200</v>
      </c>
      <c r="E8" s="10"/>
      <c r="F8" s="123">
        <v>8332</v>
      </c>
      <c r="G8" s="123">
        <v>6700</v>
      </c>
      <c r="H8" s="130">
        <f>21560*M25</f>
        <v>29321.600000000002</v>
      </c>
      <c r="I8" s="28">
        <f>F8*$J$24/24</f>
        <v>2069.1133333333332</v>
      </c>
      <c r="J8" s="28">
        <f>G8*$J$24/24</f>
        <v>1663.8333333333333</v>
      </c>
      <c r="K8" s="10" t="s">
        <v>244</v>
      </c>
      <c r="L8" s="10">
        <v>34200</v>
      </c>
      <c r="M8" s="28">
        <f t="shared" ref="M8:M20" si="0">I8+J8</f>
        <v>3732.9466666666667</v>
      </c>
      <c r="N8" s="28">
        <f t="shared" ref="N8:N20" si="1">I8</f>
        <v>2069.1133333333332</v>
      </c>
      <c r="O8" s="28">
        <f>$J$8*E28</f>
        <v>725.15582147477357</v>
      </c>
      <c r="P8" s="28">
        <f t="shared" ref="P8:S8" si="2">$J$8*F28</f>
        <v>242.579581716257</v>
      </c>
      <c r="Q8" s="28">
        <f t="shared" si="2"/>
        <v>307.58316084519191</v>
      </c>
      <c r="R8" s="28">
        <f t="shared" si="2"/>
        <v>160.35651142733934</v>
      </c>
      <c r="S8" s="28">
        <f t="shared" si="2"/>
        <v>228.15825786977143</v>
      </c>
      <c r="T8" s="28">
        <f>U8*Y8</f>
        <v>446.75686289416848</v>
      </c>
      <c r="U8" s="28">
        <f t="shared" ref="U8:U20" si="3">V8/X8</f>
        <v>398.89005615550752</v>
      </c>
      <c r="V8" s="28">
        <f>H8*$J$22*$J$25/1000</f>
        <v>16252.376447999999</v>
      </c>
      <c r="W8" s="87">
        <v>22</v>
      </c>
      <c r="X8" s="23">
        <f t="shared" ref="X8:X17" si="4">W8*1.852</f>
        <v>40.744</v>
      </c>
      <c r="Y8" s="87">
        <v>1.1200000000000001</v>
      </c>
    </row>
    <row r="9" spans="3:25" x14ac:dyDescent="0.3">
      <c r="C9" s="10" t="s">
        <v>244</v>
      </c>
      <c r="D9" s="10">
        <v>50300</v>
      </c>
      <c r="E9" s="10"/>
      <c r="F9" s="123">
        <v>12211</v>
      </c>
      <c r="G9" s="123">
        <v>8000</v>
      </c>
      <c r="H9" s="130">
        <f>32904*M25</f>
        <v>44749.440000000002</v>
      </c>
      <c r="I9" s="28">
        <f>F9*$J$24/24</f>
        <v>3032.3983333333331</v>
      </c>
      <c r="J9" s="28">
        <f>G9*$J$24/24</f>
        <v>1986.6666666666667</v>
      </c>
      <c r="K9" s="10" t="s">
        <v>244</v>
      </c>
      <c r="L9" s="10">
        <v>50300</v>
      </c>
      <c r="M9" s="28">
        <f t="shared" si="0"/>
        <v>5019.0649999999996</v>
      </c>
      <c r="N9" s="28">
        <f t="shared" si="1"/>
        <v>3032.3983333333331</v>
      </c>
      <c r="O9" s="28">
        <f>$J$9*E28</f>
        <v>865.85769728331184</v>
      </c>
      <c r="P9" s="28">
        <f t="shared" ref="P9:S9" si="5">$J$9*F28</f>
        <v>289.64726175075464</v>
      </c>
      <c r="Q9" s="28">
        <f t="shared" si="5"/>
        <v>367.26347563605003</v>
      </c>
      <c r="R9" s="28">
        <f t="shared" si="5"/>
        <v>191.47046140577834</v>
      </c>
      <c r="S9" s="28">
        <f t="shared" si="5"/>
        <v>272.4277705907719</v>
      </c>
      <c r="T9" s="28">
        <f t="shared" ref="T9:T20" si="6">U9*Y9</f>
        <v>617.28763822414214</v>
      </c>
      <c r="U9" s="28">
        <f t="shared" si="3"/>
        <v>551.1496769858411</v>
      </c>
      <c r="V9" s="28">
        <f>H9*$J$22*$J$25/1000</f>
        <v>24803.719603199999</v>
      </c>
      <c r="W9" s="87">
        <v>24.3</v>
      </c>
      <c r="X9" s="23">
        <f t="shared" si="4"/>
        <v>45.003600000000006</v>
      </c>
      <c r="Y9" s="87">
        <v>1.1200000000000001</v>
      </c>
    </row>
    <row r="10" spans="3:25" x14ac:dyDescent="0.3">
      <c r="C10" s="10" t="s">
        <v>400</v>
      </c>
      <c r="D10" s="10">
        <v>3500</v>
      </c>
      <c r="E10" s="123">
        <v>7500000</v>
      </c>
      <c r="F10" s="28">
        <f>E10*G39/350</f>
        <v>3728.8877269676168</v>
      </c>
      <c r="G10" s="10"/>
      <c r="H10" s="123">
        <f>M25*7000</f>
        <v>9520</v>
      </c>
      <c r="I10" s="28">
        <f>F10*$J$24/24</f>
        <v>926.00711886362478</v>
      </c>
      <c r="J10" s="10">
        <f>(505+112+122+94+103)*0.95</f>
        <v>889.19999999999993</v>
      </c>
      <c r="K10" s="10" t="s">
        <v>400</v>
      </c>
      <c r="L10" s="10">
        <v>3500</v>
      </c>
      <c r="M10" s="28">
        <f t="shared" si="0"/>
        <v>1815.2071188636246</v>
      </c>
      <c r="N10" s="28">
        <f t="shared" si="1"/>
        <v>926.00711886362478</v>
      </c>
      <c r="O10" s="28">
        <f>$J$10*E33</f>
        <v>461.31220876048462</v>
      </c>
      <c r="P10" s="28">
        <f t="shared" ref="P10:S10" si="7">$J$10*F33</f>
        <v>105.24547996272133</v>
      </c>
      <c r="Q10" s="28">
        <f t="shared" si="7"/>
        <v>149.30493942218078</v>
      </c>
      <c r="R10" s="28">
        <f t="shared" si="7"/>
        <v>69.749301025163092</v>
      </c>
      <c r="S10" s="28">
        <f t="shared" si="7"/>
        <v>103.58807082945013</v>
      </c>
      <c r="T10" s="28">
        <f t="shared" si="6"/>
        <v>193.1134398848092</v>
      </c>
      <c r="U10" s="28">
        <f t="shared" si="3"/>
        <v>158.2897048236141</v>
      </c>
      <c r="V10" s="28">
        <f>H10*$J$22*$J$25/1000</f>
        <v>5276.7455999999993</v>
      </c>
      <c r="W10" s="87">
        <v>18</v>
      </c>
      <c r="X10" s="23">
        <f t="shared" si="4"/>
        <v>33.335999999999999</v>
      </c>
      <c r="Y10" s="87">
        <v>1.22</v>
      </c>
    </row>
    <row r="11" spans="3:25" x14ac:dyDescent="0.3">
      <c r="C11" s="10" t="s">
        <v>400</v>
      </c>
      <c r="D11" s="10">
        <v>8000</v>
      </c>
      <c r="E11" s="123"/>
      <c r="F11" s="28"/>
      <c r="G11" s="10"/>
      <c r="H11" s="123">
        <v>14600</v>
      </c>
      <c r="I11" s="28"/>
      <c r="J11" s="10"/>
      <c r="K11" s="10" t="s">
        <v>400</v>
      </c>
      <c r="L11" s="10">
        <f>D11</f>
        <v>8000</v>
      </c>
      <c r="M11" s="28"/>
      <c r="N11" s="28"/>
      <c r="O11" s="28"/>
      <c r="P11" s="28"/>
      <c r="Q11" s="28"/>
      <c r="R11" s="28"/>
      <c r="S11" s="28"/>
      <c r="T11" s="28">
        <f t="shared" ref="T11:T12" si="8">U11*Y11</f>
        <v>264.47542343980899</v>
      </c>
      <c r="U11" s="28">
        <f t="shared" ref="U11:U12" si="9">V11/X11</f>
        <v>229.9786290780948</v>
      </c>
      <c r="V11" s="28">
        <f t="shared" ref="V11:V12" si="10">H11*$J$22*$J$25/1000</f>
        <v>8092.4880000000003</v>
      </c>
      <c r="W11" s="87">
        <v>19</v>
      </c>
      <c r="X11" s="23">
        <f t="shared" si="4"/>
        <v>35.188000000000002</v>
      </c>
      <c r="Y11" s="87">
        <v>1.1499999999999999</v>
      </c>
    </row>
    <row r="12" spans="3:25" x14ac:dyDescent="0.3">
      <c r="C12" s="10" t="s">
        <v>400</v>
      </c>
      <c r="D12" s="10">
        <v>15000</v>
      </c>
      <c r="E12" s="123"/>
      <c r="F12" s="28"/>
      <c r="G12" s="10"/>
      <c r="H12" s="130">
        <f>19940*M25</f>
        <v>27118.400000000001</v>
      </c>
      <c r="I12" s="28"/>
      <c r="J12" s="10"/>
      <c r="K12" s="10" t="s">
        <v>400</v>
      </c>
      <c r="L12" s="10">
        <f>D12</f>
        <v>15000</v>
      </c>
      <c r="M12" s="28"/>
      <c r="N12" s="28"/>
      <c r="O12" s="28"/>
      <c r="P12" s="28"/>
      <c r="Q12" s="28"/>
      <c r="R12" s="28"/>
      <c r="S12" s="28"/>
      <c r="T12" s="28">
        <f t="shared" si="8"/>
        <v>491.24317280891205</v>
      </c>
      <c r="U12" s="28">
        <f t="shared" si="9"/>
        <v>427.16797635557572</v>
      </c>
      <c r="V12" s="28">
        <f t="shared" si="10"/>
        <v>15031.186752</v>
      </c>
      <c r="W12" s="87">
        <v>19</v>
      </c>
      <c r="X12" s="23">
        <f t="shared" si="4"/>
        <v>35.188000000000002</v>
      </c>
      <c r="Y12" s="87">
        <v>1.1499999999999999</v>
      </c>
    </row>
    <row r="13" spans="3:25" x14ac:dyDescent="0.3">
      <c r="C13" s="10" t="s">
        <v>401</v>
      </c>
      <c r="D13" s="10">
        <v>3500</v>
      </c>
      <c r="E13" s="10"/>
      <c r="F13" s="123">
        <v>1105</v>
      </c>
      <c r="G13" s="123">
        <v>4500</v>
      </c>
      <c r="H13" s="123">
        <v>4500</v>
      </c>
      <c r="I13" s="28">
        <f t="shared" ref="I13:J17" si="11">F13*$J$24/24</f>
        <v>274.40833333333336</v>
      </c>
      <c r="J13" s="28">
        <f t="shared" si="11"/>
        <v>1117.5</v>
      </c>
      <c r="K13" s="10" t="s">
        <v>401</v>
      </c>
      <c r="L13" s="10">
        <v>3500</v>
      </c>
      <c r="M13" s="28">
        <f t="shared" si="0"/>
        <v>1391.9083333333333</v>
      </c>
      <c r="N13" s="28">
        <f t="shared" si="1"/>
        <v>274.40833333333336</v>
      </c>
      <c r="O13" s="28">
        <f>$J$13*E29</f>
        <v>486.83349729463845</v>
      </c>
      <c r="P13" s="28">
        <f t="shared" ref="P13:S13" si="12">$J$13*F29</f>
        <v>153.91047712739794</v>
      </c>
      <c r="Q13" s="28">
        <f t="shared" si="12"/>
        <v>267.51106738809642</v>
      </c>
      <c r="R13" s="28">
        <f t="shared" si="12"/>
        <v>89.231431382193804</v>
      </c>
      <c r="S13" s="28">
        <f t="shared" si="12"/>
        <v>120.01352680767339</v>
      </c>
      <c r="T13" s="28">
        <f t="shared" si="6"/>
        <v>103.25410367170626</v>
      </c>
      <c r="U13" s="28">
        <f t="shared" si="3"/>
        <v>89.786177105831541</v>
      </c>
      <c r="V13" s="28">
        <f t="shared" ref="V13:V17" si="13">H13*$J$22*$J$25/1000</f>
        <v>2494.2600000000002</v>
      </c>
      <c r="W13" s="87">
        <v>15</v>
      </c>
      <c r="X13" s="23">
        <f t="shared" si="4"/>
        <v>27.78</v>
      </c>
      <c r="Y13" s="87">
        <v>1.1499999999999999</v>
      </c>
    </row>
    <row r="14" spans="3:25" x14ac:dyDescent="0.3">
      <c r="C14" s="10" t="s">
        <v>401</v>
      </c>
      <c r="D14" s="10">
        <v>6500</v>
      </c>
      <c r="E14" s="10"/>
      <c r="F14" s="123">
        <v>962</v>
      </c>
      <c r="G14" s="123">
        <v>5500</v>
      </c>
      <c r="H14" s="123">
        <v>5500</v>
      </c>
      <c r="I14" s="28">
        <f t="shared" si="11"/>
        <v>238.89666666666665</v>
      </c>
      <c r="J14" s="28">
        <f t="shared" si="11"/>
        <v>1365.8333333333333</v>
      </c>
      <c r="K14" s="10" t="s">
        <v>401</v>
      </c>
      <c r="L14" s="10">
        <v>6500</v>
      </c>
      <c r="M14" s="28">
        <f t="shared" si="0"/>
        <v>1604.73</v>
      </c>
      <c r="N14" s="28">
        <f t="shared" si="1"/>
        <v>238.89666666666665</v>
      </c>
      <c r="O14" s="28">
        <f>$J$14*E29</f>
        <v>595.01871891566918</v>
      </c>
      <c r="P14" s="28">
        <f t="shared" ref="P14:S14" si="14">$J$14*F29</f>
        <v>188.11280537793081</v>
      </c>
      <c r="Q14" s="28">
        <f t="shared" si="14"/>
        <v>326.95797125211783</v>
      </c>
      <c r="R14" s="28">
        <f t="shared" si="14"/>
        <v>109.06063835601465</v>
      </c>
      <c r="S14" s="28">
        <f t="shared" si="14"/>
        <v>146.6831994316008</v>
      </c>
      <c r="T14" s="28">
        <f t="shared" si="6"/>
        <v>118.31199379049674</v>
      </c>
      <c r="U14" s="28">
        <f t="shared" si="3"/>
        <v>102.87999460043196</v>
      </c>
      <c r="V14" s="28">
        <f t="shared" si="13"/>
        <v>3048.54</v>
      </c>
      <c r="W14" s="87">
        <v>16</v>
      </c>
      <c r="X14" s="23">
        <f t="shared" si="4"/>
        <v>29.632000000000001</v>
      </c>
      <c r="Y14" s="87">
        <v>1.1499999999999999</v>
      </c>
    </row>
    <row r="15" spans="3:25" x14ac:dyDescent="0.3">
      <c r="C15" s="10" t="s">
        <v>402</v>
      </c>
      <c r="D15" s="10">
        <v>3500</v>
      </c>
      <c r="E15" s="10"/>
      <c r="F15" s="123">
        <v>2299</v>
      </c>
      <c r="G15" s="123">
        <v>4600</v>
      </c>
      <c r="H15" s="130">
        <f>2*1080*M25</f>
        <v>2937.6000000000004</v>
      </c>
      <c r="I15" s="28">
        <f t="shared" si="11"/>
        <v>570.91833333333329</v>
      </c>
      <c r="J15" s="28">
        <f t="shared" si="11"/>
        <v>1142.3333333333333</v>
      </c>
      <c r="K15" s="10" t="s">
        <v>402</v>
      </c>
      <c r="L15" s="10">
        <v>3500</v>
      </c>
      <c r="M15" s="28">
        <f t="shared" si="0"/>
        <v>1713.2516666666666</v>
      </c>
      <c r="N15" s="28">
        <f t="shared" si="1"/>
        <v>570.91833333333329</v>
      </c>
      <c r="O15" s="28">
        <f>$J$15*E30</f>
        <v>635.11040965207633</v>
      </c>
      <c r="P15" s="28">
        <f t="shared" ref="P15:S15" si="15">$J$15*F30</f>
        <v>99.521464646464651</v>
      </c>
      <c r="Q15" s="28">
        <f t="shared" si="15"/>
        <v>169.23456790123456</v>
      </c>
      <c r="R15" s="28">
        <f t="shared" si="15"/>
        <v>57.693602693602692</v>
      </c>
      <c r="S15" s="28">
        <f t="shared" si="15"/>
        <v>180.77328843995511</v>
      </c>
      <c r="T15" s="28">
        <f t="shared" si="6"/>
        <v>98.309007531906545</v>
      </c>
      <c r="U15" s="28">
        <f t="shared" si="3"/>
        <v>79.926022383663863</v>
      </c>
      <c r="V15" s="28">
        <f t="shared" si="13"/>
        <v>1628.2529280000001</v>
      </c>
      <c r="W15" s="87">
        <v>11</v>
      </c>
      <c r="X15" s="23">
        <f t="shared" si="4"/>
        <v>20.372</v>
      </c>
      <c r="Y15" s="87">
        <v>1.23</v>
      </c>
    </row>
    <row r="16" spans="3:25" x14ac:dyDescent="0.3">
      <c r="C16" s="10" t="s">
        <v>402</v>
      </c>
      <c r="D16" s="10">
        <v>35000</v>
      </c>
      <c r="E16" s="10"/>
      <c r="F16" s="28">
        <f>((18696+22096)/2)-G16</f>
        <v>11670.5</v>
      </c>
      <c r="G16" s="28">
        <f>7479*(35/30)</f>
        <v>8725.5</v>
      </c>
      <c r="H16" s="130">
        <f>8560*M25</f>
        <v>11641.6</v>
      </c>
      <c r="I16" s="28">
        <f t="shared" si="11"/>
        <v>2898.1741666666662</v>
      </c>
      <c r="J16" s="28">
        <f t="shared" si="11"/>
        <v>2166.8325</v>
      </c>
      <c r="K16" s="10" t="s">
        <v>402</v>
      </c>
      <c r="L16" s="10">
        <v>35000</v>
      </c>
      <c r="M16" s="28">
        <f t="shared" si="0"/>
        <v>5065.0066666666662</v>
      </c>
      <c r="N16" s="28">
        <f t="shared" si="1"/>
        <v>2898.1741666666662</v>
      </c>
      <c r="O16" s="28">
        <f>$J$16*E32</f>
        <v>1195.6836111111111</v>
      </c>
      <c r="P16" s="28">
        <f t="shared" ref="P16:S16" si="16">$J$16*F32</f>
        <v>216.71222222222221</v>
      </c>
      <c r="Q16" s="28">
        <f t="shared" si="16"/>
        <v>312.89999999999998</v>
      </c>
      <c r="R16" s="28">
        <f t="shared" si="16"/>
        <v>146.01999999999998</v>
      </c>
      <c r="S16" s="28">
        <f t="shared" si="16"/>
        <v>295.51666666666665</v>
      </c>
      <c r="T16" s="28">
        <f t="shared" si="6"/>
        <v>234.39046119772235</v>
      </c>
      <c r="U16" s="28">
        <f t="shared" si="3"/>
        <v>211.1625776556057</v>
      </c>
      <c r="V16" s="28">
        <f t="shared" si="13"/>
        <v>6452.7060479999991</v>
      </c>
      <c r="W16" s="87">
        <v>16.5</v>
      </c>
      <c r="X16" s="23">
        <f t="shared" si="4"/>
        <v>30.558</v>
      </c>
      <c r="Y16" s="87">
        <v>1.1100000000000001</v>
      </c>
    </row>
    <row r="17" spans="3:25" x14ac:dyDescent="0.3">
      <c r="C17" s="10" t="s">
        <v>250</v>
      </c>
      <c r="D17" s="10">
        <v>9500</v>
      </c>
      <c r="E17" s="10"/>
      <c r="F17" s="123">
        <v>3017</v>
      </c>
      <c r="G17" s="123">
        <v>4752</v>
      </c>
      <c r="H17" s="130">
        <f>6480*M25</f>
        <v>8812.8000000000011</v>
      </c>
      <c r="I17" s="28">
        <f t="shared" si="11"/>
        <v>749.22166666666669</v>
      </c>
      <c r="J17" s="28">
        <f t="shared" si="11"/>
        <v>1180.08</v>
      </c>
      <c r="K17" s="10" t="s">
        <v>250</v>
      </c>
      <c r="L17" s="10">
        <v>9500</v>
      </c>
      <c r="M17" s="28">
        <f t="shared" si="0"/>
        <v>1929.3016666666667</v>
      </c>
      <c r="N17" s="28">
        <f t="shared" si="1"/>
        <v>749.22166666666669</v>
      </c>
      <c r="O17" s="28">
        <f>$J$17*E31</f>
        <v>629.15979388526273</v>
      </c>
      <c r="P17" s="28">
        <f t="shared" ref="P17:S17" si="17">$J$17*F31</f>
        <v>82.698838886980411</v>
      </c>
      <c r="Q17" s="28">
        <f t="shared" si="17"/>
        <v>167.01922363448983</v>
      </c>
      <c r="R17" s="28">
        <f t="shared" si="17"/>
        <v>110.26511851597388</v>
      </c>
      <c r="S17" s="28">
        <f t="shared" si="17"/>
        <v>190.93702507729301</v>
      </c>
      <c r="T17" s="28">
        <f t="shared" si="6"/>
        <v>181.33216328293736</v>
      </c>
      <c r="U17" s="28">
        <f t="shared" si="3"/>
        <v>164.84742116630667</v>
      </c>
      <c r="V17" s="28">
        <f t="shared" si="13"/>
        <v>4884.7587839999997</v>
      </c>
      <c r="W17" s="87">
        <v>16</v>
      </c>
      <c r="X17" s="23">
        <f t="shared" si="4"/>
        <v>29.632000000000001</v>
      </c>
      <c r="Y17" s="87">
        <v>1.1000000000000001</v>
      </c>
    </row>
    <row r="18" spans="3:25" x14ac:dyDescent="0.3">
      <c r="C18" s="10" t="s">
        <v>252</v>
      </c>
      <c r="D18" s="10">
        <v>1000</v>
      </c>
      <c r="E18" s="28">
        <f>E19*2/3</f>
        <v>12711002.643888554</v>
      </c>
      <c r="F18" s="28">
        <f>E18*$J$43/350</f>
        <v>4000.9904482270285</v>
      </c>
      <c r="G18" s="10"/>
      <c r="H18" s="123">
        <v>1800</v>
      </c>
      <c r="I18" s="28">
        <f>F18*$J$24/24</f>
        <v>993.5792946430455</v>
      </c>
      <c r="J18" s="28">
        <f>SUM(O18:S18)</f>
        <v>973.39432266666677</v>
      </c>
      <c r="K18" s="10" t="s">
        <v>252</v>
      </c>
      <c r="L18" s="10">
        <v>1000</v>
      </c>
      <c r="M18" s="28">
        <f t="shared" si="0"/>
        <v>1966.9736173097122</v>
      </c>
      <c r="N18" s="28">
        <f t="shared" si="1"/>
        <v>993.5792946430455</v>
      </c>
      <c r="O18" s="28">
        <f>O23*1.05</f>
        <v>530.27919000000009</v>
      </c>
      <c r="P18" s="28">
        <f>P23*1.03</f>
        <v>115.595252</v>
      </c>
      <c r="Q18" s="28">
        <f t="shared" ref="Q18:S18" si="18">Q23*1.03</f>
        <v>125.22818966666668</v>
      </c>
      <c r="R18" s="28">
        <f t="shared" si="18"/>
        <v>96.329376666666676</v>
      </c>
      <c r="S18" s="28">
        <f t="shared" si="18"/>
        <v>105.96231433333334</v>
      </c>
      <c r="T18" s="28">
        <f t="shared" si="6"/>
        <v>56.116360691144706</v>
      </c>
      <c r="U18" s="28">
        <f t="shared" si="3"/>
        <v>44.893088552915764</v>
      </c>
      <c r="V18" s="28">
        <f>H18*$J$22*$J$25/1000</f>
        <v>997.70399999999995</v>
      </c>
      <c r="W18" s="87">
        <v>12</v>
      </c>
      <c r="X18" s="23">
        <f>W18*1.852</f>
        <v>22.224</v>
      </c>
      <c r="Y18" s="87">
        <v>1.25</v>
      </c>
    </row>
    <row r="19" spans="3:25" x14ac:dyDescent="0.3">
      <c r="C19" s="10" t="s">
        <v>252</v>
      </c>
      <c r="D19" s="10">
        <v>1500</v>
      </c>
      <c r="E19" s="28">
        <f>N32*(1250/2200)</f>
        <v>19066503.965832829</v>
      </c>
      <c r="F19" s="28">
        <f t="shared" ref="F19:F20" si="19">E19*$J$43/350</f>
        <v>6001.4856723405419</v>
      </c>
      <c r="G19" s="10"/>
      <c r="H19" s="130">
        <f>1920*M25</f>
        <v>2611.2000000000003</v>
      </c>
      <c r="I19" s="28">
        <f>F19*$J$24/24</f>
        <v>1490.368941964568</v>
      </c>
      <c r="J19" s="28">
        <f t="shared" ref="J19:J20" si="20">SUM(O19:S19)</f>
        <v>1205.5948822666669</v>
      </c>
      <c r="K19" s="10" t="s">
        <v>252</v>
      </c>
      <c r="L19" s="10">
        <v>1500</v>
      </c>
      <c r="M19" s="28">
        <f t="shared" si="0"/>
        <v>2695.9638242312349</v>
      </c>
      <c r="N19" s="28">
        <f t="shared" si="1"/>
        <v>1490.368941964568</v>
      </c>
      <c r="O19" s="28">
        <f>O18*1.1</f>
        <v>583.3071090000002</v>
      </c>
      <c r="P19" s="28">
        <f>P18*D19/D18</f>
        <v>173.392878</v>
      </c>
      <c r="Q19" s="28">
        <f>Q18*E19/E18</f>
        <v>187.84228450000001</v>
      </c>
      <c r="R19" s="28">
        <f>R18*(E19/E18)</f>
        <v>144.49406500000001</v>
      </c>
      <c r="S19" s="28">
        <f>S18*1.1</f>
        <v>116.55854576666668</v>
      </c>
      <c r="T19" s="28">
        <f t="shared" si="6"/>
        <v>81.406133909287263</v>
      </c>
      <c r="U19" s="28">
        <f t="shared" si="3"/>
        <v>65.124907127429807</v>
      </c>
      <c r="V19" s="28">
        <f>H19*$J$22*$J$25/1000</f>
        <v>1447.3359359999999</v>
      </c>
      <c r="W19" s="87">
        <v>12</v>
      </c>
      <c r="X19" s="23">
        <f t="shared" ref="X19:X20" si="21">W19*1.852</f>
        <v>22.224</v>
      </c>
      <c r="Y19" s="87">
        <v>1.25</v>
      </c>
    </row>
    <row r="20" spans="3:25" x14ac:dyDescent="0.3">
      <c r="C20" s="10" t="s">
        <v>252</v>
      </c>
      <c r="D20" s="10">
        <v>2200</v>
      </c>
      <c r="E20" s="28">
        <f>N32*(2050/2200)</f>
        <v>31269066.503965832</v>
      </c>
      <c r="F20" s="28">
        <f t="shared" si="19"/>
        <v>9842.4365026384876</v>
      </c>
      <c r="G20" s="10"/>
      <c r="H20" s="130">
        <f>2*921*M25*1.1</f>
        <v>2755.6320000000005</v>
      </c>
      <c r="I20" s="28">
        <f>F20*$J$24/24</f>
        <v>2444.205064821891</v>
      </c>
      <c r="J20" s="28">
        <f t="shared" si="20"/>
        <v>1569.1933878233338</v>
      </c>
      <c r="K20" s="10" t="s">
        <v>252</v>
      </c>
      <c r="L20" s="10">
        <v>2200</v>
      </c>
      <c r="M20" s="28">
        <f t="shared" si="0"/>
        <v>4013.398452645225</v>
      </c>
      <c r="N20" s="28">
        <f t="shared" si="1"/>
        <v>2444.205064821891</v>
      </c>
      <c r="O20" s="28">
        <f>O19*1.1</f>
        <v>641.6378199000003</v>
      </c>
      <c r="P20" s="28">
        <f>P19*D20/D19</f>
        <v>254.3095544</v>
      </c>
      <c r="Q20" s="28">
        <f>Q19*E20/E19</f>
        <v>308.06134657999996</v>
      </c>
      <c r="R20" s="28">
        <f>R19*(E20/E19)</f>
        <v>236.97026659999997</v>
      </c>
      <c r="S20" s="28">
        <f>S19*1.1</f>
        <v>128.21440034333335</v>
      </c>
      <c r="T20" s="28">
        <f t="shared" si="6"/>
        <v>85.908910691144712</v>
      </c>
      <c r="U20" s="28">
        <f t="shared" si="3"/>
        <v>68.727128552915772</v>
      </c>
      <c r="V20" s="28">
        <f>H20*$J$22*$J$25/1000</f>
        <v>1527.3917049600002</v>
      </c>
      <c r="W20" s="87">
        <v>12</v>
      </c>
      <c r="X20" s="23">
        <f t="shared" si="21"/>
        <v>22.224</v>
      </c>
      <c r="Y20" s="87">
        <v>1.25</v>
      </c>
    </row>
    <row r="22" spans="3:25" x14ac:dyDescent="0.3">
      <c r="I22" s="10" t="s">
        <v>178</v>
      </c>
      <c r="J22" s="10">
        <v>0.15</v>
      </c>
      <c r="O22" s="113" t="s">
        <v>501</v>
      </c>
    </row>
    <row r="23" spans="3:25" x14ac:dyDescent="0.3">
      <c r="I23" s="10" t="s">
        <v>403</v>
      </c>
      <c r="J23" s="10">
        <f>Inputdata!C3</f>
        <v>620</v>
      </c>
      <c r="L23" t="s">
        <v>268</v>
      </c>
      <c r="O23" s="23">
        <v>505.02780000000001</v>
      </c>
      <c r="P23" s="23">
        <v>112.22839999999999</v>
      </c>
      <c r="Q23" s="23">
        <v>121.58076666666668</v>
      </c>
      <c r="R23" s="23">
        <v>93.523666666666671</v>
      </c>
      <c r="S23" s="23">
        <v>102.87603333333334</v>
      </c>
    </row>
    <row r="24" spans="3:25" x14ac:dyDescent="0.3">
      <c r="I24" s="10" t="s">
        <v>275</v>
      </c>
      <c r="J24" s="10">
        <f>Inputdata!C7</f>
        <v>5.96</v>
      </c>
      <c r="K24" s="71"/>
      <c r="L24" s="71"/>
    </row>
    <row r="25" spans="3:25" x14ac:dyDescent="0.3">
      <c r="E25" s="113" t="s">
        <v>506</v>
      </c>
      <c r="I25" s="37" t="s">
        <v>404</v>
      </c>
      <c r="J25" s="28">
        <f>J23*J24</f>
        <v>3695.2</v>
      </c>
      <c r="L25" t="s">
        <v>405</v>
      </c>
      <c r="M25">
        <v>1.36</v>
      </c>
    </row>
    <row r="27" spans="3:25" x14ac:dyDescent="0.3">
      <c r="E27" t="s">
        <v>3</v>
      </c>
      <c r="F27" t="s">
        <v>406</v>
      </c>
      <c r="G27" t="s">
        <v>407</v>
      </c>
      <c r="H27" t="s">
        <v>6</v>
      </c>
      <c r="I27" t="s">
        <v>307</v>
      </c>
    </row>
    <row r="28" spans="3:25" x14ac:dyDescent="0.3">
      <c r="D28" s="8" t="s">
        <v>408</v>
      </c>
      <c r="E28" s="34">
        <f>3369/7730</f>
        <v>0.43583441138421736</v>
      </c>
      <c r="F28" s="34">
        <f>1127/7730</f>
        <v>0.14579560155239327</v>
      </c>
      <c r="G28" s="34">
        <f>1429/7730</f>
        <v>0.18486416558861579</v>
      </c>
      <c r="H28" s="34">
        <f>745/7730</f>
        <v>9.6377749029754198E-2</v>
      </c>
      <c r="I28" s="34">
        <f>1060/7730</f>
        <v>0.1371280724450194</v>
      </c>
      <c r="M28" s="113" t="s">
        <v>409</v>
      </c>
    </row>
    <row r="29" spans="3:25" x14ac:dyDescent="0.3">
      <c r="D29" t="s">
        <v>410</v>
      </c>
      <c r="E29" s="34">
        <f>2657/6099</f>
        <v>0.43564518773569438</v>
      </c>
      <c r="F29" s="34">
        <f>840/6099</f>
        <v>0.13772749631087064</v>
      </c>
      <c r="G29" s="34">
        <f>1460/6099</f>
        <v>0.23938350549270374</v>
      </c>
      <c r="H29" s="34">
        <f>487/6099</f>
        <v>7.9849155599278576E-2</v>
      </c>
      <c r="I29" s="34">
        <f>655/6099</f>
        <v>0.10739465486145269</v>
      </c>
      <c r="M29" s="113" t="s">
        <v>411</v>
      </c>
    </row>
    <row r="30" spans="3:25" x14ac:dyDescent="0.3">
      <c r="D30" t="s">
        <v>412</v>
      </c>
      <c r="E30" s="34">
        <f>2642/4752</f>
        <v>0.55597643097643101</v>
      </c>
      <c r="F30" s="34">
        <f>414/4752</f>
        <v>8.7121212121212127E-2</v>
      </c>
      <c r="G30" s="34">
        <f>704/4752</f>
        <v>0.14814814814814814</v>
      </c>
      <c r="H30" s="34">
        <f>240/4752</f>
        <v>5.0505050505050504E-2</v>
      </c>
      <c r="I30" s="34">
        <f>752/4752</f>
        <v>0.15824915824915825</v>
      </c>
      <c r="M30" s="113" t="s">
        <v>413</v>
      </c>
    </row>
    <row r="31" spans="3:25" x14ac:dyDescent="0.3">
      <c r="D31" t="s">
        <v>230</v>
      </c>
      <c r="E31" s="34">
        <f>1552/2911</f>
        <v>0.53315012023359665</v>
      </c>
      <c r="F31" s="34">
        <f>204/2911</f>
        <v>7.007901064926142E-2</v>
      </c>
      <c r="G31" s="34">
        <f>412/2911</f>
        <v>0.14153211954654757</v>
      </c>
      <c r="H31" s="34">
        <f>272/2911</f>
        <v>9.3438680865681897E-2</v>
      </c>
      <c r="I31" s="34">
        <f>471/2911</f>
        <v>0.1618000687049124</v>
      </c>
      <c r="M31" s="113" t="s">
        <v>414</v>
      </c>
    </row>
    <row r="32" spans="3:25" x14ac:dyDescent="0.3">
      <c r="D32" t="s">
        <v>415</v>
      </c>
      <c r="E32" s="34">
        <f>4127/7479</f>
        <v>0.55181173953737128</v>
      </c>
      <c r="F32" s="34">
        <f>748/7479</f>
        <v>0.10001337077149351</v>
      </c>
      <c r="G32" s="34">
        <f>1080/7479</f>
        <v>0.1444043321299639</v>
      </c>
      <c r="H32" s="34">
        <f>504/7479</f>
        <v>6.7388688327316482E-2</v>
      </c>
      <c r="I32" s="34">
        <f>1020/7479</f>
        <v>0.13638186923385479</v>
      </c>
      <c r="M32" s="113" t="s">
        <v>416</v>
      </c>
      <c r="N32" s="120">
        <f>200000000/J24</f>
        <v>33557046.979865775</v>
      </c>
    </row>
    <row r="33" spans="3:13" x14ac:dyDescent="0.3">
      <c r="D33" t="s">
        <v>417</v>
      </c>
      <c r="E33" s="34">
        <f>3340/6438</f>
        <v>0.51879465672569125</v>
      </c>
      <c r="F33" s="34">
        <f>762/6438</f>
        <v>0.11835973904939422</v>
      </c>
      <c r="G33" s="34">
        <f>1081/6438</f>
        <v>0.16790928859894377</v>
      </c>
      <c r="H33" s="34">
        <f>505/6438</f>
        <v>7.8440509474992232E-2</v>
      </c>
      <c r="I33" s="34">
        <f>750/6438</f>
        <v>0.11649580615097857</v>
      </c>
      <c r="M33" s="113" t="s">
        <v>418</v>
      </c>
    </row>
    <row r="35" spans="3:13" x14ac:dyDescent="0.3">
      <c r="D35" s="113" t="s">
        <v>502</v>
      </c>
    </row>
    <row r="37" spans="3:13" x14ac:dyDescent="0.3">
      <c r="C37" s="10" t="s">
        <v>419</v>
      </c>
      <c r="D37" s="10">
        <v>13</v>
      </c>
      <c r="F37" s="10" t="s">
        <v>419</v>
      </c>
      <c r="G37" s="10">
        <v>8</v>
      </c>
      <c r="I37" s="10" t="s">
        <v>419</v>
      </c>
      <c r="J37" s="10">
        <v>25</v>
      </c>
    </row>
    <row r="38" spans="3:13" x14ac:dyDescent="0.3">
      <c r="C38" s="10" t="s">
        <v>420</v>
      </c>
      <c r="D38" s="72">
        <f>Inputdata!C5</f>
        <v>0.08</v>
      </c>
      <c r="F38" s="10" t="s">
        <v>420</v>
      </c>
      <c r="G38" s="72">
        <f>D38</f>
        <v>0.08</v>
      </c>
      <c r="I38" s="10" t="s">
        <v>420</v>
      </c>
      <c r="J38" s="72">
        <f>G38</f>
        <v>0.08</v>
      </c>
    </row>
    <row r="39" spans="3:13" x14ac:dyDescent="0.3">
      <c r="C39" s="10" t="s">
        <v>159</v>
      </c>
      <c r="D39" s="73">
        <f>(D38*POWER(1+D38,D37))/(POWER(1+D38,D37)-1)</f>
        <v>0.12652180519655568</v>
      </c>
      <c r="F39" s="10" t="s">
        <v>159</v>
      </c>
      <c r="G39" s="73">
        <f>(G38*POWER(1+G38,G37))/(POWER(1+G38,G37)-1)</f>
        <v>0.17401476059182211</v>
      </c>
      <c r="I39" s="10" t="s">
        <v>159</v>
      </c>
      <c r="J39" s="73">
        <f>(J38*POWER(1+J38,J37))/(POWER(1+J38,J37)-1)</f>
        <v>9.3678779051968114E-2</v>
      </c>
    </row>
    <row r="41" spans="3:13" x14ac:dyDescent="0.3">
      <c r="C41" s="10" t="s">
        <v>419</v>
      </c>
      <c r="D41" s="10">
        <v>13</v>
      </c>
      <c r="F41" s="10" t="s">
        <v>419</v>
      </c>
      <c r="G41" s="10">
        <v>8</v>
      </c>
      <c r="I41" s="10" t="s">
        <v>419</v>
      </c>
      <c r="J41" s="10">
        <v>25</v>
      </c>
    </row>
    <row r="42" spans="3:13" x14ac:dyDescent="0.3">
      <c r="C42" s="10" t="s">
        <v>420</v>
      </c>
      <c r="D42" s="121">
        <f>D38+2%</f>
        <v>0.1</v>
      </c>
      <c r="F42" s="10" t="s">
        <v>420</v>
      </c>
      <c r="G42" s="72">
        <f>D42</f>
        <v>0.1</v>
      </c>
      <c r="I42" s="10" t="s">
        <v>420</v>
      </c>
      <c r="J42" s="72">
        <f>G42</f>
        <v>0.1</v>
      </c>
    </row>
    <row r="43" spans="3:13" x14ac:dyDescent="0.3">
      <c r="C43" s="10" t="s">
        <v>159</v>
      </c>
      <c r="D43" s="73">
        <f>(D42*POWER(1+D42,D41))/(POWER(1+D42,D41)-1)</f>
        <v>0.14077852376730216</v>
      </c>
      <c r="F43" s="10" t="s">
        <v>159</v>
      </c>
      <c r="G43" s="73">
        <f>(G42*POWER(1+G42,G41))/(POWER(1+G42,G41)-1)</f>
        <v>0.18744401757481335</v>
      </c>
      <c r="I43" s="10" t="s">
        <v>159</v>
      </c>
      <c r="J43" s="73">
        <f>(J42*POWER(1+J42,J41))/(POWER(1+J42,J41)-1)</f>
        <v>0.11016807219002084</v>
      </c>
    </row>
    <row r="45" spans="3:13" x14ac:dyDescent="0.3">
      <c r="D45" s="74">
        <f>933/5.96</f>
        <v>156.54362416107384</v>
      </c>
    </row>
    <row r="46" spans="3:13" x14ac:dyDescent="0.3">
      <c r="D46" s="74">
        <f>D45*24</f>
        <v>3757.0469798657723</v>
      </c>
    </row>
    <row r="47" spans="3:13" x14ac:dyDescent="0.3">
      <c r="D47" s="74">
        <f>D46*350</f>
        <v>1314966.4429530203</v>
      </c>
    </row>
    <row r="48" spans="3:13" x14ac:dyDescent="0.3">
      <c r="D48" s="74">
        <f>D47/D43</f>
        <v>9340675.038804749</v>
      </c>
      <c r="F48" s="74">
        <f>D48*(3500/4400)</f>
        <v>7430082.4172310503</v>
      </c>
    </row>
  </sheetData>
  <sheetProtection algorithmName="SHA-512" hashValue="Hc67LT01WufCqZfGapiJRFIDRsOGfDSu9INfj/PpBy0wOYW92wTGbFAQFqdT81ACpITW7PyP9cmL9KusLLblcw==" saltValue="R5wDiAO+RuUOmzYKTGAZ+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0"/>
  <sheetViews>
    <sheetView topLeftCell="A28" workbookViewId="0">
      <selection activeCell="M29" sqref="M29"/>
    </sheetView>
  </sheetViews>
  <sheetFormatPr baseColWidth="10" defaultRowHeight="14.4" x14ac:dyDescent="0.3"/>
  <sheetData>
    <row r="1" spans="1:16" ht="21" x14ac:dyDescent="0.4">
      <c r="D1" s="116" t="s">
        <v>492</v>
      </c>
      <c r="L1" s="131" t="s">
        <v>504</v>
      </c>
    </row>
    <row r="2" spans="1:16" ht="21" x14ac:dyDescent="0.4">
      <c r="D2" s="116"/>
    </row>
    <row r="3" spans="1:16" x14ac:dyDescent="0.3">
      <c r="D3" s="61" t="s">
        <v>339</v>
      </c>
      <c r="E3" s="62"/>
      <c r="F3" s="62" t="s">
        <v>340</v>
      </c>
      <c r="G3" s="62" t="s">
        <v>341</v>
      </c>
      <c r="H3" s="61" t="s">
        <v>342</v>
      </c>
      <c r="I3" s="63" t="s">
        <v>343</v>
      </c>
      <c r="J3" s="62"/>
      <c r="K3" s="62" t="s">
        <v>344</v>
      </c>
      <c r="L3" s="62" t="s">
        <v>345</v>
      </c>
      <c r="N3" s="62" t="s">
        <v>342</v>
      </c>
    </row>
    <row r="4" spans="1:16" x14ac:dyDescent="0.3">
      <c r="D4" s="61"/>
      <c r="E4" s="62"/>
      <c r="F4" s="64" t="s">
        <v>346</v>
      </c>
      <c r="G4" s="62" t="s">
        <v>347</v>
      </c>
      <c r="H4" s="61"/>
      <c r="I4" s="63" t="s">
        <v>348</v>
      </c>
      <c r="J4" s="62"/>
      <c r="K4" s="62" t="s">
        <v>349</v>
      </c>
      <c r="L4" s="62" t="s">
        <v>350</v>
      </c>
      <c r="N4" s="62" t="s">
        <v>351</v>
      </c>
    </row>
    <row r="5" spans="1:16" x14ac:dyDescent="0.3">
      <c r="D5" s="65" t="s">
        <v>352</v>
      </c>
      <c r="G5" t="s">
        <v>353</v>
      </c>
      <c r="H5" s="65" t="s">
        <v>353</v>
      </c>
      <c r="I5" s="19" t="s">
        <v>353</v>
      </c>
      <c r="K5" t="s">
        <v>353</v>
      </c>
      <c r="L5" s="66" t="s">
        <v>354</v>
      </c>
      <c r="N5" t="s">
        <v>353</v>
      </c>
    </row>
    <row r="6" spans="1:16" x14ac:dyDescent="0.3">
      <c r="D6" s="65"/>
      <c r="F6" s="67" t="s">
        <v>355</v>
      </c>
      <c r="H6" s="65"/>
      <c r="I6" s="19" t="s">
        <v>356</v>
      </c>
    </row>
    <row r="8" spans="1:16" ht="18" x14ac:dyDescent="0.35">
      <c r="B8" s="68" t="s">
        <v>213</v>
      </c>
      <c r="D8" s="65"/>
      <c r="F8" s="67"/>
      <c r="H8" s="65"/>
      <c r="I8" s="19"/>
    </row>
    <row r="9" spans="1:16" x14ac:dyDescent="0.3">
      <c r="B9" s="69" t="s">
        <v>357</v>
      </c>
      <c r="D9" s="65"/>
      <c r="H9" s="65"/>
      <c r="I9" s="19"/>
    </row>
    <row r="10" spans="1:16" x14ac:dyDescent="0.3">
      <c r="B10" s="69" t="s">
        <v>358</v>
      </c>
      <c r="D10" s="65">
        <v>16</v>
      </c>
      <c r="F10" s="59">
        <v>2.8731999999999998E-4</v>
      </c>
      <c r="G10">
        <v>4597</v>
      </c>
      <c r="H10" s="65">
        <v>5500</v>
      </c>
      <c r="I10" s="70">
        <v>10100</v>
      </c>
      <c r="L10" t="s">
        <v>359</v>
      </c>
      <c r="N10" t="s">
        <v>360</v>
      </c>
      <c r="P10" t="s">
        <v>361</v>
      </c>
    </row>
    <row r="11" spans="1:16" x14ac:dyDescent="0.3">
      <c r="A11" s="19"/>
      <c r="B11" t="s">
        <v>362</v>
      </c>
      <c r="D11" s="65">
        <v>30</v>
      </c>
      <c r="F11" s="59">
        <v>2.8731999999999998E-4</v>
      </c>
      <c r="G11">
        <v>8620</v>
      </c>
      <c r="H11" s="65">
        <v>6000</v>
      </c>
      <c r="I11" s="70">
        <v>14600</v>
      </c>
      <c r="K11">
        <v>31200</v>
      </c>
      <c r="L11" t="s">
        <v>363</v>
      </c>
      <c r="N11" t="s">
        <v>364</v>
      </c>
    </row>
    <row r="12" spans="1:16" x14ac:dyDescent="0.3">
      <c r="A12" s="19"/>
      <c r="B12" t="s">
        <v>365</v>
      </c>
      <c r="D12" s="65">
        <v>43</v>
      </c>
      <c r="F12" s="59">
        <v>2.8731999999999998E-4</v>
      </c>
      <c r="G12">
        <v>12355</v>
      </c>
      <c r="H12" s="65">
        <v>6500</v>
      </c>
      <c r="I12" s="70">
        <v>18900</v>
      </c>
      <c r="K12">
        <v>24600</v>
      </c>
      <c r="L12" t="s">
        <v>366</v>
      </c>
      <c r="N12">
        <v>7300</v>
      </c>
    </row>
    <row r="13" spans="1:16" x14ac:dyDescent="0.3">
      <c r="B13" t="s">
        <v>367</v>
      </c>
      <c r="D13" s="65">
        <v>48</v>
      </c>
      <c r="F13" s="59">
        <v>2.8731999999999998E-4</v>
      </c>
      <c r="G13">
        <v>13791</v>
      </c>
      <c r="H13" s="65">
        <v>7500</v>
      </c>
      <c r="I13" s="70">
        <v>21300</v>
      </c>
      <c r="K13">
        <v>29600</v>
      </c>
      <c r="L13" t="s">
        <v>368</v>
      </c>
    </row>
    <row r="14" spans="1:16" x14ac:dyDescent="0.3">
      <c r="B14" t="s">
        <v>369</v>
      </c>
      <c r="D14" s="65">
        <v>60</v>
      </c>
      <c r="F14" s="59">
        <v>2.8731999999999998E-4</v>
      </c>
      <c r="G14">
        <v>17239</v>
      </c>
      <c r="H14" s="65">
        <v>8500</v>
      </c>
      <c r="I14" s="70">
        <v>25700</v>
      </c>
      <c r="K14">
        <v>32000</v>
      </c>
      <c r="L14" t="s">
        <v>370</v>
      </c>
    </row>
    <row r="15" spans="1:16" x14ac:dyDescent="0.3">
      <c r="B15" t="s">
        <v>371</v>
      </c>
      <c r="D15" s="65">
        <v>71</v>
      </c>
      <c r="F15" s="59">
        <v>2.8731999999999998E-4</v>
      </c>
      <c r="G15">
        <v>20400</v>
      </c>
      <c r="H15" s="65">
        <v>9000</v>
      </c>
      <c r="I15" s="70">
        <v>29400</v>
      </c>
      <c r="K15">
        <v>20000</v>
      </c>
      <c r="L15" t="s">
        <v>363</v>
      </c>
      <c r="N15">
        <v>7300</v>
      </c>
    </row>
    <row r="16" spans="1:16" x14ac:dyDescent="0.3">
      <c r="D16" s="65"/>
      <c r="H16" s="65"/>
      <c r="I16" s="19"/>
    </row>
    <row r="17" spans="2:20" x14ac:dyDescent="0.3">
      <c r="B17" t="s">
        <v>372</v>
      </c>
      <c r="D17" s="65" t="s">
        <v>373</v>
      </c>
      <c r="F17" s="59">
        <v>2.8731999999999998E-4</v>
      </c>
      <c r="G17">
        <v>6608</v>
      </c>
      <c r="H17" s="65">
        <v>6000</v>
      </c>
      <c r="I17" s="19">
        <v>12600</v>
      </c>
      <c r="K17">
        <v>14800</v>
      </c>
      <c r="L17" t="s">
        <v>374</v>
      </c>
    </row>
    <row r="18" spans="2:20" x14ac:dyDescent="0.3">
      <c r="D18" s="65"/>
      <c r="I18" s="19"/>
    </row>
    <row r="19" spans="2:20" x14ac:dyDescent="0.3">
      <c r="B19" t="s">
        <v>375</v>
      </c>
      <c r="D19" s="65"/>
      <c r="I19" s="19"/>
    </row>
    <row r="21" spans="2:20" x14ac:dyDescent="0.3">
      <c r="Q21" t="s">
        <v>376</v>
      </c>
      <c r="R21">
        <v>1.358974358974359</v>
      </c>
    </row>
    <row r="22" spans="2:20" x14ac:dyDescent="0.3">
      <c r="G22">
        <f>D25*F25</f>
        <v>1.1492799999999999E-2</v>
      </c>
    </row>
    <row r="23" spans="2:20" ht="18" x14ac:dyDescent="0.35">
      <c r="B23" s="68" t="s">
        <v>377</v>
      </c>
      <c r="D23" s="65"/>
      <c r="G23" s="74"/>
      <c r="I23" s="19"/>
    </row>
    <row r="24" spans="2:20" x14ac:dyDescent="0.3">
      <c r="B24" s="66" t="s">
        <v>357</v>
      </c>
      <c r="D24" s="65"/>
      <c r="I24" s="19"/>
    </row>
    <row r="25" spans="2:20" x14ac:dyDescent="0.3">
      <c r="B25" t="s">
        <v>378</v>
      </c>
      <c r="D25" s="65">
        <v>40</v>
      </c>
      <c r="F25" s="59">
        <v>2.8731999999999998E-4</v>
      </c>
      <c r="G25">
        <v>11493</v>
      </c>
      <c r="H25" s="65" t="s">
        <v>379</v>
      </c>
      <c r="I25" s="19">
        <v>18000</v>
      </c>
      <c r="K25" t="s">
        <v>380</v>
      </c>
      <c r="S25" t="s">
        <v>175</v>
      </c>
      <c r="T25">
        <v>620</v>
      </c>
    </row>
    <row r="26" spans="2:20" x14ac:dyDescent="0.3">
      <c r="B26" t="s">
        <v>381</v>
      </c>
      <c r="D26" s="65">
        <v>205</v>
      </c>
      <c r="F26" s="59">
        <v>2.8731999999999998E-4</v>
      </c>
      <c r="G26">
        <v>58900</v>
      </c>
      <c r="H26" s="65" t="s">
        <v>382</v>
      </c>
      <c r="I26" s="19">
        <v>76900</v>
      </c>
      <c r="K26">
        <v>80000</v>
      </c>
    </row>
    <row r="27" spans="2:20" x14ac:dyDescent="0.3">
      <c r="S27" t="s">
        <v>176</v>
      </c>
      <c r="T27" s="23">
        <f>K28*T25</f>
        <v>3695.2</v>
      </c>
    </row>
    <row r="28" spans="2:20" x14ac:dyDescent="0.3">
      <c r="B28" t="s">
        <v>383</v>
      </c>
      <c r="J28" t="s">
        <v>275</v>
      </c>
      <c r="K28">
        <f>Inputdata!C7</f>
        <v>5.96</v>
      </c>
      <c r="M28" t="s">
        <v>269</v>
      </c>
      <c r="Q28" t="s">
        <v>178</v>
      </c>
      <c r="R28">
        <v>0.15</v>
      </c>
    </row>
    <row r="29" spans="2:20" x14ac:dyDescent="0.3">
      <c r="M29" s="23">
        <f>1000000*'Korrigerte kost 2010 til 2012'!T4</f>
        <v>110168.07219002084</v>
      </c>
      <c r="S29" t="s">
        <v>177</v>
      </c>
      <c r="T29" s="34">
        <f>T27/(1000*0.99)</f>
        <v>3.7325252525252521</v>
      </c>
    </row>
    <row r="30" spans="2:20" x14ac:dyDescent="0.3">
      <c r="E30" s="113" t="s">
        <v>488</v>
      </c>
    </row>
    <row r="31" spans="2:20" x14ac:dyDescent="0.3">
      <c r="D31" t="s">
        <v>236</v>
      </c>
      <c r="E31" t="s">
        <v>384</v>
      </c>
      <c r="F31" t="s">
        <v>385</v>
      </c>
      <c r="G31" t="s">
        <v>386</v>
      </c>
      <c r="H31" t="s">
        <v>387</v>
      </c>
      <c r="I31" t="s">
        <v>388</v>
      </c>
    </row>
    <row r="32" spans="2:20" x14ac:dyDescent="0.3">
      <c r="D32">
        <v>8500</v>
      </c>
      <c r="E32">
        <v>7500</v>
      </c>
      <c r="F32">
        <f>D11</f>
        <v>30</v>
      </c>
      <c r="G32" s="23">
        <f>$M$29*$K$28*F32</f>
        <v>19698051.307575729</v>
      </c>
      <c r="H32" s="23">
        <f>G32/(365*24)</f>
        <v>2248.6359940154944</v>
      </c>
      <c r="I32">
        <f>H11*K28</f>
        <v>35760</v>
      </c>
    </row>
    <row r="33" spans="3:20" x14ac:dyDescent="0.3">
      <c r="D33">
        <v>16500</v>
      </c>
      <c r="E33">
        <v>15000</v>
      </c>
      <c r="F33">
        <v>39</v>
      </c>
      <c r="G33" s="23">
        <f>$M$29*$K$28*F33</f>
        <v>25607466.699848447</v>
      </c>
      <c r="H33" s="23">
        <f>G33/(365*24)</f>
        <v>2923.2267922201422</v>
      </c>
      <c r="I33">
        <f>(H12-100)*K28</f>
        <v>38144</v>
      </c>
    </row>
    <row r="34" spans="3:20" x14ac:dyDescent="0.3">
      <c r="G34" s="23"/>
      <c r="H34" s="23"/>
    </row>
    <row r="35" spans="3:20" x14ac:dyDescent="0.3">
      <c r="H35" s="23"/>
    </row>
    <row r="36" spans="3:20" x14ac:dyDescent="0.3">
      <c r="G36" s="117" t="s">
        <v>489</v>
      </c>
      <c r="P36" t="s">
        <v>254</v>
      </c>
      <c r="Q36" t="s">
        <v>255</v>
      </c>
      <c r="R36" t="s">
        <v>256</v>
      </c>
      <c r="S36" t="s">
        <v>257</v>
      </c>
      <c r="T36" t="s">
        <v>258</v>
      </c>
    </row>
    <row r="37" spans="3:20" ht="31.2" x14ac:dyDescent="0.3">
      <c r="F37" s="30" t="s">
        <v>93</v>
      </c>
      <c r="G37" s="24"/>
      <c r="H37" s="24"/>
      <c r="I37" s="24"/>
      <c r="J37" s="24"/>
      <c r="K37" s="24"/>
      <c r="L37" s="25"/>
      <c r="M37" s="29" t="s">
        <v>170</v>
      </c>
      <c r="P37" s="113" t="s">
        <v>490</v>
      </c>
    </row>
    <row r="38" spans="3:20" ht="15.6" x14ac:dyDescent="0.3">
      <c r="D38" t="s">
        <v>236</v>
      </c>
      <c r="E38" t="s">
        <v>384</v>
      </c>
      <c r="F38" s="29" t="s">
        <v>8</v>
      </c>
      <c r="G38" s="26" t="s">
        <v>96</v>
      </c>
      <c r="H38" s="27" t="s">
        <v>3</v>
      </c>
      <c r="I38" s="10" t="s">
        <v>4</v>
      </c>
      <c r="J38" s="10" t="s">
        <v>5</v>
      </c>
      <c r="K38" s="10" t="s">
        <v>6</v>
      </c>
      <c r="L38" s="10" t="s">
        <v>7</v>
      </c>
      <c r="M38" s="10"/>
      <c r="O38" t="s">
        <v>172</v>
      </c>
      <c r="P38" t="s">
        <v>254</v>
      </c>
      <c r="Q38" t="s">
        <v>255</v>
      </c>
      <c r="R38" t="s">
        <v>256</v>
      </c>
      <c r="S38" t="s">
        <v>257</v>
      </c>
      <c r="T38" t="s">
        <v>258</v>
      </c>
    </row>
    <row r="39" spans="3:20" x14ac:dyDescent="0.3">
      <c r="C39">
        <v>30</v>
      </c>
      <c r="D39">
        <v>8500</v>
      </c>
      <c r="E39">
        <v>7500</v>
      </c>
      <c r="F39" s="28">
        <f>SUM(G39:L39)</f>
        <v>3738.6359940154944</v>
      </c>
      <c r="G39" s="28">
        <f>H32</f>
        <v>2248.6359940154944</v>
      </c>
      <c r="H39" s="28">
        <f>($I$32*H43)/24</f>
        <v>833.46875</v>
      </c>
      <c r="I39" s="28">
        <f t="shared" ref="I39:L39" si="0">($I$32*I43)/24</f>
        <v>150.01222826086956</v>
      </c>
      <c r="J39" s="28">
        <f t="shared" si="0"/>
        <v>212.16304347826087</v>
      </c>
      <c r="K39" s="28">
        <f t="shared" si="0"/>
        <v>95.554347826086953</v>
      </c>
      <c r="L39" s="28">
        <f t="shared" si="0"/>
        <v>198.8016304347826</v>
      </c>
      <c r="M39" s="28">
        <f>T39</f>
        <v>133.90248306289342</v>
      </c>
      <c r="O39">
        <v>5926</v>
      </c>
      <c r="P39" s="23">
        <f>O39*$R$21</f>
        <v>8053.2820512820517</v>
      </c>
      <c r="Q39" s="23">
        <f>P39*$R$28*1.1</f>
        <v>1328.7915384615387</v>
      </c>
      <c r="R39">
        <f>20*1.852</f>
        <v>37.04</v>
      </c>
      <c r="S39" s="23">
        <f>Q39/R39</f>
        <v>35.874501578335277</v>
      </c>
      <c r="T39" s="23">
        <f>S39*$T$29</f>
        <v>133.90248306289342</v>
      </c>
    </row>
    <row r="40" spans="3:20" x14ac:dyDescent="0.3">
      <c r="D40">
        <v>16500</v>
      </c>
      <c r="E40">
        <v>15000</v>
      </c>
      <c r="F40" s="28">
        <f t="shared" ref="F40" si="1">SUM(G40:L40)</f>
        <v>4512.5601255534757</v>
      </c>
      <c r="G40" s="28">
        <f>H33</f>
        <v>2923.2267922201422</v>
      </c>
      <c r="H40" s="28">
        <f>$I$33*H43/24</f>
        <v>889.0333333333333</v>
      </c>
      <c r="I40" s="28">
        <f t="shared" ref="I40:L40" si="2">$I$33*I43/24</f>
        <v>160.01304347826087</v>
      </c>
      <c r="J40" s="28">
        <f t="shared" si="2"/>
        <v>226.30724637681161</v>
      </c>
      <c r="K40" s="28">
        <f t="shared" si="2"/>
        <v>101.92463768115942</v>
      </c>
      <c r="L40" s="28">
        <f t="shared" si="2"/>
        <v>212.05507246376808</v>
      </c>
      <c r="M40" s="28">
        <f>T40</f>
        <v>178.50651640176477</v>
      </c>
      <c r="O40">
        <v>7900</v>
      </c>
      <c r="P40" s="23">
        <f>O40*$R$21</f>
        <v>10735.897435897436</v>
      </c>
      <c r="Q40" s="23">
        <f>P40*$R$28*1.1</f>
        <v>1771.4230769230769</v>
      </c>
      <c r="R40">
        <f>R39</f>
        <v>37.04</v>
      </c>
      <c r="S40" s="23">
        <f>Q40/R40</f>
        <v>47.824597109154347</v>
      </c>
      <c r="T40" s="23">
        <f>S40*$T$29</f>
        <v>178.50651640176477</v>
      </c>
    </row>
    <row r="41" spans="3:20" x14ac:dyDescent="0.3">
      <c r="P41" s="23"/>
      <c r="Q41" s="23"/>
      <c r="S41" s="23"/>
      <c r="T41" s="23"/>
    </row>
    <row r="42" spans="3:20" x14ac:dyDescent="0.3">
      <c r="F42" s="113" t="s">
        <v>511</v>
      </c>
      <c r="G42" s="113" t="s">
        <v>389</v>
      </c>
      <c r="H42">
        <f>2700/4888</f>
        <v>0.55237315875613746</v>
      </c>
      <c r="I42">
        <f>538/4888</f>
        <v>0.11006546644844517</v>
      </c>
      <c r="J42">
        <f>672/4888</f>
        <v>0.13747954173486088</v>
      </c>
      <c r="K42">
        <f>216/4888</f>
        <v>4.4189852700491E-2</v>
      </c>
      <c r="L42">
        <f>762/4888</f>
        <v>0.15589198036006546</v>
      </c>
    </row>
    <row r="43" spans="3:20" x14ac:dyDescent="0.3">
      <c r="F43" s="113" t="s">
        <v>512</v>
      </c>
      <c r="G43" s="113"/>
      <c r="H43">
        <f>4117/7360</f>
        <v>0.55937499999999996</v>
      </c>
      <c r="I43">
        <f>741/7360</f>
        <v>0.10067934782608695</v>
      </c>
      <c r="J43">
        <f>1048/7360</f>
        <v>0.1423913043478261</v>
      </c>
      <c r="K43">
        <f>472/7360</f>
        <v>6.41304347826087E-2</v>
      </c>
      <c r="L43">
        <f>982/7360</f>
        <v>0.13342391304347825</v>
      </c>
    </row>
    <row r="45" spans="3:20" x14ac:dyDescent="0.3">
      <c r="G45" s="117" t="s">
        <v>489</v>
      </c>
    </row>
    <row r="46" spans="3:20" ht="31.2" x14ac:dyDescent="0.3">
      <c r="F46" s="30" t="s">
        <v>93</v>
      </c>
      <c r="G46" s="24"/>
      <c r="H46" s="24"/>
      <c r="I46" s="24"/>
      <c r="J46" s="24"/>
      <c r="K46" s="24"/>
      <c r="L46" s="25"/>
      <c r="N46" s="113" t="s">
        <v>491</v>
      </c>
    </row>
    <row r="47" spans="3:20" ht="15.6" x14ac:dyDescent="0.3">
      <c r="D47" t="s">
        <v>236</v>
      </c>
      <c r="E47" t="s">
        <v>384</v>
      </c>
      <c r="F47" s="29" t="s">
        <v>8</v>
      </c>
      <c r="G47" s="26" t="s">
        <v>96</v>
      </c>
      <c r="H47" s="27" t="s">
        <v>3</v>
      </c>
      <c r="I47" s="10" t="s">
        <v>4</v>
      </c>
      <c r="J47" s="10" t="s">
        <v>5</v>
      </c>
      <c r="K47" s="10" t="s">
        <v>6</v>
      </c>
      <c r="L47" s="10" t="s">
        <v>7</v>
      </c>
      <c r="N47" t="s">
        <v>385</v>
      </c>
      <c r="O47" t="s">
        <v>386</v>
      </c>
      <c r="P47" t="s">
        <v>387</v>
      </c>
    </row>
    <row r="48" spans="3:20" x14ac:dyDescent="0.3">
      <c r="D48">
        <v>30000</v>
      </c>
      <c r="F48" s="28">
        <f>SUM(G48:L48)</f>
        <v>5460.3175904247901</v>
      </c>
      <c r="G48" s="28">
        <f>P48</f>
        <v>3597.8175904247901</v>
      </c>
      <c r="H48" s="28">
        <f>($H$13*$K$28*H$43)/24</f>
        <v>1041.8359374999998</v>
      </c>
      <c r="I48" s="28">
        <f t="shared" ref="I48:L48" si="3">($H$13*$K$28*I$43)/24</f>
        <v>187.51528532608697</v>
      </c>
      <c r="J48" s="28">
        <f t="shared" si="3"/>
        <v>265.20380434782612</v>
      </c>
      <c r="K48" s="28">
        <f t="shared" si="3"/>
        <v>119.4429347826087</v>
      </c>
      <c r="L48" s="28">
        <f t="shared" si="3"/>
        <v>248.50203804347825</v>
      </c>
      <c r="N48">
        <f>D13</f>
        <v>48</v>
      </c>
      <c r="O48" s="23">
        <f>$M$29*$K$28*N48</f>
        <v>31516882.092121162</v>
      </c>
      <c r="P48" s="23">
        <f>O48/(365*24)</f>
        <v>3597.8175904247901</v>
      </c>
    </row>
    <row r="49" spans="4:16" x14ac:dyDescent="0.3">
      <c r="D49">
        <v>42000</v>
      </c>
      <c r="F49" s="28">
        <f t="shared" ref="F49:F50" si="4">SUM(G49:L49)</f>
        <v>6006.3493494672712</v>
      </c>
      <c r="G49" s="28">
        <f t="shared" ref="G49:G50" si="5">P49</f>
        <v>3957.5993494672703</v>
      </c>
      <c r="H49" s="28">
        <f>($H$13*1.1*$K$28*H43)/24</f>
        <v>1146.0195312499998</v>
      </c>
      <c r="I49" s="28">
        <f t="shared" ref="I49:L49" si="6">($H$13*1.1*$K$28*I43)/24</f>
        <v>206.26681385869563</v>
      </c>
      <c r="J49" s="28">
        <f t="shared" si="6"/>
        <v>291.72418478260869</v>
      </c>
      <c r="K49" s="28">
        <f t="shared" si="6"/>
        <v>131.38722826086959</v>
      </c>
      <c r="L49" s="28">
        <f t="shared" si="6"/>
        <v>273.35224184782606</v>
      </c>
      <c r="N49">
        <f>N48*1.1</f>
        <v>52.800000000000004</v>
      </c>
      <c r="O49" s="23">
        <f>$M$29*$K$28*N49</f>
        <v>34668570.301333286</v>
      </c>
      <c r="P49" s="23">
        <f>O49/(365*24)</f>
        <v>3957.5993494672703</v>
      </c>
    </row>
    <row r="50" spans="4:16" x14ac:dyDescent="0.3">
      <c r="D50">
        <v>70000</v>
      </c>
      <c r="F50" s="28">
        <f t="shared" si="4"/>
        <v>17538.595959105878</v>
      </c>
      <c r="G50" s="28">
        <f t="shared" si="5"/>
        <v>15365.67929243921</v>
      </c>
      <c r="H50" s="28">
        <f>((($H$14+$H$15)/2)*$K$28*H43)/24</f>
        <v>1215.4752604166665</v>
      </c>
      <c r="I50" s="28">
        <f t="shared" ref="I50:L50" si="7">((($H$14+$H$15)/2)*$K$28*I43)/24</f>
        <v>218.76783288043475</v>
      </c>
      <c r="J50" s="28">
        <f t="shared" si="7"/>
        <v>309.40443840579712</v>
      </c>
      <c r="K50" s="28">
        <f t="shared" si="7"/>
        <v>139.35009057971016</v>
      </c>
      <c r="L50" s="28">
        <f t="shared" si="7"/>
        <v>289.91904438405794</v>
      </c>
      <c r="N50">
        <f>D26</f>
        <v>205</v>
      </c>
      <c r="O50" s="23">
        <f>$M$29*$K$28*N50</f>
        <v>134603350.60176748</v>
      </c>
      <c r="P50" s="23">
        <f>O50/(365*24)</f>
        <v>15365.67929243921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F48"/>
  <sheetViews>
    <sheetView topLeftCell="A3" workbookViewId="0">
      <selection activeCell="C53" sqref="C53"/>
    </sheetView>
  </sheetViews>
  <sheetFormatPr baseColWidth="10" defaultRowHeight="14.4" x14ac:dyDescent="0.3"/>
  <cols>
    <col min="1" max="1" width="22.44140625" bestFit="1" customWidth="1"/>
    <col min="3" max="3" width="22.21875" bestFit="1" customWidth="1"/>
    <col min="8" max="8" width="16.21875" customWidth="1"/>
    <col min="9" max="9" width="12.77734375" customWidth="1"/>
    <col min="10" max="10" width="13.44140625" customWidth="1"/>
    <col min="13" max="13" width="22.44140625" bestFit="1" customWidth="1"/>
    <col min="14" max="14" width="13.5546875" bestFit="1" customWidth="1"/>
  </cols>
  <sheetData>
    <row r="2" spans="1:25" ht="115.2" x14ac:dyDescent="0.3">
      <c r="E2" s="114" t="s">
        <v>473</v>
      </c>
      <c r="F2" s="114" t="s">
        <v>473</v>
      </c>
      <c r="G2" s="114" t="s">
        <v>473</v>
      </c>
      <c r="H2" s="114" t="s">
        <v>484</v>
      </c>
      <c r="I2" s="114" t="s">
        <v>484</v>
      </c>
      <c r="J2" s="114" t="s">
        <v>485</v>
      </c>
      <c r="L2" s="30" t="s">
        <v>93</v>
      </c>
      <c r="M2" s="24"/>
      <c r="N2" s="24"/>
      <c r="O2" s="115" t="s">
        <v>486</v>
      </c>
      <c r="P2" s="115" t="s">
        <v>486</v>
      </c>
      <c r="Q2" s="115" t="s">
        <v>487</v>
      </c>
      <c r="R2" s="115" t="s">
        <v>486</v>
      </c>
      <c r="S2" s="29" t="s">
        <v>170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</row>
    <row r="3" spans="1:25" ht="28.8" x14ac:dyDescent="0.3">
      <c r="D3" s="10" t="s">
        <v>237</v>
      </c>
      <c r="E3" s="10" t="s">
        <v>259</v>
      </c>
      <c r="F3" s="10" t="s">
        <v>260</v>
      </c>
      <c r="G3" s="10" t="s">
        <v>3</v>
      </c>
      <c r="H3" s="9" t="s">
        <v>261</v>
      </c>
      <c r="I3" s="9" t="s">
        <v>262</v>
      </c>
      <c r="J3" s="10" t="s">
        <v>263</v>
      </c>
      <c r="K3" s="10" t="s">
        <v>264</v>
      </c>
      <c r="L3" s="29" t="s">
        <v>8</v>
      </c>
      <c r="M3" s="26" t="s">
        <v>96</v>
      </c>
      <c r="N3" s="27" t="s">
        <v>3</v>
      </c>
      <c r="O3" s="10" t="s">
        <v>4</v>
      </c>
      <c r="P3" s="10" t="s">
        <v>5</v>
      </c>
      <c r="Q3" s="10" t="s">
        <v>6</v>
      </c>
      <c r="R3" s="10" t="s">
        <v>7</v>
      </c>
      <c r="S3" s="10"/>
    </row>
    <row r="4" spans="1:25" x14ac:dyDescent="0.3">
      <c r="C4" t="s">
        <v>265</v>
      </c>
      <c r="D4">
        <v>40000</v>
      </c>
      <c r="E4">
        <v>310</v>
      </c>
      <c r="F4">
        <v>2100</v>
      </c>
      <c r="G4">
        <v>190</v>
      </c>
      <c r="H4">
        <f>E4*$J$14*$I$12</f>
        <v>188452613.35999998</v>
      </c>
      <c r="I4" s="23">
        <f>H4/(365*24)</f>
        <v>21512.855406392693</v>
      </c>
      <c r="J4">
        <f>G4*$N$17*12</f>
        <v>84360000</v>
      </c>
      <c r="K4" s="23">
        <f>J4/(365*24)</f>
        <v>9630.1369863013697</v>
      </c>
      <c r="L4" s="28">
        <f>SUM(M4:R4)</f>
        <v>43427.768721045148</v>
      </c>
      <c r="M4" s="28">
        <f>I4</f>
        <v>21512.855406392693</v>
      </c>
      <c r="N4" s="28">
        <f>K4</f>
        <v>9630.1369863013697</v>
      </c>
      <c r="O4" s="28">
        <f>M4*0.18</f>
        <v>3872.3139731506844</v>
      </c>
      <c r="P4" s="28">
        <f>M4*0.2</f>
        <v>4302.5710812785392</v>
      </c>
      <c r="Q4" s="28">
        <f>AF20</f>
        <v>882.96296296296293</v>
      </c>
      <c r="R4" s="28">
        <f>0.15*M4</f>
        <v>3226.9283109589037</v>
      </c>
      <c r="S4" s="28">
        <f>Y4</f>
        <v>529.73844492440605</v>
      </c>
      <c r="T4" s="44">
        <f>Q4*24*365/(E4*1000000*$J$14)</f>
        <v>4.186379928315412E-3</v>
      </c>
      <c r="U4">
        <v>31860</v>
      </c>
      <c r="V4" s="23">
        <f>U4*$O$13*1.1</f>
        <v>5256.9000000000005</v>
      </c>
      <c r="W4">
        <f>20*1.852</f>
        <v>37.04</v>
      </c>
      <c r="X4" s="23">
        <f>V4/W4</f>
        <v>141.92494600431968</v>
      </c>
      <c r="Y4" s="23">
        <f>X4*$Q$14</f>
        <v>529.73844492440605</v>
      </c>
    </row>
    <row r="5" spans="1:25" x14ac:dyDescent="0.3">
      <c r="C5" t="s">
        <v>265</v>
      </c>
      <c r="D5">
        <v>75000</v>
      </c>
      <c r="E5">
        <v>420</v>
      </c>
      <c r="F5">
        <v>2700</v>
      </c>
      <c r="G5">
        <v>250</v>
      </c>
      <c r="H5">
        <f t="shared" ref="H5:H7" si="0">E5*$J$14*$I$12</f>
        <v>255322895.51999995</v>
      </c>
      <c r="I5" s="23">
        <f t="shared" ref="I5:I7" si="1">H5/(365*24)</f>
        <v>29146.449260273967</v>
      </c>
      <c r="J5">
        <f>G5*$N$17*12</f>
        <v>111000000</v>
      </c>
      <c r="K5" s="23">
        <f t="shared" ref="K5:K7" si="2">J5/(365*24)</f>
        <v>12671.232876712329</v>
      </c>
      <c r="L5" s="28">
        <f t="shared" ref="L5:L7" si="3">SUM(M5:R5)</f>
        <v>58426.488516536432</v>
      </c>
      <c r="M5" s="28">
        <f t="shared" ref="M5:M7" si="4">I5</f>
        <v>29146.449260273967</v>
      </c>
      <c r="N5" s="28">
        <f t="shared" ref="N5:N7" si="5">K5</f>
        <v>12671.232876712329</v>
      </c>
      <c r="O5" s="28">
        <f t="shared" ref="O5:O7" si="6">M5*0.18</f>
        <v>5246.3608668493134</v>
      </c>
      <c r="P5" s="28">
        <f t="shared" ref="P5:P7" si="7">M5*0.2</f>
        <v>5829.2898520547933</v>
      </c>
      <c r="Q5" s="28">
        <f t="shared" ref="Q5:Q7" si="8">AF21</f>
        <v>1161.1882716049381</v>
      </c>
      <c r="R5" s="28">
        <f t="shared" ref="R5:R7" si="9">0.15*M5</f>
        <v>4371.967389041095</v>
      </c>
      <c r="S5" s="28">
        <f t="shared" ref="S5:S7" si="10">Y5</f>
        <v>704.98776097912162</v>
      </c>
      <c r="T5" s="44">
        <f t="shared" ref="T5:T7" si="11">Q5*24*365/(E5*1000000*$J$14)</f>
        <v>4.0636022927689587E-3</v>
      </c>
      <c r="U5">
        <v>42400</v>
      </c>
      <c r="V5" s="23">
        <f t="shared" ref="V5:V7" si="12">U5*$O$13*1.1</f>
        <v>6996.0000000000009</v>
      </c>
      <c r="W5">
        <f>W4</f>
        <v>37.04</v>
      </c>
      <c r="X5" s="23">
        <f t="shared" ref="X5:X7" si="13">V5/W5</f>
        <v>188.87688984881211</v>
      </c>
      <c r="Y5" s="23">
        <f t="shared" ref="Y5:Y7" si="14">X5*$Q$14</f>
        <v>704.98776097912162</v>
      </c>
    </row>
    <row r="6" spans="1:25" x14ac:dyDescent="0.3">
      <c r="C6" t="s">
        <v>266</v>
      </c>
      <c r="D6">
        <v>77000</v>
      </c>
      <c r="E6">
        <v>450</v>
      </c>
      <c r="F6">
        <v>2100</v>
      </c>
      <c r="G6">
        <f>F6/2.5</f>
        <v>840</v>
      </c>
      <c r="H6">
        <f t="shared" si="0"/>
        <v>273560245.19999999</v>
      </c>
      <c r="I6" s="23">
        <f t="shared" si="1"/>
        <v>31228.338493150684</v>
      </c>
      <c r="J6">
        <f>G6*$N$21*12</f>
        <v>124499844</v>
      </c>
      <c r="K6" s="23">
        <f t="shared" si="2"/>
        <v>14212.310958904109</v>
      </c>
      <c r="L6" s="28">
        <f t="shared" si="3"/>
        <v>63185.048483054285</v>
      </c>
      <c r="M6" s="28">
        <f t="shared" si="4"/>
        <v>31228.338493150684</v>
      </c>
      <c r="N6" s="28">
        <f t="shared" si="5"/>
        <v>14212.310958904109</v>
      </c>
      <c r="O6" s="28">
        <f t="shared" si="6"/>
        <v>5621.1009287671232</v>
      </c>
      <c r="P6" s="28">
        <f t="shared" si="7"/>
        <v>6245.6676986301372</v>
      </c>
      <c r="Q6" s="28">
        <f t="shared" si="8"/>
        <v>1193.3796296296296</v>
      </c>
      <c r="R6" s="28">
        <f t="shared" si="9"/>
        <v>4684.2507739726025</v>
      </c>
      <c r="S6" s="28">
        <f t="shared" si="10"/>
        <v>813.44741651437107</v>
      </c>
      <c r="T6" s="44">
        <f t="shared" si="11"/>
        <v>3.8978395061728391E-3</v>
      </c>
      <c r="U6" s="23">
        <f>36000*$V$16</f>
        <v>48923.076923076922</v>
      </c>
      <c r="V6" s="23">
        <f t="shared" si="12"/>
        <v>8072.3076923076924</v>
      </c>
      <c r="W6">
        <f t="shared" ref="W6:W7" si="15">W5</f>
        <v>37.04</v>
      </c>
      <c r="X6" s="23">
        <f t="shared" si="13"/>
        <v>217.93487290247549</v>
      </c>
      <c r="Y6" s="23">
        <f t="shared" si="14"/>
        <v>813.44741651437107</v>
      </c>
    </row>
    <row r="7" spans="1:25" x14ac:dyDescent="0.3">
      <c r="C7" t="s">
        <v>266</v>
      </c>
      <c r="D7">
        <v>128000</v>
      </c>
      <c r="E7">
        <v>850</v>
      </c>
      <c r="F7">
        <v>3050</v>
      </c>
      <c r="G7" s="23">
        <f>F7/2.2</f>
        <v>1386.3636363636363</v>
      </c>
      <c r="H7">
        <f t="shared" si="0"/>
        <v>516724907.59999996</v>
      </c>
      <c r="I7" s="23">
        <f t="shared" si="1"/>
        <v>58986.861598173513</v>
      </c>
      <c r="J7">
        <f>G7*$N$21*12</f>
        <v>205478638.6363636</v>
      </c>
      <c r="K7" s="23">
        <f t="shared" si="2"/>
        <v>23456.465597758401</v>
      </c>
      <c r="L7" s="28">
        <f t="shared" si="3"/>
        <v>115703.69128404133</v>
      </c>
      <c r="M7" s="28">
        <f t="shared" si="4"/>
        <v>58986.861598173513</v>
      </c>
      <c r="N7" s="28">
        <f t="shared" si="5"/>
        <v>23456.465597758401</v>
      </c>
      <c r="O7" s="28">
        <f t="shared" si="6"/>
        <v>10617.635087671231</v>
      </c>
      <c r="P7" s="28">
        <f t="shared" si="7"/>
        <v>11797.372319634704</v>
      </c>
      <c r="Q7" s="28">
        <f t="shared" si="8"/>
        <v>1997.3274410774413</v>
      </c>
      <c r="R7" s="28">
        <f t="shared" si="9"/>
        <v>8848.0292397260273</v>
      </c>
      <c r="S7" s="28">
        <f t="shared" si="10"/>
        <v>858.63893965405839</v>
      </c>
      <c r="T7" s="44">
        <f t="shared" si="11"/>
        <v>3.4537284610814028E-3</v>
      </c>
      <c r="U7" s="23">
        <f>X12*X16</f>
        <v>51641.025641025641</v>
      </c>
      <c r="V7" s="23">
        <f t="shared" si="12"/>
        <v>8520.7692307692305</v>
      </c>
      <c r="W7">
        <f t="shared" si="15"/>
        <v>37.04</v>
      </c>
      <c r="X7" s="23">
        <f t="shared" si="13"/>
        <v>230.04236584150192</v>
      </c>
      <c r="Y7" s="23">
        <f t="shared" si="14"/>
        <v>858.63893965405839</v>
      </c>
    </row>
    <row r="9" spans="1:25" x14ac:dyDescent="0.3">
      <c r="M9" s="58"/>
    </row>
    <row r="10" spans="1:25" x14ac:dyDescent="0.3">
      <c r="I10" t="s">
        <v>267</v>
      </c>
      <c r="J10" s="59">
        <v>2.8731999999999998E-4</v>
      </c>
      <c r="P10" t="s">
        <v>175</v>
      </c>
      <c r="Q10">
        <f>Inputdata!C3</f>
        <v>620</v>
      </c>
      <c r="S10" t="s">
        <v>268</v>
      </c>
    </row>
    <row r="11" spans="1:25" x14ac:dyDescent="0.3">
      <c r="I11" t="s">
        <v>269</v>
      </c>
    </row>
    <row r="12" spans="1:25" ht="18" x14ac:dyDescent="0.35">
      <c r="A12" s="86" t="s">
        <v>472</v>
      </c>
      <c r="I12" s="23">
        <f>J10*355*1000000</f>
        <v>101998.59999999999</v>
      </c>
      <c r="P12" t="s">
        <v>176</v>
      </c>
      <c r="Q12">
        <f>Q16*Q10</f>
        <v>3695.2</v>
      </c>
      <c r="V12">
        <v>36000</v>
      </c>
      <c r="X12">
        <v>38000</v>
      </c>
    </row>
    <row r="13" spans="1:25" x14ac:dyDescent="0.3">
      <c r="N13" t="s">
        <v>178</v>
      </c>
      <c r="O13">
        <v>0.15</v>
      </c>
    </row>
    <row r="14" spans="1:25" x14ac:dyDescent="0.3">
      <c r="D14" t="s">
        <v>270</v>
      </c>
      <c r="E14" t="s">
        <v>260</v>
      </c>
      <c r="I14" t="s">
        <v>271</v>
      </c>
      <c r="J14">
        <f>Q16</f>
        <v>5.96</v>
      </c>
      <c r="P14" t="s">
        <v>177</v>
      </c>
      <c r="Q14" s="34">
        <f>Q12/(1000*0.99)</f>
        <v>3.7325252525252521</v>
      </c>
      <c r="V14">
        <v>42400</v>
      </c>
      <c r="X14">
        <v>42400</v>
      </c>
    </row>
    <row r="15" spans="1:25" x14ac:dyDescent="0.3">
      <c r="A15" t="s">
        <v>272</v>
      </c>
      <c r="B15">
        <v>2012</v>
      </c>
      <c r="C15">
        <v>71.099999999999994</v>
      </c>
      <c r="D15">
        <v>420</v>
      </c>
      <c r="E15">
        <v>2194</v>
      </c>
      <c r="V15">
        <v>31200</v>
      </c>
      <c r="X15">
        <v>31200</v>
      </c>
    </row>
    <row r="16" spans="1:25" x14ac:dyDescent="0.3">
      <c r="A16" t="s">
        <v>273</v>
      </c>
      <c r="B16">
        <v>2011</v>
      </c>
      <c r="C16">
        <v>71.099999999999994</v>
      </c>
      <c r="D16">
        <v>420</v>
      </c>
      <c r="E16">
        <v>2194</v>
      </c>
      <c r="H16" s="113" t="s">
        <v>476</v>
      </c>
      <c r="N16" t="s">
        <v>274</v>
      </c>
      <c r="P16" t="s">
        <v>275</v>
      </c>
      <c r="Q16">
        <f>Inputdata!C7</f>
        <v>5.96</v>
      </c>
      <c r="V16">
        <f>V14/V15</f>
        <v>1.358974358974359</v>
      </c>
      <c r="X16">
        <f>X14/X15</f>
        <v>1.358974358974359</v>
      </c>
    </row>
    <row r="17" spans="1:32" x14ac:dyDescent="0.3">
      <c r="A17" t="s">
        <v>276</v>
      </c>
      <c r="B17">
        <v>2013</v>
      </c>
      <c r="C17">
        <v>71.099999999999994</v>
      </c>
      <c r="D17">
        <v>420</v>
      </c>
      <c r="E17">
        <v>2194</v>
      </c>
      <c r="H17" t="s">
        <v>277</v>
      </c>
      <c r="J17" t="s">
        <v>278</v>
      </c>
      <c r="M17" t="s">
        <v>279</v>
      </c>
      <c r="N17" s="10">
        <f>I44</f>
        <v>37000</v>
      </c>
    </row>
    <row r="18" spans="1:32" x14ac:dyDescent="0.3">
      <c r="A18" t="s">
        <v>280</v>
      </c>
      <c r="B18">
        <v>1996</v>
      </c>
      <c r="C18">
        <v>76</v>
      </c>
      <c r="D18">
        <v>390</v>
      </c>
      <c r="E18">
        <v>1928</v>
      </c>
      <c r="H18" t="s">
        <v>281</v>
      </c>
      <c r="I18" s="123">
        <v>2600</v>
      </c>
      <c r="J18" s="130">
        <f>I18/Q16</f>
        <v>436.24161073825502</v>
      </c>
      <c r="M18" t="s">
        <v>282</v>
      </c>
      <c r="N18" s="10">
        <f>I45</f>
        <v>53100</v>
      </c>
      <c r="W18" s="113" t="s">
        <v>483</v>
      </c>
    </row>
    <row r="19" spans="1:32" x14ac:dyDescent="0.3">
      <c r="A19" t="s">
        <v>283</v>
      </c>
      <c r="B19">
        <v>1999</v>
      </c>
      <c r="C19">
        <v>77.099999999999994</v>
      </c>
      <c r="D19">
        <v>330</v>
      </c>
      <c r="E19">
        <v>2004</v>
      </c>
      <c r="H19" t="s">
        <v>284</v>
      </c>
      <c r="I19" s="123">
        <f>8*302.5</f>
        <v>2420</v>
      </c>
      <c r="J19" s="130">
        <f>I19/Q16</f>
        <v>406.04026845637583</v>
      </c>
      <c r="M19" t="s">
        <v>285</v>
      </c>
      <c r="N19" s="10">
        <f>$J$14*AVERAGE(J29:J32)</f>
        <v>10206.5</v>
      </c>
      <c r="AC19" t="s">
        <v>286</v>
      </c>
      <c r="AD19" t="s">
        <v>287</v>
      </c>
      <c r="AE19" t="s">
        <v>167</v>
      </c>
      <c r="AF19" s="10" t="s">
        <v>288</v>
      </c>
    </row>
    <row r="20" spans="1:32" x14ac:dyDescent="0.3">
      <c r="A20" t="s">
        <v>289</v>
      </c>
      <c r="B20">
        <v>2003</v>
      </c>
      <c r="C20">
        <v>77.5</v>
      </c>
      <c r="D20">
        <v>300</v>
      </c>
      <c r="E20">
        <v>2016</v>
      </c>
      <c r="H20" s="113" t="s">
        <v>477</v>
      </c>
      <c r="N20" s="10"/>
      <c r="Q20" s="113" t="s">
        <v>482</v>
      </c>
      <c r="U20" t="s">
        <v>290</v>
      </c>
      <c r="V20" t="s">
        <v>291</v>
      </c>
      <c r="X20" s="10" t="s">
        <v>265</v>
      </c>
      <c r="Y20" s="10">
        <v>40000</v>
      </c>
      <c r="Z20" s="132">
        <v>310</v>
      </c>
      <c r="AA20">
        <v>2100</v>
      </c>
      <c r="AB20">
        <v>190</v>
      </c>
      <c r="AC20" s="23">
        <f>$S$21*(Z20/$V$21)</f>
        <v>3079333.3333333335</v>
      </c>
      <c r="AD20" s="23">
        <f>$S$22*((AA20+AB20)/$V$22)</f>
        <v>4549466.666666667</v>
      </c>
      <c r="AE20" s="23">
        <f>AC20+AD20</f>
        <v>7628800</v>
      </c>
      <c r="AF20" s="28">
        <f>AE20/(360*24)</f>
        <v>882.96296296296293</v>
      </c>
    </row>
    <row r="21" spans="1:32" x14ac:dyDescent="0.3">
      <c r="A21" t="s">
        <v>292</v>
      </c>
      <c r="B21">
        <v>2000</v>
      </c>
      <c r="C21">
        <v>76.150000000000006</v>
      </c>
      <c r="D21">
        <v>375</v>
      </c>
      <c r="E21">
        <v>1870</v>
      </c>
      <c r="H21" t="s">
        <v>293</v>
      </c>
      <c r="I21" t="s">
        <v>294</v>
      </c>
      <c r="J21" t="s">
        <v>260</v>
      </c>
      <c r="M21" t="s">
        <v>295</v>
      </c>
      <c r="N21" s="28">
        <f>(0.05*N18)+(0.95*N19)</f>
        <v>12351.174999999999</v>
      </c>
      <c r="P21" t="s">
        <v>296</v>
      </c>
      <c r="Q21" s="10" t="s">
        <v>286</v>
      </c>
      <c r="R21" s="123">
        <v>1000000</v>
      </c>
      <c r="S21" s="10">
        <f>R21*$Q$16</f>
        <v>5960000</v>
      </c>
      <c r="T21" s="41">
        <f>S21/(365*24)</f>
        <v>680.365296803653</v>
      </c>
      <c r="U21" s="10"/>
      <c r="V21" s="123">
        <v>600</v>
      </c>
      <c r="X21" s="10" t="s">
        <v>265</v>
      </c>
      <c r="Y21" s="10">
        <v>75000</v>
      </c>
      <c r="Z21" s="132">
        <v>420</v>
      </c>
      <c r="AA21">
        <v>2700</v>
      </c>
      <c r="AB21">
        <v>250</v>
      </c>
      <c r="AC21" s="23">
        <f t="shared" ref="AC21:AC23" si="16">$S$21*(Z21/$V$21)</f>
        <v>4171999.9999999995</v>
      </c>
      <c r="AD21" s="23">
        <f t="shared" ref="AD21:AD23" si="17">$S$22*((AA21+AB21)/$V$22)</f>
        <v>5860666.666666666</v>
      </c>
      <c r="AE21" s="23">
        <f t="shared" ref="AE21:AE23" si="18">AC21+AD21</f>
        <v>10032666.666666666</v>
      </c>
      <c r="AF21" s="28">
        <f t="shared" ref="AF21:AF23" si="19">AE21/(360*24)</f>
        <v>1161.1882716049381</v>
      </c>
    </row>
    <row r="22" spans="1:32" x14ac:dyDescent="0.3">
      <c r="A22" t="s">
        <v>297</v>
      </c>
      <c r="B22">
        <v>1997</v>
      </c>
      <c r="C22">
        <v>77.5</v>
      </c>
      <c r="D22">
        <v>300</v>
      </c>
      <c r="E22">
        <v>2016</v>
      </c>
      <c r="H22" t="s">
        <v>298</v>
      </c>
      <c r="I22" s="10">
        <v>40</v>
      </c>
      <c r="J22" s="10">
        <v>2168</v>
      </c>
      <c r="N22" s="113" t="s">
        <v>478</v>
      </c>
      <c r="Q22" s="10" t="s">
        <v>287</v>
      </c>
      <c r="R22" s="123">
        <v>1000000</v>
      </c>
      <c r="S22" s="10">
        <f>R22*$Q$16</f>
        <v>5960000</v>
      </c>
      <c r="T22" s="41">
        <f>S22/(365*24)</f>
        <v>680.365296803653</v>
      </c>
      <c r="U22" s="10"/>
      <c r="V22" s="123">
        <v>3000</v>
      </c>
      <c r="X22" s="10" t="s">
        <v>266</v>
      </c>
      <c r="Y22" s="10">
        <v>77000</v>
      </c>
      <c r="Z22" s="132">
        <v>450</v>
      </c>
      <c r="AA22">
        <v>2100</v>
      </c>
      <c r="AB22">
        <f>AA22/2.5</f>
        <v>840</v>
      </c>
      <c r="AC22" s="23">
        <f t="shared" si="16"/>
        <v>4470000</v>
      </c>
      <c r="AD22" s="23">
        <f t="shared" si="17"/>
        <v>5840800</v>
      </c>
      <c r="AE22" s="23">
        <f t="shared" si="18"/>
        <v>10310800</v>
      </c>
      <c r="AF22" s="28">
        <f t="shared" si="19"/>
        <v>1193.3796296296296</v>
      </c>
    </row>
    <row r="23" spans="1:32" x14ac:dyDescent="0.3">
      <c r="A23" t="s">
        <v>299</v>
      </c>
      <c r="B23">
        <v>1998</v>
      </c>
      <c r="C23">
        <v>77.5</v>
      </c>
      <c r="D23">
        <v>300</v>
      </c>
      <c r="E23">
        <v>2016</v>
      </c>
      <c r="H23" t="s">
        <v>300</v>
      </c>
      <c r="I23" s="10"/>
      <c r="J23" s="10">
        <v>2044</v>
      </c>
      <c r="X23" s="10" t="s">
        <v>266</v>
      </c>
      <c r="Y23" s="10">
        <v>128000</v>
      </c>
      <c r="Z23" s="132">
        <v>850</v>
      </c>
      <c r="AA23">
        <v>3050</v>
      </c>
      <c r="AB23" s="23">
        <f>AA23/2.2</f>
        <v>1386.3636363636363</v>
      </c>
      <c r="AC23" s="23">
        <f t="shared" si="16"/>
        <v>8443333.333333334</v>
      </c>
      <c r="AD23" s="23">
        <f t="shared" si="17"/>
        <v>8813575.7575757578</v>
      </c>
      <c r="AE23" s="23">
        <f t="shared" si="18"/>
        <v>17256909.090909094</v>
      </c>
      <c r="AF23" s="28">
        <f t="shared" si="19"/>
        <v>1997.3274410774413</v>
      </c>
    </row>
    <row r="24" spans="1:32" x14ac:dyDescent="0.3">
      <c r="A24" t="s">
        <v>301</v>
      </c>
      <c r="B24">
        <v>2008</v>
      </c>
      <c r="C24">
        <v>73.19</v>
      </c>
      <c r="D24">
        <v>183</v>
      </c>
      <c r="E24">
        <v>2324</v>
      </c>
      <c r="N24" s="113" t="s">
        <v>510</v>
      </c>
    </row>
    <row r="25" spans="1:32" x14ac:dyDescent="0.3">
      <c r="A25" t="s">
        <v>302</v>
      </c>
      <c r="B25">
        <v>1998</v>
      </c>
      <c r="C25">
        <v>78.5</v>
      </c>
      <c r="D25">
        <v>275</v>
      </c>
      <c r="E25">
        <v>1998</v>
      </c>
      <c r="H25" s="113" t="s">
        <v>303</v>
      </c>
      <c r="M25" t="s">
        <v>304</v>
      </c>
      <c r="N25" t="s">
        <v>4</v>
      </c>
      <c r="O25" t="s">
        <v>305</v>
      </c>
      <c r="P25" t="s">
        <v>306</v>
      </c>
      <c r="Q25" t="s">
        <v>305</v>
      </c>
      <c r="R25" t="s">
        <v>6</v>
      </c>
      <c r="S25" t="s">
        <v>305</v>
      </c>
      <c r="T25" t="s">
        <v>307</v>
      </c>
      <c r="U25" t="s">
        <v>305</v>
      </c>
    </row>
    <row r="26" spans="1:32" x14ac:dyDescent="0.3">
      <c r="A26" t="s">
        <v>308</v>
      </c>
      <c r="B26">
        <v>1996</v>
      </c>
      <c r="C26">
        <v>77</v>
      </c>
      <c r="D26">
        <v>320</v>
      </c>
      <c r="E26">
        <v>1924</v>
      </c>
      <c r="H26" s="113" t="s">
        <v>309</v>
      </c>
      <c r="M26">
        <f>11587-5342</f>
        <v>6245</v>
      </c>
      <c r="N26">
        <v>689</v>
      </c>
      <c r="O26" s="60">
        <f>N26/M26</f>
        <v>0.11032826261008807</v>
      </c>
      <c r="P26">
        <v>808</v>
      </c>
      <c r="Q26" s="60">
        <f>P26/M26</f>
        <v>0.12938350680544436</v>
      </c>
      <c r="R26">
        <v>534</v>
      </c>
      <c r="S26" s="60">
        <f>R26/M26</f>
        <v>8.5508406725380307E-2</v>
      </c>
      <c r="T26">
        <v>889</v>
      </c>
      <c r="U26" s="60">
        <f>T26/M26</f>
        <v>0.1423538831064852</v>
      </c>
      <c r="AF26" s="23">
        <f>AF20*24</f>
        <v>21191.111111111109</v>
      </c>
    </row>
    <row r="27" spans="1:32" x14ac:dyDescent="0.3">
      <c r="A27" t="s">
        <v>310</v>
      </c>
      <c r="B27">
        <v>1997</v>
      </c>
      <c r="C27">
        <v>77.3</v>
      </c>
      <c r="D27">
        <v>320</v>
      </c>
      <c r="E27">
        <v>1924</v>
      </c>
      <c r="H27" s="113" t="s">
        <v>311</v>
      </c>
      <c r="M27">
        <f>14108-6017</f>
        <v>8091</v>
      </c>
      <c r="N27">
        <v>794</v>
      </c>
      <c r="O27" s="60">
        <f t="shared" ref="O27:O48" si="20">N27/M27</f>
        <v>9.813372883450748E-2</v>
      </c>
      <c r="P27">
        <v>899</v>
      </c>
      <c r="Q27" s="60">
        <f t="shared" ref="Q27:Q48" si="21">P27/M27</f>
        <v>0.1111111111111111</v>
      </c>
      <c r="R27">
        <v>578</v>
      </c>
      <c r="S27" s="60">
        <f t="shared" ref="S27:S48" si="22">R27/M27</f>
        <v>7.143739957978E-2</v>
      </c>
      <c r="T27">
        <v>994</v>
      </c>
      <c r="U27" s="60">
        <f t="shared" ref="U27:U48" si="23">T27/M27</f>
        <v>0.1228525522185144</v>
      </c>
      <c r="AF27" s="23">
        <f t="shared" ref="AF27:AF29" si="24">AF21*24</f>
        <v>27868.518518518515</v>
      </c>
    </row>
    <row r="28" spans="1:32" x14ac:dyDescent="0.3">
      <c r="I28" t="s">
        <v>312</v>
      </c>
      <c r="J28" t="s">
        <v>278</v>
      </c>
      <c r="K28" t="s">
        <v>278</v>
      </c>
      <c r="M28">
        <f>14663-6606</f>
        <v>8057</v>
      </c>
      <c r="N28">
        <v>892</v>
      </c>
      <c r="O28" s="60">
        <f t="shared" si="20"/>
        <v>0.11071118282239047</v>
      </c>
      <c r="P28">
        <v>862</v>
      </c>
      <c r="Q28" s="60">
        <f t="shared" si="21"/>
        <v>0.10698771254809482</v>
      </c>
      <c r="R28">
        <v>644</v>
      </c>
      <c r="S28" s="60">
        <f t="shared" si="22"/>
        <v>7.993049522154648E-2</v>
      </c>
      <c r="T28">
        <v>1105</v>
      </c>
      <c r="U28" s="60">
        <f t="shared" si="23"/>
        <v>0.13714782176988954</v>
      </c>
      <c r="AF28" s="23">
        <f t="shared" si="24"/>
        <v>28641.111111111109</v>
      </c>
    </row>
    <row r="29" spans="1:32" x14ac:dyDescent="0.3">
      <c r="A29" t="s">
        <v>313</v>
      </c>
      <c r="B29">
        <v>2008</v>
      </c>
      <c r="C29">
        <v>113</v>
      </c>
      <c r="D29">
        <v>697</v>
      </c>
      <c r="H29" t="s">
        <v>314</v>
      </c>
      <c r="I29" s="123">
        <f>400*9</f>
        <v>3600</v>
      </c>
      <c r="J29" s="123">
        <f>400*9/6</f>
        <v>600</v>
      </c>
      <c r="K29">
        <f>4*425</f>
        <v>1700</v>
      </c>
      <c r="M29">
        <f>16938-7758</f>
        <v>9180</v>
      </c>
      <c r="N29">
        <v>1181</v>
      </c>
      <c r="O29" s="60">
        <f t="shared" si="20"/>
        <v>0.12864923747276688</v>
      </c>
      <c r="P29">
        <v>1024</v>
      </c>
      <c r="Q29" s="60">
        <f t="shared" si="21"/>
        <v>0.11154684095860566</v>
      </c>
      <c r="R29">
        <v>790</v>
      </c>
      <c r="S29" s="60">
        <f t="shared" si="22"/>
        <v>8.6056644880174296E-2</v>
      </c>
      <c r="T29">
        <v>1477</v>
      </c>
      <c r="U29" s="60">
        <f t="shared" si="23"/>
        <v>0.16089324618736384</v>
      </c>
      <c r="AF29" s="23">
        <f t="shared" si="24"/>
        <v>47935.858585858594</v>
      </c>
    </row>
    <row r="30" spans="1:32" x14ac:dyDescent="0.3">
      <c r="A30" t="s">
        <v>315</v>
      </c>
      <c r="B30">
        <v>2008</v>
      </c>
      <c r="C30">
        <v>158</v>
      </c>
      <c r="D30">
        <v>828</v>
      </c>
      <c r="H30" t="s">
        <v>316</v>
      </c>
      <c r="I30" s="123">
        <f>6*(3250)</f>
        <v>19500</v>
      </c>
      <c r="J30" s="123">
        <v>2250</v>
      </c>
      <c r="O30" s="60"/>
      <c r="Q30" s="60"/>
      <c r="S30" s="60"/>
      <c r="U30" s="60"/>
    </row>
    <row r="31" spans="1:32" x14ac:dyDescent="0.3">
      <c r="A31" t="s">
        <v>317</v>
      </c>
      <c r="B31">
        <v>2012</v>
      </c>
      <c r="C31">
        <v>130</v>
      </c>
      <c r="D31">
        <v>740</v>
      </c>
      <c r="E31">
        <v>3690</v>
      </c>
      <c r="H31" t="s">
        <v>318</v>
      </c>
      <c r="I31" s="123">
        <f>2250*6</f>
        <v>13500</v>
      </c>
      <c r="J31" s="123">
        <v>2250</v>
      </c>
      <c r="M31">
        <f>13668-7829</f>
        <v>5839</v>
      </c>
      <c r="N31">
        <v>803</v>
      </c>
      <c r="O31" s="60">
        <f t="shared" si="20"/>
        <v>0.13752354855283438</v>
      </c>
      <c r="P31">
        <v>1142</v>
      </c>
      <c r="Q31" s="60">
        <f t="shared" si="21"/>
        <v>0.19558143517725637</v>
      </c>
      <c r="R31">
        <v>521</v>
      </c>
      <c r="S31" s="60">
        <f t="shared" si="22"/>
        <v>8.9227607467032025E-2</v>
      </c>
      <c r="T31">
        <v>1126</v>
      </c>
      <c r="U31" s="60">
        <f t="shared" si="23"/>
        <v>0.19284123993834559</v>
      </c>
    </row>
    <row r="32" spans="1:32" x14ac:dyDescent="0.3">
      <c r="A32" t="s">
        <v>319</v>
      </c>
      <c r="B32">
        <v>2011</v>
      </c>
      <c r="C32">
        <v>130</v>
      </c>
      <c r="D32">
        <v>740</v>
      </c>
      <c r="E32">
        <v>3690</v>
      </c>
      <c r="H32" t="s">
        <v>320</v>
      </c>
      <c r="I32" s="123">
        <f>1750*6</f>
        <v>10500</v>
      </c>
      <c r="J32" s="123">
        <v>1750</v>
      </c>
      <c r="M32">
        <f>14745-8419</f>
        <v>6326</v>
      </c>
      <c r="N32">
        <v>902</v>
      </c>
      <c r="O32" s="60">
        <f t="shared" si="20"/>
        <v>0.14258615238697439</v>
      </c>
      <c r="P32">
        <v>1259</v>
      </c>
      <c r="Q32" s="60">
        <f t="shared" si="21"/>
        <v>0.19901991779955738</v>
      </c>
      <c r="R32">
        <v>638</v>
      </c>
      <c r="S32" s="60">
        <f t="shared" si="22"/>
        <v>0.10085361998103066</v>
      </c>
      <c r="T32">
        <v>1187</v>
      </c>
      <c r="U32" s="60">
        <f t="shared" si="23"/>
        <v>0.18763831805248182</v>
      </c>
    </row>
    <row r="33" spans="1:21" x14ac:dyDescent="0.3">
      <c r="A33" t="s">
        <v>321</v>
      </c>
      <c r="B33">
        <v>2010</v>
      </c>
      <c r="C33">
        <v>122</v>
      </c>
      <c r="D33">
        <v>640</v>
      </c>
      <c r="E33">
        <v>2850</v>
      </c>
      <c r="H33" t="s">
        <v>322</v>
      </c>
      <c r="I33" s="123">
        <f>2250*6</f>
        <v>13500</v>
      </c>
      <c r="J33" s="123">
        <v>2250</v>
      </c>
      <c r="M33">
        <f>15457-8514</f>
        <v>6943</v>
      </c>
      <c r="N33">
        <v>847</v>
      </c>
      <c r="O33" s="60">
        <f t="shared" si="20"/>
        <v>0.12199337462192136</v>
      </c>
      <c r="P33">
        <v>1111</v>
      </c>
      <c r="Q33" s="60">
        <f t="shared" si="21"/>
        <v>0.16001728359498776</v>
      </c>
      <c r="R33">
        <v>657</v>
      </c>
      <c r="S33" s="60">
        <f t="shared" si="22"/>
        <v>9.4627682557972062E-2</v>
      </c>
      <c r="T33">
        <v>1312</v>
      </c>
      <c r="U33" s="60">
        <f t="shared" si="23"/>
        <v>0.18896730519948149</v>
      </c>
    </row>
    <row r="34" spans="1:21" x14ac:dyDescent="0.3">
      <c r="A34" t="s">
        <v>323</v>
      </c>
      <c r="B34">
        <v>2009</v>
      </c>
      <c r="C34">
        <v>122</v>
      </c>
      <c r="D34">
        <v>640</v>
      </c>
      <c r="E34">
        <v>2850</v>
      </c>
      <c r="M34">
        <f>19587-9681</f>
        <v>9906</v>
      </c>
      <c r="N34">
        <v>1104</v>
      </c>
      <c r="O34" s="60">
        <f t="shared" si="20"/>
        <v>0.11144760751059964</v>
      </c>
      <c r="P34">
        <v>1214</v>
      </c>
      <c r="Q34" s="60">
        <f t="shared" si="21"/>
        <v>0.12255198869372098</v>
      </c>
      <c r="R34">
        <v>791</v>
      </c>
      <c r="S34" s="60">
        <f t="shared" si="22"/>
        <v>7.9850595598627089E-2</v>
      </c>
      <c r="T34">
        <v>1150</v>
      </c>
      <c r="U34" s="60">
        <f t="shared" si="23"/>
        <v>0.11609125782354129</v>
      </c>
    </row>
    <row r="35" spans="1:21" x14ac:dyDescent="0.3">
      <c r="A35" t="s">
        <v>324</v>
      </c>
      <c r="B35">
        <v>2011</v>
      </c>
      <c r="C35">
        <v>128</v>
      </c>
      <c r="D35">
        <v>900</v>
      </c>
      <c r="E35">
        <v>2500</v>
      </c>
      <c r="M35">
        <f>24947-10780</f>
        <v>14167</v>
      </c>
      <c r="N35">
        <v>1405</v>
      </c>
      <c r="O35" s="60">
        <f t="shared" si="20"/>
        <v>9.9174137079127547E-2</v>
      </c>
      <c r="P35">
        <v>1569</v>
      </c>
      <c r="Q35" s="60">
        <f t="shared" si="21"/>
        <v>0.11075033528622856</v>
      </c>
      <c r="R35">
        <v>1124</v>
      </c>
      <c r="S35" s="60">
        <f t="shared" si="22"/>
        <v>7.9339309663302035E-2</v>
      </c>
      <c r="T35">
        <v>1573</v>
      </c>
      <c r="U35" s="60">
        <f t="shared" si="23"/>
        <v>0.11103268158396273</v>
      </c>
    </row>
    <row r="36" spans="1:21" x14ac:dyDescent="0.3">
      <c r="A36" t="s">
        <v>325</v>
      </c>
      <c r="B36">
        <v>2012</v>
      </c>
      <c r="C36">
        <v>128</v>
      </c>
      <c r="D36">
        <v>940</v>
      </c>
      <c r="E36">
        <v>2500</v>
      </c>
      <c r="H36" t="s">
        <v>260</v>
      </c>
      <c r="I36" t="s">
        <v>3</v>
      </c>
      <c r="M36">
        <f>13000-7479</f>
        <v>5521</v>
      </c>
      <c r="N36">
        <v>748</v>
      </c>
      <c r="O36" s="60">
        <f t="shared" si="20"/>
        <v>0.13548270240898388</v>
      </c>
      <c r="P36">
        <v>1080</v>
      </c>
      <c r="Q36" s="60">
        <f t="shared" si="21"/>
        <v>0.19561673609853286</v>
      </c>
      <c r="R36">
        <v>504</v>
      </c>
      <c r="S36" s="60">
        <f t="shared" si="22"/>
        <v>9.1287810179315337E-2</v>
      </c>
      <c r="T36">
        <v>1020</v>
      </c>
      <c r="U36" s="60">
        <f t="shared" si="23"/>
        <v>0.18474913964861439</v>
      </c>
    </row>
    <row r="37" spans="1:21" x14ac:dyDescent="0.3">
      <c r="A37" t="s">
        <v>326</v>
      </c>
      <c r="B37">
        <v>2009</v>
      </c>
      <c r="C37">
        <v>130</v>
      </c>
      <c r="D37">
        <v>550</v>
      </c>
      <c r="E37">
        <v>3274</v>
      </c>
      <c r="H37" s="123">
        <v>5400</v>
      </c>
      <c r="I37" s="123">
        <v>1650</v>
      </c>
      <c r="J37" s="40">
        <f>I37/H37</f>
        <v>0.30555555555555558</v>
      </c>
      <c r="K37" s="41">
        <f>1/J37</f>
        <v>3.2727272727272725</v>
      </c>
      <c r="M37">
        <f>18696-4888</f>
        <v>13808</v>
      </c>
      <c r="N37">
        <v>538</v>
      </c>
      <c r="O37" s="60">
        <f t="shared" si="20"/>
        <v>3.8962920046349943E-2</v>
      </c>
      <c r="P37">
        <v>672</v>
      </c>
      <c r="Q37" s="60">
        <f t="shared" si="21"/>
        <v>4.8667439165701043E-2</v>
      </c>
      <c r="R37">
        <v>216</v>
      </c>
      <c r="S37" s="60">
        <f t="shared" si="22"/>
        <v>1.5643105446118192E-2</v>
      </c>
      <c r="T37">
        <v>762</v>
      </c>
      <c r="U37" s="60">
        <f t="shared" si="23"/>
        <v>5.5185399768250293E-2</v>
      </c>
    </row>
    <row r="38" spans="1:21" x14ac:dyDescent="0.3">
      <c r="H38" s="123">
        <v>4000</v>
      </c>
      <c r="I38" s="123">
        <v>1458</v>
      </c>
      <c r="J38" s="40">
        <f t="shared" ref="J38:J42" si="25">I38/H38</f>
        <v>0.36449999999999999</v>
      </c>
      <c r="K38" s="41">
        <f t="shared" ref="K38:K42" si="26">1/J38</f>
        <v>2.7434842249657065</v>
      </c>
      <c r="M38">
        <f>22096-7360</f>
        <v>14736</v>
      </c>
      <c r="N38">
        <v>741</v>
      </c>
      <c r="O38" s="60">
        <f t="shared" si="20"/>
        <v>5.0285016286644953E-2</v>
      </c>
      <c r="P38">
        <v>1048</v>
      </c>
      <c r="Q38" s="60">
        <f t="shared" si="21"/>
        <v>7.1118349619978288E-2</v>
      </c>
      <c r="R38">
        <v>472</v>
      </c>
      <c r="S38" s="60">
        <f t="shared" si="22"/>
        <v>3.2030401737242128E-2</v>
      </c>
      <c r="T38">
        <v>982</v>
      </c>
      <c r="U38" s="60">
        <f t="shared" si="23"/>
        <v>6.6639522258414768E-2</v>
      </c>
    </row>
    <row r="39" spans="1:21" x14ac:dyDescent="0.3">
      <c r="A39" t="s">
        <v>327</v>
      </c>
      <c r="B39">
        <v>2003</v>
      </c>
      <c r="C39">
        <v>42.9</v>
      </c>
      <c r="D39">
        <v>350</v>
      </c>
      <c r="E39">
        <v>1266</v>
      </c>
      <c r="H39" s="123">
        <v>1258</v>
      </c>
      <c r="I39" s="123">
        <v>800</v>
      </c>
      <c r="J39" s="40">
        <f t="shared" si="25"/>
        <v>0.63593004769475359</v>
      </c>
      <c r="K39" s="41">
        <f t="shared" si="26"/>
        <v>1.5725</v>
      </c>
      <c r="M39">
        <f>26397-7280</f>
        <v>19117</v>
      </c>
      <c r="N39">
        <v>721</v>
      </c>
      <c r="O39" s="60">
        <f t="shared" si="20"/>
        <v>3.7715122665690222E-2</v>
      </c>
      <c r="P39">
        <v>980</v>
      </c>
      <c r="Q39" s="60">
        <f t="shared" si="21"/>
        <v>5.1263273526180889E-2</v>
      </c>
      <c r="R39">
        <v>493</v>
      </c>
      <c r="S39" s="60">
        <f t="shared" si="22"/>
        <v>2.5788565151435894E-2</v>
      </c>
      <c r="T39">
        <v>907</v>
      </c>
      <c r="U39" s="60">
        <f t="shared" si="23"/>
        <v>4.744468274310823E-2</v>
      </c>
    </row>
    <row r="40" spans="1:21" x14ac:dyDescent="0.3">
      <c r="A40" t="s">
        <v>328</v>
      </c>
      <c r="B40">
        <v>1996</v>
      </c>
      <c r="C40">
        <v>38.6</v>
      </c>
      <c r="D40">
        <v>300</v>
      </c>
      <c r="E40">
        <v>1180</v>
      </c>
      <c r="H40" s="123">
        <v>2050</v>
      </c>
      <c r="I40" s="123">
        <v>611</v>
      </c>
      <c r="J40" s="40">
        <f t="shared" si="25"/>
        <v>0.29804878048780487</v>
      </c>
      <c r="K40" s="41">
        <f t="shared" si="26"/>
        <v>3.3551554828150576</v>
      </c>
      <c r="O40" s="60"/>
      <c r="Q40" s="60"/>
      <c r="S40" s="60"/>
      <c r="U40" s="60"/>
    </row>
    <row r="41" spans="1:21" x14ac:dyDescent="0.3">
      <c r="A41" t="s">
        <v>329</v>
      </c>
      <c r="B41">
        <v>2002</v>
      </c>
      <c r="C41">
        <v>42.3</v>
      </c>
      <c r="D41">
        <v>350</v>
      </c>
      <c r="E41">
        <v>1266</v>
      </c>
      <c r="H41" s="123">
        <v>3690</v>
      </c>
      <c r="I41" s="123">
        <v>1367</v>
      </c>
      <c r="J41" s="40">
        <f t="shared" si="25"/>
        <v>0.37046070460704605</v>
      </c>
      <c r="K41" s="41">
        <f t="shared" si="26"/>
        <v>2.6993416239941479</v>
      </c>
      <c r="L41" t="s">
        <v>330</v>
      </c>
      <c r="M41">
        <f>10142-5341</f>
        <v>4801</v>
      </c>
      <c r="N41">
        <v>683</v>
      </c>
      <c r="O41" s="60">
        <f t="shared" si="20"/>
        <v>0.14226202874401167</v>
      </c>
      <c r="P41">
        <v>789</v>
      </c>
      <c r="Q41" s="60">
        <f t="shared" si="21"/>
        <v>0.16434076234117892</v>
      </c>
      <c r="R41">
        <v>547</v>
      </c>
      <c r="S41" s="60">
        <f t="shared" si="22"/>
        <v>0.11393459695896688</v>
      </c>
      <c r="T41">
        <v>662</v>
      </c>
      <c r="U41" s="60">
        <f t="shared" si="23"/>
        <v>0.13788794001249741</v>
      </c>
    </row>
    <row r="42" spans="1:21" x14ac:dyDescent="0.3">
      <c r="A42" t="s">
        <v>331</v>
      </c>
      <c r="B42">
        <v>2003</v>
      </c>
      <c r="C42">
        <v>42.4</v>
      </c>
      <c r="D42">
        <v>240</v>
      </c>
      <c r="E42">
        <v>706</v>
      </c>
      <c r="G42" t="s">
        <v>332</v>
      </c>
      <c r="H42" s="123">
        <v>450</v>
      </c>
      <c r="I42" s="123">
        <v>330</v>
      </c>
      <c r="J42" s="40">
        <f t="shared" si="25"/>
        <v>0.73333333333333328</v>
      </c>
      <c r="K42" s="41">
        <f t="shared" si="26"/>
        <v>1.3636363636363638</v>
      </c>
      <c r="L42" t="s">
        <v>330</v>
      </c>
      <c r="M42">
        <f>13388-7730</f>
        <v>5658</v>
      </c>
      <c r="N42">
        <v>1127</v>
      </c>
      <c r="O42" s="60">
        <f t="shared" si="20"/>
        <v>0.1991869918699187</v>
      </c>
      <c r="P42">
        <v>1429</v>
      </c>
      <c r="Q42" s="60">
        <f t="shared" si="21"/>
        <v>0.25256274301873455</v>
      </c>
      <c r="R42">
        <v>745</v>
      </c>
      <c r="S42" s="60">
        <f t="shared" si="22"/>
        <v>0.13167196889360197</v>
      </c>
      <c r="T42">
        <v>1060</v>
      </c>
      <c r="U42" s="60">
        <f t="shared" si="23"/>
        <v>0.18734535171438671</v>
      </c>
    </row>
    <row r="43" spans="1:21" x14ac:dyDescent="0.3">
      <c r="M43">
        <f>6425-4526</f>
        <v>1899</v>
      </c>
      <c r="N43">
        <v>552</v>
      </c>
      <c r="O43" s="60">
        <f t="shared" si="20"/>
        <v>0.29067930489731436</v>
      </c>
      <c r="P43">
        <v>888</v>
      </c>
      <c r="Q43" s="60">
        <f t="shared" si="21"/>
        <v>0.46761453396524488</v>
      </c>
      <c r="R43">
        <v>407</v>
      </c>
      <c r="S43" s="60">
        <f t="shared" si="22"/>
        <v>0.2143233280674039</v>
      </c>
      <c r="T43">
        <v>724</v>
      </c>
      <c r="U43" s="60">
        <f t="shared" si="23"/>
        <v>0.38125329120589785</v>
      </c>
    </row>
    <row r="44" spans="1:21" x14ac:dyDescent="0.3">
      <c r="G44" t="s">
        <v>333</v>
      </c>
      <c r="H44" t="s">
        <v>334</v>
      </c>
      <c r="I44" s="123">
        <v>37000</v>
      </c>
      <c r="J44" s="109" t="s">
        <v>474</v>
      </c>
      <c r="K44" t="s">
        <v>475</v>
      </c>
      <c r="M44">
        <f>9729-5436</f>
        <v>4293</v>
      </c>
      <c r="N44">
        <v>781</v>
      </c>
      <c r="O44" s="60">
        <f t="shared" si="20"/>
        <v>0.18192406242720707</v>
      </c>
      <c r="P44">
        <v>1025</v>
      </c>
      <c r="Q44" s="60">
        <f t="shared" si="21"/>
        <v>0.23876077335196833</v>
      </c>
      <c r="R44">
        <v>547</v>
      </c>
      <c r="S44" s="60">
        <f t="shared" si="22"/>
        <v>0.12741672490100164</v>
      </c>
      <c r="T44">
        <v>619</v>
      </c>
      <c r="U44" s="60">
        <f t="shared" si="23"/>
        <v>0.14418821337060331</v>
      </c>
    </row>
    <row r="45" spans="1:21" x14ac:dyDescent="0.3">
      <c r="G45" t="s">
        <v>335</v>
      </c>
      <c r="I45" s="123">
        <v>53100</v>
      </c>
      <c r="J45" s="109" t="s">
        <v>474</v>
      </c>
      <c r="L45" t="s">
        <v>336</v>
      </c>
      <c r="M45">
        <f>10250-6438</f>
        <v>3812</v>
      </c>
      <c r="N45">
        <v>762</v>
      </c>
      <c r="O45" s="60">
        <f t="shared" si="20"/>
        <v>0.19989506820566633</v>
      </c>
      <c r="P45">
        <v>1081</v>
      </c>
      <c r="Q45" s="60">
        <f t="shared" si="21"/>
        <v>0.28357817418677861</v>
      </c>
      <c r="R45">
        <v>505</v>
      </c>
      <c r="S45" s="60">
        <f t="shared" si="22"/>
        <v>0.13247639034627492</v>
      </c>
      <c r="T45">
        <v>750</v>
      </c>
      <c r="U45" s="60">
        <f t="shared" si="23"/>
        <v>0.19674711437565581</v>
      </c>
    </row>
    <row r="46" spans="1:21" x14ac:dyDescent="0.3">
      <c r="M46">
        <f>6500-4752</f>
        <v>1748</v>
      </c>
      <c r="N46">
        <v>414</v>
      </c>
      <c r="O46" s="60">
        <f t="shared" si="20"/>
        <v>0.23684210526315788</v>
      </c>
      <c r="P46">
        <v>704</v>
      </c>
      <c r="Q46" s="60">
        <f t="shared" si="21"/>
        <v>0.40274599542334094</v>
      </c>
      <c r="R46">
        <v>240</v>
      </c>
      <c r="S46" s="60">
        <f t="shared" si="22"/>
        <v>0.13729977116704806</v>
      </c>
      <c r="T46">
        <v>752</v>
      </c>
      <c r="U46" s="60">
        <f t="shared" si="23"/>
        <v>0.43020594965675057</v>
      </c>
    </row>
    <row r="47" spans="1:21" x14ac:dyDescent="0.3">
      <c r="L47" t="s">
        <v>337</v>
      </c>
      <c r="M47" s="23">
        <f>AVERAGE(M26:M46)</f>
        <v>7902.4736842105267</v>
      </c>
      <c r="N47" s="23">
        <f>AVERAGE(N26:N46)</f>
        <v>825.47368421052636</v>
      </c>
      <c r="O47" s="60">
        <f t="shared" si="20"/>
        <v>0.10445763152110932</v>
      </c>
      <c r="P47" s="23">
        <f>AVERAGE(P26:P46)</f>
        <v>1030.7368421052631</v>
      </c>
      <c r="Q47" s="60">
        <f t="shared" si="21"/>
        <v>0.13043217646706226</v>
      </c>
      <c r="R47" s="23">
        <f>AVERAGE(R26:R46)</f>
        <v>576.47368421052636</v>
      </c>
      <c r="S47" s="60">
        <f t="shared" si="22"/>
        <v>7.2948510459749441E-2</v>
      </c>
      <c r="T47" s="23">
        <f>AVERAGE(T26:T46)</f>
        <v>1002.6842105263158</v>
      </c>
      <c r="U47" s="60">
        <f t="shared" si="23"/>
        <v>0.12688232199111538</v>
      </c>
    </row>
    <row r="48" spans="1:21" x14ac:dyDescent="0.3">
      <c r="L48" t="s">
        <v>338</v>
      </c>
      <c r="M48" s="23">
        <f>AVERAGE(M40:M42,M45)</f>
        <v>4757</v>
      </c>
      <c r="N48" s="23">
        <f>AVERAGE(N40:N42,N45)</f>
        <v>857.33333333333337</v>
      </c>
      <c r="O48" s="60">
        <f t="shared" si="20"/>
        <v>0.18022563240137343</v>
      </c>
      <c r="P48" s="23">
        <f>AVERAGE(P40:P42,P45)</f>
        <v>1099.6666666666667</v>
      </c>
      <c r="Q48" s="60">
        <f t="shared" si="21"/>
        <v>0.23116810314624064</v>
      </c>
      <c r="R48" s="23">
        <f>AVERAGE(R40:R42,R45)</f>
        <v>599</v>
      </c>
      <c r="S48" s="60">
        <f t="shared" si="22"/>
        <v>0.12591969728820684</v>
      </c>
      <c r="T48" s="23">
        <f>AVERAGE(T40:T42,T45)</f>
        <v>824</v>
      </c>
      <c r="U48" s="60">
        <f t="shared" si="23"/>
        <v>0.17321841496741644</v>
      </c>
    </row>
  </sheetData>
  <sheetProtection algorithmName="SHA-512" hashValue="toxI8rlT1jQtXOR/Vci6wc2DMj9I7eXa8i9grPpw5eYgzBQ5FbXpmSbpelIeyPerKgN2s1WJVNnH8SlRr07mQw==" saltValue="vsV2fgZ7QhV60tZf/JGAk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43"/>
  <sheetViews>
    <sheetView topLeftCell="B1" zoomScaleNormal="100" workbookViewId="0">
      <selection activeCell="P41" sqref="P41"/>
    </sheetView>
  </sheetViews>
  <sheetFormatPr baseColWidth="10" defaultRowHeight="14.4" x14ac:dyDescent="0.3"/>
  <cols>
    <col min="4" max="4" width="33.77734375" bestFit="1" customWidth="1"/>
    <col min="5" max="5" width="16.77734375" bestFit="1" customWidth="1"/>
  </cols>
  <sheetData>
    <row r="1" spans="1:28" ht="33.6" x14ac:dyDescent="0.65">
      <c r="A1" s="112" t="s">
        <v>480</v>
      </c>
    </row>
    <row r="2" spans="1:28" ht="28.8" x14ac:dyDescent="0.3">
      <c r="C2" t="s">
        <v>422</v>
      </c>
      <c r="D2">
        <f>'Kalk kost 2010 sjø'!B6</f>
        <v>6.0663999999999998</v>
      </c>
      <c r="E2" t="s">
        <v>425</v>
      </c>
      <c r="F2" s="34">
        <f>D3/D2</f>
        <v>0.98246076750626399</v>
      </c>
      <c r="O2" s="9" t="s">
        <v>469</v>
      </c>
      <c r="P2" s="40">
        <f>'Kalk kost 2010 sjø'!B16</f>
        <v>2.9106464646464647</v>
      </c>
      <c r="S2" s="10">
        <v>2010</v>
      </c>
      <c r="T2" s="10">
        <v>2012</v>
      </c>
      <c r="U2" s="9" t="s">
        <v>430</v>
      </c>
    </row>
    <row r="3" spans="1:28" ht="100.8" x14ac:dyDescent="0.3">
      <c r="C3" t="s">
        <v>423</v>
      </c>
      <c r="D3">
        <f>Inputdata!C7</f>
        <v>5.96</v>
      </c>
      <c r="N3" s="9" t="s">
        <v>468</v>
      </c>
      <c r="O3" s="9" t="s">
        <v>424</v>
      </c>
      <c r="P3" s="40">
        <f>'Nye - cruise og ferge'!Q14</f>
        <v>3.7325252525252521</v>
      </c>
      <c r="R3" s="75" t="s">
        <v>428</v>
      </c>
      <c r="S3" s="73">
        <f>Y20</f>
        <v>0.11016807219002084</v>
      </c>
      <c r="T3" s="45">
        <f>Y9</f>
        <v>0.10185220882315059</v>
      </c>
      <c r="U3" s="40">
        <f>T3/S3</f>
        <v>0.9245165754327912</v>
      </c>
      <c r="W3" s="114" t="s">
        <v>505</v>
      </c>
    </row>
    <row r="4" spans="1:28" ht="57.6" x14ac:dyDescent="0.3">
      <c r="F4" s="30" t="s">
        <v>93</v>
      </c>
      <c r="G4" s="24"/>
      <c r="H4" s="24" t="s">
        <v>467</v>
      </c>
      <c r="I4" s="24"/>
      <c r="J4" s="24"/>
      <c r="K4" s="24"/>
      <c r="L4" s="25"/>
      <c r="M4" s="29" t="s">
        <v>170</v>
      </c>
      <c r="N4" s="9" t="s">
        <v>427</v>
      </c>
      <c r="O4" s="9" t="s">
        <v>426</v>
      </c>
      <c r="P4" s="40">
        <f>P3/P2</f>
        <v>1.282369843902913</v>
      </c>
      <c r="R4" s="75" t="s">
        <v>429</v>
      </c>
      <c r="S4" s="73">
        <f>Y24</f>
        <v>0.12749996980950776</v>
      </c>
      <c r="T4" s="73">
        <f>Y13</f>
        <v>0.11016807219002084</v>
      </c>
      <c r="U4" s="40">
        <f>T4/S4</f>
        <v>0.86406351589430364</v>
      </c>
      <c r="AA4" s="40">
        <v>0.11016807219002084</v>
      </c>
    </row>
    <row r="5" spans="1:28" ht="100.8" x14ac:dyDescent="0.3">
      <c r="B5" s="9" t="s">
        <v>68</v>
      </c>
      <c r="C5" s="9" t="s">
        <v>64</v>
      </c>
      <c r="D5" s="8" t="s">
        <v>188</v>
      </c>
      <c r="E5" s="10" t="s">
        <v>65</v>
      </c>
      <c r="F5" s="29" t="s">
        <v>8</v>
      </c>
      <c r="G5" s="26" t="s">
        <v>96</v>
      </c>
      <c r="H5" s="27" t="s">
        <v>3</v>
      </c>
      <c r="I5" s="10" t="s">
        <v>4</v>
      </c>
      <c r="J5" s="10" t="s">
        <v>5</v>
      </c>
      <c r="K5" s="10" t="s">
        <v>6</v>
      </c>
      <c r="L5" s="10" t="s">
        <v>7</v>
      </c>
      <c r="M5" s="10"/>
      <c r="O5" s="9" t="s">
        <v>432</v>
      </c>
      <c r="P5" s="9" t="s">
        <v>470</v>
      </c>
      <c r="R5" s="114" t="s">
        <v>481</v>
      </c>
      <c r="S5" t="s">
        <v>471</v>
      </c>
      <c r="W5" s="133">
        <v>0.10185220882315059</v>
      </c>
      <c r="X5" s="23">
        <v>101998.59999999999</v>
      </c>
      <c r="Y5">
        <f>X5/1000000</f>
        <v>0.10199859999999999</v>
      </c>
      <c r="Z5" s="134">
        <v>0.11016807219002084</v>
      </c>
      <c r="AA5" s="134">
        <v>0.11016807219002084</v>
      </c>
    </row>
    <row r="6" spans="1:28" x14ac:dyDescent="0.3">
      <c r="B6" s="10">
        <v>5</v>
      </c>
      <c r="C6" s="10">
        <v>1</v>
      </c>
      <c r="D6" s="35" t="s">
        <v>9</v>
      </c>
      <c r="E6" s="10">
        <v>1000</v>
      </c>
      <c r="F6" s="28">
        <f t="shared" ref="F6:F43" si="0">SUM(G6:L6)</f>
        <v>1020.3790547945206</v>
      </c>
      <c r="G6" s="28">
        <f>'Kalk kost 2010 sjø'!S81</f>
        <v>647.87905479452058</v>
      </c>
      <c r="H6" s="28">
        <f>'Kalk kost 2010 sjø'!P31*$F$2</f>
        <v>193.70000000000002</v>
      </c>
      <c r="I6" s="28">
        <f>'Kalk kost 2010 sjø'!Q31*$F$2</f>
        <v>29.800000000000004</v>
      </c>
      <c r="J6" s="28">
        <f>'Kalk kost 2010 sjø'!R31*$F$2</f>
        <v>52.150000000000006</v>
      </c>
      <c r="K6" s="28">
        <f>'Kalk kost 2010 sjø'!S31*$F$2</f>
        <v>37.250000000000007</v>
      </c>
      <c r="L6" s="28">
        <f>'Kalk kost 2010 sjø'!T31*$F$2</f>
        <v>59.600000000000009</v>
      </c>
      <c r="M6" s="28">
        <f>'Kalk kost 2010 sjø'!L125</f>
        <v>38.450311184465612</v>
      </c>
      <c r="N6" s="28">
        <f>M6*$P$4</f>
        <v>49.307519551641597</v>
      </c>
      <c r="O6" s="23">
        <f>G6*$U$4</f>
        <v>559.80865396003162</v>
      </c>
    </row>
    <row r="7" spans="1:28" x14ac:dyDescent="0.3">
      <c r="B7" s="10">
        <v>5</v>
      </c>
      <c r="C7" s="10">
        <v>2</v>
      </c>
      <c r="D7" s="35" t="s">
        <v>10</v>
      </c>
      <c r="E7" s="10">
        <v>2500</v>
      </c>
      <c r="F7" s="28">
        <f t="shared" si="0"/>
        <v>1464.3518047945204</v>
      </c>
      <c r="G7" s="28">
        <f>'Kalk kost 2010 sjø'!S82</f>
        <v>793.85180479452049</v>
      </c>
      <c r="H7" s="28">
        <f>'Kalk kost 2010 sjø'!P32*$F$2</f>
        <v>348.65999999999997</v>
      </c>
      <c r="I7" s="28">
        <f>'Kalk kost 2010 sjø'!Q32*$F$2</f>
        <v>53.639999999999993</v>
      </c>
      <c r="J7" s="28">
        <f>'Kalk kost 2010 sjø'!R32*$F$2</f>
        <v>93.87</v>
      </c>
      <c r="K7" s="28">
        <f>'Kalk kost 2010 sjø'!S32*$F$2</f>
        <v>67.05</v>
      </c>
      <c r="L7" s="28">
        <f>'Kalk kost 2010 sjø'!T32*$F$2</f>
        <v>107.27999999999999</v>
      </c>
      <c r="M7" s="28">
        <f>'Kalk kost 2010 sjø'!L126</f>
        <v>54.942172520394656</v>
      </c>
      <c r="N7" s="28">
        <f t="shared" ref="N7:N43" si="1">M7*$P$4</f>
        <v>70.456185198665409</v>
      </c>
      <c r="O7" s="23">
        <f t="shared" ref="O7:O37" si="2">G7*$U$4</f>
        <v>685.93838154979176</v>
      </c>
      <c r="R7" s="10" t="s">
        <v>419</v>
      </c>
      <c r="S7" s="10">
        <v>13</v>
      </c>
      <c r="U7" s="10" t="s">
        <v>419</v>
      </c>
      <c r="V7" s="10">
        <v>8</v>
      </c>
      <c r="X7" s="10" t="s">
        <v>419</v>
      </c>
      <c r="Y7" s="10">
        <v>20</v>
      </c>
      <c r="AA7" s="10" t="s">
        <v>419</v>
      </c>
      <c r="AB7" s="10">
        <v>30</v>
      </c>
    </row>
    <row r="8" spans="1:28" x14ac:dyDescent="0.3">
      <c r="B8" s="10">
        <v>5</v>
      </c>
      <c r="C8" s="10">
        <v>3</v>
      </c>
      <c r="D8" s="35" t="s">
        <v>11</v>
      </c>
      <c r="E8" s="10">
        <v>5000</v>
      </c>
      <c r="F8" s="28">
        <f t="shared" si="0"/>
        <v>2010.62951826484</v>
      </c>
      <c r="G8" s="28">
        <f>'Kalk kost 2010 sjø'!S83</f>
        <v>1091.7961849315066</v>
      </c>
      <c r="H8" s="28">
        <f>'Kalk kost 2010 sjø'!P33*$F$2</f>
        <v>477.79333333333335</v>
      </c>
      <c r="I8" s="28">
        <f>'Kalk kost 2010 sjø'!Q33*$F$2</f>
        <v>73.506666666666661</v>
      </c>
      <c r="J8" s="28">
        <f>'Kalk kost 2010 sjø'!R33*$F$2</f>
        <v>128.63666666666668</v>
      </c>
      <c r="K8" s="28">
        <f>'Kalk kost 2010 sjø'!S33*$F$2</f>
        <v>91.88333333333334</v>
      </c>
      <c r="L8" s="28">
        <f>'Kalk kost 2010 sjø'!T33*$F$2</f>
        <v>147.01333333333332</v>
      </c>
      <c r="M8" s="28">
        <f>'Kalk kost 2010 sjø'!L127</f>
        <v>75.481997662023474</v>
      </c>
      <c r="N8" s="28">
        <f t="shared" si="1"/>
        <v>96.795837559329087</v>
      </c>
      <c r="O8" s="23">
        <f t="shared" si="2"/>
        <v>943.38125019190488</v>
      </c>
      <c r="R8" s="10" t="s">
        <v>420</v>
      </c>
      <c r="S8" s="72">
        <f>Inputdata!C5</f>
        <v>0.08</v>
      </c>
      <c r="U8" s="10" t="s">
        <v>420</v>
      </c>
      <c r="V8" s="72">
        <f>S8</f>
        <v>0.08</v>
      </c>
      <c r="X8" s="10" t="s">
        <v>420</v>
      </c>
      <c r="Y8" s="72">
        <f>V8</f>
        <v>0.08</v>
      </c>
      <c r="AA8" s="10" t="s">
        <v>420</v>
      </c>
      <c r="AB8" s="72">
        <f>Y8</f>
        <v>0.08</v>
      </c>
    </row>
    <row r="9" spans="1:28" x14ac:dyDescent="0.3">
      <c r="B9" s="10">
        <v>5</v>
      </c>
      <c r="C9" s="10">
        <v>4</v>
      </c>
      <c r="D9" s="35" t="s">
        <v>70</v>
      </c>
      <c r="E9" s="10">
        <v>9000</v>
      </c>
      <c r="F9" s="28">
        <f t="shared" si="0"/>
        <v>2757.1939041095893</v>
      </c>
      <c r="G9" s="28">
        <f>'Kalk kost 2010 sjø'!S84</f>
        <v>1639.6939041095891</v>
      </c>
      <c r="H9" s="28">
        <f>'Kalk kost 2010 sjø'!P34*$F$2</f>
        <v>469.34999999999997</v>
      </c>
      <c r="I9" s="28">
        <f>'Kalk kost 2010 sjø'!Q34*$F$2</f>
        <v>145.27500000000001</v>
      </c>
      <c r="J9" s="28">
        <f>'Kalk kost 2010 sjø'!R34*$F$2</f>
        <v>234.67499999999998</v>
      </c>
      <c r="K9" s="28">
        <f>'Kalk kost 2010 sjø'!S34*$F$2</f>
        <v>100.575</v>
      </c>
      <c r="L9" s="28">
        <f>'Kalk kost 2010 sjø'!T34*$F$2</f>
        <v>167.625</v>
      </c>
      <c r="M9" s="28">
        <f>'Kalk kost 2010 sjø'!L128</f>
        <v>98.218659905239576</v>
      </c>
      <c r="N9" s="28">
        <f t="shared" si="1"/>
        <v>125.95264757103537</v>
      </c>
      <c r="O9" s="23">
        <f t="shared" si="2"/>
        <v>1416.7996797753888</v>
      </c>
      <c r="R9" s="10" t="s">
        <v>159</v>
      </c>
      <c r="S9" s="73">
        <f>(S8*POWER(1+S8,S7))/(POWER(1+S8,S7)-1)</f>
        <v>0.12652180519655568</v>
      </c>
      <c r="U9" s="10" t="s">
        <v>159</v>
      </c>
      <c r="V9" s="73">
        <f>(V8*POWER(1+V8,V7))/(POWER(1+V8,V7)-1)</f>
        <v>0.17401476059182211</v>
      </c>
      <c r="X9" s="10" t="s">
        <v>159</v>
      </c>
      <c r="Y9" s="73">
        <f>(Y8*POWER(1+Y8,Y7))/(POWER(1+Y8,Y7)-1)</f>
        <v>0.10185220882315059</v>
      </c>
      <c r="AA9" s="10" t="s">
        <v>159</v>
      </c>
      <c r="AB9" s="73">
        <f>(AB8*POWER(1+AB8,AB7))/(POWER(1+AB8,AB7)-1)</f>
        <v>8.8827433387272267E-2</v>
      </c>
    </row>
    <row r="10" spans="1:28" x14ac:dyDescent="0.3">
      <c r="B10" s="10">
        <v>5</v>
      </c>
      <c r="C10" s="10">
        <v>5</v>
      </c>
      <c r="D10" s="35" t="s">
        <v>71</v>
      </c>
      <c r="E10" s="10">
        <v>17000</v>
      </c>
      <c r="F10" s="28">
        <f t="shared" si="0"/>
        <v>3391.665433789954</v>
      </c>
      <c r="G10" s="28">
        <f>'Kalk kost 2010 sjø'!S85</f>
        <v>2174.8321004566205</v>
      </c>
      <c r="H10" s="28">
        <f>'Kalk kost 2010 sjø'!P35*$F$2</f>
        <v>511.07</v>
      </c>
      <c r="I10" s="28">
        <f>'Kalk kost 2010 sjø'!Q35*$F$2</f>
        <v>158.18833333333333</v>
      </c>
      <c r="J10" s="28">
        <f>'Kalk kost 2010 sjø'!R35*$F$2</f>
        <v>255.535</v>
      </c>
      <c r="K10" s="28">
        <f>'Kalk kost 2010 sjø'!S35*$F$2</f>
        <v>109.51499999999999</v>
      </c>
      <c r="L10" s="28">
        <f>'Kalk kost 2010 sjø'!T35*$F$2</f>
        <v>182.52499999999998</v>
      </c>
      <c r="M10" s="28">
        <f>'Kalk kost 2010 sjø'!L129</f>
        <v>140.03910412969719</v>
      </c>
      <c r="N10" s="28">
        <f t="shared" si="1"/>
        <v>179.58192410310357</v>
      </c>
      <c r="O10" s="23">
        <f t="shared" si="2"/>
        <v>1879.1930712003409</v>
      </c>
    </row>
    <row r="11" spans="1:28" x14ac:dyDescent="0.3">
      <c r="B11" s="10">
        <v>5</v>
      </c>
      <c r="C11" s="10">
        <v>6</v>
      </c>
      <c r="D11" s="35" t="s">
        <v>14</v>
      </c>
      <c r="E11" s="10">
        <v>40000</v>
      </c>
      <c r="F11" s="28">
        <f t="shared" si="0"/>
        <v>4827.8160045662107</v>
      </c>
      <c r="G11" s="28">
        <f>'Kalk kost 2010 sjø'!S86</f>
        <v>3536.4826712328763</v>
      </c>
      <c r="H11" s="28">
        <f>'Kalk kost 2010 sjø'!P36*$F$2</f>
        <v>568.18666666666661</v>
      </c>
      <c r="I11" s="28">
        <f>'Kalk kost 2010 sjø'!Q36*$F$2</f>
        <v>193.7</v>
      </c>
      <c r="J11" s="28">
        <f>'Kalk kost 2010 sjø'!R36*$F$2</f>
        <v>245.35333333333332</v>
      </c>
      <c r="K11" s="28">
        <f>'Kalk kost 2010 sjø'!S36*$F$2</f>
        <v>142.04666666666665</v>
      </c>
      <c r="L11" s="28">
        <f>'Kalk kost 2010 sjø'!T36*$F$2</f>
        <v>142.04666666666665</v>
      </c>
      <c r="M11" s="28">
        <f>'Kalk kost 2010 sjø'!L130</f>
        <v>225.69243564658788</v>
      </c>
      <c r="N11" s="28">
        <f t="shared" si="1"/>
        <v>289.42117347018313</v>
      </c>
      <c r="O11" s="23">
        <f t="shared" si="2"/>
        <v>3055.7456508047576</v>
      </c>
      <c r="R11" s="10" t="s">
        <v>419</v>
      </c>
      <c r="S11" s="10">
        <v>13</v>
      </c>
      <c r="U11" s="10" t="s">
        <v>419</v>
      </c>
      <c r="V11" s="10">
        <v>8</v>
      </c>
      <c r="X11" s="10" t="s">
        <v>419</v>
      </c>
      <c r="Y11" s="10">
        <v>25</v>
      </c>
      <c r="AA11" s="10" t="s">
        <v>419</v>
      </c>
      <c r="AB11" s="10">
        <v>30</v>
      </c>
    </row>
    <row r="12" spans="1:28" x14ac:dyDescent="0.3">
      <c r="B12" s="10">
        <v>5</v>
      </c>
      <c r="C12" s="10">
        <v>7</v>
      </c>
      <c r="D12" s="35" t="s">
        <v>15</v>
      </c>
      <c r="E12" s="10">
        <v>1000</v>
      </c>
      <c r="F12" s="28">
        <f t="shared" si="0"/>
        <v>989.52767123287663</v>
      </c>
      <c r="G12" s="28">
        <f>'Kalk kost 2010 sjø'!S87</f>
        <v>617.02767123287663</v>
      </c>
      <c r="H12" s="28">
        <f>'Kalk kost 2010 sjø'!P37*$F$2</f>
        <v>193.70000000000002</v>
      </c>
      <c r="I12" s="28">
        <f>'Kalk kost 2010 sjø'!Q37*$F$2</f>
        <v>29.800000000000004</v>
      </c>
      <c r="J12" s="28">
        <f>'Kalk kost 2010 sjø'!R37*$F$2</f>
        <v>52.150000000000006</v>
      </c>
      <c r="K12" s="28">
        <f>'Kalk kost 2010 sjø'!S37*$F$2</f>
        <v>37.250000000000007</v>
      </c>
      <c r="L12" s="28">
        <f>'Kalk kost 2010 sjø'!T37*$F$2</f>
        <v>59.600000000000009</v>
      </c>
      <c r="M12" s="28">
        <f>'Kalk kost 2010 sjø'!L131</f>
        <v>38.450311184465612</v>
      </c>
      <c r="N12" s="28">
        <f t="shared" si="1"/>
        <v>49.307519551641597</v>
      </c>
      <c r="O12" s="23">
        <f t="shared" si="2"/>
        <v>533.15109900955383</v>
      </c>
      <c r="R12" s="10" t="s">
        <v>420</v>
      </c>
      <c r="S12" s="72">
        <f>S8+0.02</f>
        <v>0.1</v>
      </c>
      <c r="U12" s="10" t="s">
        <v>420</v>
      </c>
      <c r="V12" s="72">
        <f>S12</f>
        <v>0.1</v>
      </c>
      <c r="X12" s="10" t="s">
        <v>420</v>
      </c>
      <c r="Y12" s="72">
        <f>V12</f>
        <v>0.1</v>
      </c>
      <c r="AA12" s="10" t="s">
        <v>420</v>
      </c>
      <c r="AB12" s="72">
        <f>Y12</f>
        <v>0.1</v>
      </c>
    </row>
    <row r="13" spans="1:28" x14ac:dyDescent="0.3">
      <c r="B13" s="10">
        <v>5</v>
      </c>
      <c r="C13" s="10">
        <v>8</v>
      </c>
      <c r="D13" s="35" t="s">
        <v>16</v>
      </c>
      <c r="E13" s="10">
        <v>2500</v>
      </c>
      <c r="F13" s="28">
        <f t="shared" si="0"/>
        <v>1227.8826712328766</v>
      </c>
      <c r="G13" s="28">
        <f>'Kalk kost 2010 sjø'!S88</f>
        <v>756.04933789954339</v>
      </c>
      <c r="H13" s="28">
        <f>'Kalk kost 2010 sjø'!P38*$F$2</f>
        <v>245.35333333333335</v>
      </c>
      <c r="I13" s="28">
        <f>'Kalk kost 2010 sjø'!Q38*$F$2</f>
        <v>37.746666666666663</v>
      </c>
      <c r="J13" s="28">
        <f>'Kalk kost 2010 sjø'!R38*$F$2</f>
        <v>66.056666666666672</v>
      </c>
      <c r="K13" s="28">
        <f>'Kalk kost 2010 sjø'!S38*$F$2</f>
        <v>47.18333333333333</v>
      </c>
      <c r="L13" s="28">
        <f>'Kalk kost 2010 sjø'!T38*$F$2</f>
        <v>75.493333333333325</v>
      </c>
      <c r="M13" s="28">
        <f>'Kalk kost 2010 sjø'!L132</f>
        <v>54.942172520394656</v>
      </c>
      <c r="N13" s="28">
        <f t="shared" si="1"/>
        <v>70.456185198665409</v>
      </c>
      <c r="O13" s="23">
        <f t="shared" si="2"/>
        <v>653.27464909503988</v>
      </c>
      <c r="R13" s="10" t="s">
        <v>159</v>
      </c>
      <c r="S13" s="73">
        <f>(S12*POWER(1+S12,S11))/(POWER(1+S12,S11)-1)</f>
        <v>0.14077852376730216</v>
      </c>
      <c r="U13" s="10" t="s">
        <v>159</v>
      </c>
      <c r="V13" s="73">
        <f>(V12*POWER(1+V12,V11))/(POWER(1+V12,V11)-1)</f>
        <v>0.18744401757481335</v>
      </c>
      <c r="X13" s="10" t="s">
        <v>159</v>
      </c>
      <c r="Y13" s="73">
        <f>(Y12*POWER(1+Y12,Y11))/(POWER(1+Y12,Y11)-1)</f>
        <v>0.11016807219002084</v>
      </c>
      <c r="AA13" s="10" t="s">
        <v>159</v>
      </c>
      <c r="AB13" s="73">
        <f>(AB12*POWER(1+AB12,AB11))/(POWER(1+AB12,AB11)-1)</f>
        <v>0.1060792482526339</v>
      </c>
    </row>
    <row r="14" spans="1:28" x14ac:dyDescent="0.3">
      <c r="B14" s="10">
        <v>5</v>
      </c>
      <c r="C14" s="10">
        <v>9</v>
      </c>
      <c r="D14" s="35" t="s">
        <v>17</v>
      </c>
      <c r="E14" s="10">
        <v>5000</v>
      </c>
      <c r="F14" s="28">
        <f t="shared" si="0"/>
        <v>1660.6392237442919</v>
      </c>
      <c r="G14" s="28">
        <f>'Kalk kost 2010 sjø'!S89</f>
        <v>1039.8058904109587</v>
      </c>
      <c r="H14" s="28">
        <f>'Kalk kost 2010 sjø'!P39*$F$2</f>
        <v>322.83333333333331</v>
      </c>
      <c r="I14" s="28">
        <f>'Kalk kost 2010 sjø'!Q39*$F$2</f>
        <v>49.666666666666664</v>
      </c>
      <c r="J14" s="28">
        <f>'Kalk kost 2010 sjø'!R39*$F$2</f>
        <v>86.916666666666671</v>
      </c>
      <c r="K14" s="28">
        <f>'Kalk kost 2010 sjø'!S39*$F$2</f>
        <v>62.083333333333329</v>
      </c>
      <c r="L14" s="28">
        <f>'Kalk kost 2010 sjø'!T39*$F$2</f>
        <v>99.333333333333329</v>
      </c>
      <c r="M14" s="28">
        <f>'Kalk kost 2010 sjø'!L133</f>
        <v>75.481997662023474</v>
      </c>
      <c r="N14" s="28">
        <f t="shared" si="1"/>
        <v>96.795837559329087</v>
      </c>
      <c r="O14" s="23">
        <f t="shared" si="2"/>
        <v>898.45833351609997</v>
      </c>
    </row>
    <row r="15" spans="1:28" x14ac:dyDescent="0.3">
      <c r="B15" s="10">
        <v>5</v>
      </c>
      <c r="C15" s="10">
        <v>10</v>
      </c>
      <c r="D15" s="35" t="s">
        <v>72</v>
      </c>
      <c r="E15" s="10">
        <v>9000</v>
      </c>
      <c r="F15" s="28">
        <f t="shared" si="0"/>
        <v>2284.6729680365293</v>
      </c>
      <c r="G15" s="28">
        <f>'Kalk kost 2010 sjø'!S90</f>
        <v>1241.6729680365297</v>
      </c>
      <c r="H15" s="28">
        <f>'Kalk kost 2010 sjø'!P40*$F$2</f>
        <v>438.05999999999995</v>
      </c>
      <c r="I15" s="28">
        <f>'Kalk kost 2010 sjø'!Q40*$F$2</f>
        <v>135.58999999999997</v>
      </c>
      <c r="J15" s="28">
        <f>'Kalk kost 2010 sjø'!R40*$F$2</f>
        <v>219.02999999999997</v>
      </c>
      <c r="K15" s="28">
        <f>'Kalk kost 2010 sjø'!S40*$F$2</f>
        <v>93.86999999999999</v>
      </c>
      <c r="L15" s="28">
        <f>'Kalk kost 2010 sjø'!T40*$F$2</f>
        <v>156.44999999999996</v>
      </c>
      <c r="M15" s="28">
        <f>'Kalk kost 2010 sjø'!L134</f>
        <v>98.218659905239576</v>
      </c>
      <c r="N15" s="28">
        <f t="shared" si="1"/>
        <v>125.95264757103537</v>
      </c>
      <c r="O15" s="23">
        <f t="shared" si="2"/>
        <v>1072.8843103525592</v>
      </c>
    </row>
    <row r="16" spans="1:28" x14ac:dyDescent="0.3">
      <c r="B16" s="10">
        <v>5</v>
      </c>
      <c r="C16" s="10">
        <v>11</v>
      </c>
      <c r="D16" s="35" t="s">
        <v>73</v>
      </c>
      <c r="E16" s="10">
        <v>17000</v>
      </c>
      <c r="F16" s="28">
        <f t="shared" si="0"/>
        <v>3010.7841552511413</v>
      </c>
      <c r="G16" s="28">
        <f>'Kalk kost 2010 sjø'!S91</f>
        <v>1793.9508219178081</v>
      </c>
      <c r="H16" s="28">
        <f>'Kalk kost 2010 sjø'!P41*$F$2</f>
        <v>584.07999999999993</v>
      </c>
      <c r="I16" s="28">
        <f>'Kalk kost 2010 sjø'!Q41*$F$2</f>
        <v>158.18833333333333</v>
      </c>
      <c r="J16" s="28">
        <f>'Kalk kost 2010 sjø'!R41*$F$2</f>
        <v>206.86166666666665</v>
      </c>
      <c r="K16" s="28">
        <f>'Kalk kost 2010 sjø'!S41*$F$2</f>
        <v>109.51499999999999</v>
      </c>
      <c r="L16" s="28">
        <f>'Kalk kost 2010 sjø'!T41*$F$2</f>
        <v>158.18833333333333</v>
      </c>
      <c r="M16" s="28">
        <f>'Kalk kost 2010 sjø'!L135</f>
        <v>140.03910412969719</v>
      </c>
      <c r="N16" s="28">
        <f t="shared" si="1"/>
        <v>179.58192410310357</v>
      </c>
      <c r="O16" s="23">
        <f t="shared" si="2"/>
        <v>1550.087454527777</v>
      </c>
      <c r="R16" t="s">
        <v>431</v>
      </c>
    </row>
    <row r="17" spans="2:28" x14ac:dyDescent="0.3">
      <c r="B17" s="10">
        <v>5</v>
      </c>
      <c r="C17" s="10">
        <v>12</v>
      </c>
      <c r="D17" s="35" t="s">
        <v>74</v>
      </c>
      <c r="E17" s="10">
        <v>45000</v>
      </c>
      <c r="F17" s="28">
        <f t="shared" si="0"/>
        <v>4099.036757990867</v>
      </c>
      <c r="G17" s="28">
        <f>'Kalk kost 2010 sjø'!S92</f>
        <v>2609.036757990867</v>
      </c>
      <c r="H17" s="28">
        <f>'Kalk kost 2010 sjø'!P42*$F$2</f>
        <v>670.5</v>
      </c>
      <c r="I17" s="28">
        <f>'Kalk kost 2010 sjø'!Q42*$F$2</f>
        <v>193.70000000000002</v>
      </c>
      <c r="J17" s="28">
        <f>'Kalk kost 2010 sjø'!R42*$F$2</f>
        <v>208.60000000000002</v>
      </c>
      <c r="K17" s="28">
        <f>'Kalk kost 2010 sjø'!S42*$F$2</f>
        <v>163.9</v>
      </c>
      <c r="L17" s="28">
        <f>'Kalk kost 2010 sjø'!T42*$F$2</f>
        <v>253.30000000000004</v>
      </c>
      <c r="M17" s="28">
        <f>'Kalk kost 2010 sjø'!L136</f>
        <v>241.0169264224842</v>
      </c>
      <c r="N17" s="28">
        <f t="shared" si="1"/>
        <v>309.07283831436092</v>
      </c>
      <c r="O17" s="23">
        <f t="shared" si="2"/>
        <v>2254.3734742070642</v>
      </c>
    </row>
    <row r="18" spans="2:28" x14ac:dyDescent="0.3">
      <c r="B18" s="10">
        <v>5</v>
      </c>
      <c r="C18" s="10">
        <v>13</v>
      </c>
      <c r="D18" s="35" t="s">
        <v>75</v>
      </c>
      <c r="E18" s="10">
        <v>56000</v>
      </c>
      <c r="F18" s="28">
        <f t="shared" si="0"/>
        <v>4295.2666666666673</v>
      </c>
      <c r="G18" s="28">
        <f>'Kalk kost 2010 sjø'!S93</f>
        <v>2780.4333333333334</v>
      </c>
      <c r="H18" s="28">
        <f>'Kalk kost 2010 sjø'!P43*$F$2</f>
        <v>681.67500000000007</v>
      </c>
      <c r="I18" s="28">
        <f>'Kalk kost 2010 sjø'!Q43*$F$2</f>
        <v>212.07666666666671</v>
      </c>
      <c r="J18" s="28">
        <f>'Kalk kost 2010 sjø'!R43*$F$2</f>
        <v>227.22499999999999</v>
      </c>
      <c r="K18" s="28">
        <f>'Kalk kost 2010 sjø'!S43*$F$2</f>
        <v>151.48333333333338</v>
      </c>
      <c r="L18" s="28">
        <f>'Kalk kost 2010 sjø'!T43*$F$2</f>
        <v>242.37333333333336</v>
      </c>
      <c r="M18" s="28">
        <f>'Kalk kost 2010 sjø'!L137</f>
        <v>272.283012287953</v>
      </c>
      <c r="N18" s="28">
        <f t="shared" si="1"/>
        <v>349.1675239651172</v>
      </c>
      <c r="O18" s="23">
        <f t="shared" si="2"/>
        <v>2402.4710017097182</v>
      </c>
      <c r="R18" s="10" t="s">
        <v>419</v>
      </c>
      <c r="S18" s="10">
        <v>13</v>
      </c>
      <c r="U18" s="10" t="s">
        <v>419</v>
      </c>
      <c r="V18" s="10">
        <v>8</v>
      </c>
      <c r="X18" s="10" t="s">
        <v>419</v>
      </c>
      <c r="Y18" s="10">
        <v>25</v>
      </c>
      <c r="AA18" s="10" t="s">
        <v>419</v>
      </c>
      <c r="AB18" s="10">
        <v>30</v>
      </c>
    </row>
    <row r="19" spans="2:28" x14ac:dyDescent="0.3">
      <c r="B19" s="10">
        <v>5</v>
      </c>
      <c r="C19" s="10">
        <v>14</v>
      </c>
      <c r="D19" s="35" t="s">
        <v>76</v>
      </c>
      <c r="E19" s="10">
        <v>76000</v>
      </c>
      <c r="F19" s="28">
        <f t="shared" si="0"/>
        <v>4807.7801369863009</v>
      </c>
      <c r="G19" s="28">
        <f>'Kalk kost 2010 sjø'!S94</f>
        <v>3218.4468036529674</v>
      </c>
      <c r="H19" s="28">
        <f>'Kalk kost 2010 sjø'!P44*$F$2</f>
        <v>731.09333333333336</v>
      </c>
      <c r="I19" s="28">
        <f>'Kalk kost 2010 sjø'!Q44*$F$2</f>
        <v>222.50666666666669</v>
      </c>
      <c r="J19" s="28">
        <f>'Kalk kost 2010 sjø'!R44*$F$2</f>
        <v>206.61333333333334</v>
      </c>
      <c r="K19" s="28">
        <f>'Kalk kost 2010 sjø'!S44*$F$2</f>
        <v>158.93333333333334</v>
      </c>
      <c r="L19" s="28">
        <f>'Kalk kost 2010 sjø'!T44*$F$2</f>
        <v>270.18666666666672</v>
      </c>
      <c r="M19" s="28">
        <f>'Kalk kost 2010 sjø'!L138</f>
        <v>322.84422973138498</v>
      </c>
      <c r="N19" s="28">
        <f t="shared" si="1"/>
        <v>414.00570448559233</v>
      </c>
      <c r="O19" s="23">
        <f t="shared" si="2"/>
        <v>2780.9424608831664</v>
      </c>
      <c r="R19" s="10" t="s">
        <v>420</v>
      </c>
      <c r="S19" s="72">
        <v>0.1</v>
      </c>
      <c r="U19" s="10" t="s">
        <v>420</v>
      </c>
      <c r="V19" s="72">
        <f>S19</f>
        <v>0.1</v>
      </c>
      <c r="X19" s="10" t="s">
        <v>420</v>
      </c>
      <c r="Y19" s="72">
        <f>V19</f>
        <v>0.1</v>
      </c>
      <c r="AA19" s="10" t="s">
        <v>420</v>
      </c>
      <c r="AB19" s="72">
        <f>Y19</f>
        <v>0.1</v>
      </c>
    </row>
    <row r="20" spans="2:28" x14ac:dyDescent="0.3">
      <c r="B20" s="10">
        <v>4</v>
      </c>
      <c r="C20" s="10">
        <v>1</v>
      </c>
      <c r="D20" s="35" t="s">
        <v>77</v>
      </c>
      <c r="E20" s="10">
        <v>8500</v>
      </c>
      <c r="F20" s="28">
        <f t="shared" si="0"/>
        <v>2713.3925570776255</v>
      </c>
      <c r="G20" s="28">
        <f>'Kalk kost 2010 sjø'!S95</f>
        <v>1595.8925570776255</v>
      </c>
      <c r="H20" s="28">
        <f>'Kalk kost 2010 sjø'!P45*$F$2</f>
        <v>603.45000000000005</v>
      </c>
      <c r="I20" s="28">
        <f>'Kalk kost 2010 sjø'!Q45*$F$2</f>
        <v>134.1</v>
      </c>
      <c r="J20" s="28">
        <f>'Kalk kost 2010 sjø'!R45*$F$2</f>
        <v>145.27500000000001</v>
      </c>
      <c r="K20" s="28">
        <f>'Kalk kost 2010 sjø'!S45*$F$2</f>
        <v>111.75</v>
      </c>
      <c r="L20" s="28">
        <f>'Kalk kost 2010 sjø'!T45*$F$2</f>
        <v>122.925</v>
      </c>
      <c r="M20" s="28">
        <f>'Kalk kost 2010 sjø'!L139</f>
        <v>72.71003357283513</v>
      </c>
      <c r="N20" s="28">
        <f t="shared" si="1"/>
        <v>93.241154402972143</v>
      </c>
      <c r="O20" s="23">
        <f t="shared" si="2"/>
        <v>1378.9525338580438</v>
      </c>
      <c r="R20" s="10" t="s">
        <v>159</v>
      </c>
      <c r="S20" s="73">
        <f>(S19*POWER(1+S19,S18))/(POWER(1+S19,S18)-1)</f>
        <v>0.14077852376730216</v>
      </c>
      <c r="U20" s="10" t="s">
        <v>159</v>
      </c>
      <c r="V20" s="73">
        <f>(V19*POWER(1+V19,V18))/(POWER(1+V19,V18)-1)</f>
        <v>0.18744401757481335</v>
      </c>
      <c r="X20" s="10" t="s">
        <v>159</v>
      </c>
      <c r="Y20" s="73">
        <f>(Y19*POWER(1+Y19,Y18))/(POWER(1+Y19,Y18)-1)</f>
        <v>0.11016807219002084</v>
      </c>
      <c r="AA20" s="10" t="s">
        <v>159</v>
      </c>
      <c r="AB20" s="73">
        <f>(AB19*POWER(1+AB19,AB18))/(POWER(1+AB19,AB18)-1)</f>
        <v>0.1060792482526339</v>
      </c>
    </row>
    <row r="21" spans="2:28" x14ac:dyDescent="0.3">
      <c r="B21" s="10">
        <v>4</v>
      </c>
      <c r="C21" s="10">
        <v>2</v>
      </c>
      <c r="D21" s="35" t="s">
        <v>78</v>
      </c>
      <c r="E21" s="10">
        <v>14200</v>
      </c>
      <c r="F21" s="28">
        <f t="shared" si="0"/>
        <v>2925.1619178082192</v>
      </c>
      <c r="G21" s="28">
        <f>'Kalk kost 2010 sjø'!S96</f>
        <v>1683.4952511415524</v>
      </c>
      <c r="H21" s="28">
        <f>'Kalk kost 2010 sjø'!P46*$F$2</f>
        <v>596</v>
      </c>
      <c r="I21" s="28">
        <f>'Kalk kost 2010 sjø'!Q46*$F$2</f>
        <v>173.83333333333334</v>
      </c>
      <c r="J21" s="28">
        <f>'Kalk kost 2010 sjø'!R46*$F$2</f>
        <v>173.83333333333334</v>
      </c>
      <c r="K21" s="28">
        <f>'Kalk kost 2010 sjø'!S46*$F$2</f>
        <v>136.58333333333331</v>
      </c>
      <c r="L21" s="28">
        <f>'Kalk kost 2010 sjø'!T46*$F$2</f>
        <v>161.41666666666666</v>
      </c>
      <c r="M21" s="28">
        <f>'Kalk kost 2010 sjø'!L140</f>
        <v>98.024767104996613</v>
      </c>
      <c r="N21" s="28">
        <f t="shared" si="1"/>
        <v>125.7040052910539</v>
      </c>
      <c r="O21" s="23">
        <f t="shared" si="2"/>
        <v>1454.6468256927335</v>
      </c>
    </row>
    <row r="22" spans="2:28" x14ac:dyDescent="0.3">
      <c r="B22" s="10">
        <v>4</v>
      </c>
      <c r="C22" s="10">
        <v>3</v>
      </c>
      <c r="D22" s="35" t="s">
        <v>79</v>
      </c>
      <c r="E22" s="10">
        <v>23000</v>
      </c>
      <c r="F22" s="28">
        <f t="shared" si="0"/>
        <v>3455.0431963470314</v>
      </c>
      <c r="G22" s="28">
        <f>'Kalk kost 2010 sjø'!S97</f>
        <v>2064.3765296803649</v>
      </c>
      <c r="H22" s="28">
        <f>'Kalk kost 2010 sjø'!P47*$F$2</f>
        <v>667.51999999999987</v>
      </c>
      <c r="I22" s="28">
        <f>'Kalk kost 2010 sjø'!Q47*$F$2</f>
        <v>194.6933333333333</v>
      </c>
      <c r="J22" s="28">
        <f>'Kalk kost 2010 sjø'!R47*$F$2</f>
        <v>194.6933333333333</v>
      </c>
      <c r="K22" s="28">
        <f>'Kalk kost 2010 sjø'!S47*$F$2</f>
        <v>152.97333333333333</v>
      </c>
      <c r="L22" s="28">
        <f>'Kalk kost 2010 sjø'!T47*$F$2</f>
        <v>180.78666666666666</v>
      </c>
      <c r="M22" s="28">
        <f>'Kalk kost 2010 sjø'!L141</f>
        <v>112.89112393716304</v>
      </c>
      <c r="N22" s="28">
        <f t="shared" si="1"/>
        <v>144.76817298132417</v>
      </c>
      <c r="O22" s="23">
        <f t="shared" si="2"/>
        <v>1783.7524423652974</v>
      </c>
      <c r="R22" s="10" t="s">
        <v>419</v>
      </c>
      <c r="S22" s="10">
        <v>13</v>
      </c>
      <c r="U22" s="10" t="s">
        <v>419</v>
      </c>
      <c r="V22" s="10">
        <v>8</v>
      </c>
      <c r="X22" s="10" t="s">
        <v>419</v>
      </c>
      <c r="Y22" s="10">
        <v>25</v>
      </c>
      <c r="AA22" s="10" t="s">
        <v>419</v>
      </c>
      <c r="AB22" s="10">
        <v>30</v>
      </c>
    </row>
    <row r="23" spans="2:28" x14ac:dyDescent="0.3">
      <c r="B23" s="10">
        <v>5</v>
      </c>
      <c r="C23" s="10">
        <v>15</v>
      </c>
      <c r="D23" s="35" t="s">
        <v>80</v>
      </c>
      <c r="E23" s="10">
        <v>8000</v>
      </c>
      <c r="F23" s="28">
        <f t="shared" si="0"/>
        <v>4917.9315068493152</v>
      </c>
      <c r="G23" s="28">
        <f>'Kalk kost 2010 sjø'!S98</f>
        <v>3427.9315068493152</v>
      </c>
      <c r="H23" s="28">
        <f>'Kalk kost 2010 sjø'!P48*$F$2</f>
        <v>715.2</v>
      </c>
      <c r="I23" s="28">
        <f>'Kalk kost 2010 sjø'!Q48*$F$2</f>
        <v>208.60000000000002</v>
      </c>
      <c r="J23" s="28">
        <f>'Kalk kost 2010 sjø'!R48*$F$2</f>
        <v>208.60000000000002</v>
      </c>
      <c r="K23" s="28">
        <f>'Kalk kost 2010 sjø'!S48*$F$2</f>
        <v>163.9</v>
      </c>
      <c r="L23" s="28">
        <f>'Kalk kost 2010 sjø'!T48*$F$2</f>
        <v>193.70000000000002</v>
      </c>
      <c r="M23" s="28">
        <f>'Kalk kost 2010 sjø'!L142</f>
        <v>91.973658900205066</v>
      </c>
      <c r="N23" s="28">
        <f t="shared" si="1"/>
        <v>117.94424660703574</v>
      </c>
      <c r="O23" s="23">
        <f t="shared" si="2"/>
        <v>2961.9505500530772</v>
      </c>
      <c r="R23" s="10" t="s">
        <v>420</v>
      </c>
      <c r="S23" s="72">
        <f>S19+0.02</f>
        <v>0.12000000000000001</v>
      </c>
      <c r="U23" s="10" t="s">
        <v>420</v>
      </c>
      <c r="V23" s="72">
        <f>S23</f>
        <v>0.12000000000000001</v>
      </c>
      <c r="X23" s="10" t="s">
        <v>420</v>
      </c>
      <c r="Y23" s="72">
        <f>V23</f>
        <v>0.12000000000000001</v>
      </c>
      <c r="AA23" s="10" t="s">
        <v>420</v>
      </c>
      <c r="AB23" s="72">
        <f>Y23</f>
        <v>0.12000000000000001</v>
      </c>
    </row>
    <row r="24" spans="2:28" x14ac:dyDescent="0.3">
      <c r="B24" s="10">
        <v>5</v>
      </c>
      <c r="C24" s="10">
        <v>16</v>
      </c>
      <c r="D24" s="35" t="s">
        <v>81</v>
      </c>
      <c r="E24" s="10">
        <v>15000</v>
      </c>
      <c r="F24" s="28">
        <f t="shared" si="0"/>
        <v>5695.3856164383569</v>
      </c>
      <c r="G24" s="28">
        <f>'Kalk kost 2010 sjø'!S99</f>
        <v>4056.385616438356</v>
      </c>
      <c r="H24" s="28">
        <f>'Kalk kost 2010 sjø'!P49*$F$2</f>
        <v>819.5</v>
      </c>
      <c r="I24" s="28">
        <f>'Kalk kost 2010 sjø'!Q49*$F$2</f>
        <v>196.67999999999998</v>
      </c>
      <c r="J24" s="28">
        <f>'Kalk kost 2010 sjø'!R49*$F$2</f>
        <v>278.63</v>
      </c>
      <c r="K24" s="28">
        <f>'Kalk kost 2010 sjø'!S49*$F$2</f>
        <v>147.51</v>
      </c>
      <c r="L24" s="28">
        <f>'Kalk kost 2010 sjø'!T49*$F$2</f>
        <v>196.67999999999998</v>
      </c>
      <c r="M24" s="28">
        <f>'Kalk kost 2010 sjø'!L143</f>
        <v>130.59636914721034</v>
      </c>
      <c r="N24" s="28">
        <f t="shared" si="1"/>
        <v>167.47284551759532</v>
      </c>
      <c r="O24" s="23">
        <f t="shared" si="2"/>
        <v>3504.9748175628079</v>
      </c>
      <c r="R24" s="10" t="s">
        <v>159</v>
      </c>
      <c r="S24" s="73">
        <f>(S23*POWER(1+S23,S22))/(POWER(1+S23,S22)-1)</f>
        <v>0.15567719511131667</v>
      </c>
      <c r="U24" s="10" t="s">
        <v>159</v>
      </c>
      <c r="V24" s="73">
        <f>(V23*POWER(1+V23,V22))/(POWER(1+V23,V22)-1)</f>
        <v>0.20130284137660021</v>
      </c>
      <c r="X24" s="10" t="s">
        <v>159</v>
      </c>
      <c r="Y24" s="73">
        <f>(Y23*POWER(1+Y23,Y22))/(POWER(1+Y23,Y22)-1)</f>
        <v>0.12749996980950776</v>
      </c>
      <c r="AA24" s="10" t="s">
        <v>159</v>
      </c>
      <c r="AB24" s="73">
        <f>(AB23*POWER(1+AB23,AB22))/(POWER(1+AB23,AB22)-1)</f>
        <v>0.12414365755194319</v>
      </c>
    </row>
    <row r="25" spans="2:28" x14ac:dyDescent="0.3">
      <c r="B25" s="10">
        <v>5</v>
      </c>
      <c r="C25" s="10">
        <v>17</v>
      </c>
      <c r="D25" s="35" t="s">
        <v>85</v>
      </c>
      <c r="E25" s="10">
        <v>13700</v>
      </c>
      <c r="F25" s="28">
        <f t="shared" si="0"/>
        <v>3192.387214611872</v>
      </c>
      <c r="G25" s="28">
        <f>'Kalk kost 2010 sjø'!S100</f>
        <v>1752.0538812785387</v>
      </c>
      <c r="H25" s="28">
        <f>'Kalk kost 2010 sjø'!P50*$F$2</f>
        <v>619.34333333333325</v>
      </c>
      <c r="I25" s="28">
        <f>'Kalk kost 2010 sjø'!Q50*$F$2</f>
        <v>216.04999999999995</v>
      </c>
      <c r="J25" s="28">
        <f>'Kalk kost 2010 sjø'!R50*$F$2</f>
        <v>331.27666666666664</v>
      </c>
      <c r="K25" s="28">
        <f>'Kalk kost 2010 sjø'!S50*$F$2</f>
        <v>115.22666666666665</v>
      </c>
      <c r="L25" s="28">
        <f>'Kalk kost 2010 sjø'!T50*$F$2</f>
        <v>158.43666666666664</v>
      </c>
      <c r="M25" s="28">
        <f>'Kalk kost 2010 sjø'!L144</f>
        <v>196.90013002950892</v>
      </c>
      <c r="N25" s="28">
        <f t="shared" si="1"/>
        <v>252.49878901040461</v>
      </c>
      <c r="O25" s="23">
        <f t="shared" si="2"/>
        <v>1513.885836693795</v>
      </c>
    </row>
    <row r="26" spans="2:28" x14ac:dyDescent="0.3">
      <c r="B26" s="10">
        <v>5</v>
      </c>
      <c r="C26" s="10">
        <v>18</v>
      </c>
      <c r="D26" s="35" t="s">
        <v>35</v>
      </c>
      <c r="E26" s="10">
        <v>3500</v>
      </c>
      <c r="F26" s="28">
        <f t="shared" si="0"/>
        <v>1932.9158046008811</v>
      </c>
      <c r="G26" s="28">
        <f>'Kalk kost 2010 sjø'!S101</f>
        <v>790.58247126754736</v>
      </c>
      <c r="H26" s="28">
        <f>'Kalk kost 2010 sjø'!P51*$F$2</f>
        <v>628.28333333333342</v>
      </c>
      <c r="I26" s="28">
        <f>'Kalk kost 2010 sjø'!Q51*$F$2</f>
        <v>102.80999999999999</v>
      </c>
      <c r="J26" s="28">
        <f>'Kalk kost 2010 sjø'!R51*$F$2</f>
        <v>159.9266666666667</v>
      </c>
      <c r="K26" s="28">
        <f>'Kalk kost 2010 sjø'!S51*$F$2</f>
        <v>57.116666666666674</v>
      </c>
      <c r="L26" s="28">
        <f>'Kalk kost 2010 sjø'!T51*$F$2</f>
        <v>194.19666666666669</v>
      </c>
      <c r="M26" s="28">
        <f>'Kalk kost 2010 sjø'!L145</f>
        <v>74.238193299459155</v>
      </c>
      <c r="N26" s="28">
        <f t="shared" si="1"/>
        <v>95.200820353061715</v>
      </c>
      <c r="O26" s="23">
        <f t="shared" si="2"/>
        <v>683.11346972784429</v>
      </c>
    </row>
    <row r="27" spans="2:28" x14ac:dyDescent="0.3">
      <c r="B27" s="10">
        <v>5</v>
      </c>
      <c r="C27" s="10">
        <v>19</v>
      </c>
      <c r="D27" s="35" t="s">
        <v>36</v>
      </c>
      <c r="E27" s="10">
        <v>9500</v>
      </c>
      <c r="F27" s="28">
        <f t="shared" si="0"/>
        <v>2434.2338733116458</v>
      </c>
      <c r="G27" s="28">
        <f>'Kalk kost 2010 sjø'!S102</f>
        <v>1093.2338733116455</v>
      </c>
      <c r="H27" s="28">
        <f>'Kalk kost 2010 sjø'!P52*$F$2</f>
        <v>737.55</v>
      </c>
      <c r="I27" s="28">
        <f>'Kalk kost 2010 sjø'!Q52*$F$2</f>
        <v>120.68999999999998</v>
      </c>
      <c r="J27" s="28">
        <f>'Kalk kost 2010 sjø'!R52*$F$2</f>
        <v>214.55999999999997</v>
      </c>
      <c r="K27" s="28">
        <f>'Kalk kost 2010 sjø'!S52*$F$2</f>
        <v>80.45999999999998</v>
      </c>
      <c r="L27" s="28">
        <f>'Kalk kost 2010 sjø'!T52*$F$2</f>
        <v>187.74</v>
      </c>
      <c r="M27" s="28">
        <f>'Kalk kost 2010 sjø'!L146</f>
        <v>115.68648718759738</v>
      </c>
      <c r="N27" s="28">
        <f t="shared" si="1"/>
        <v>148.35286251643558</v>
      </c>
      <c r="O27" s="23">
        <f t="shared" si="2"/>
        <v>944.62350426840817</v>
      </c>
    </row>
    <row r="28" spans="2:28" x14ac:dyDescent="0.3">
      <c r="B28" s="10">
        <v>5</v>
      </c>
      <c r="C28" s="10">
        <v>20</v>
      </c>
      <c r="D28" s="35" t="s">
        <v>37</v>
      </c>
      <c r="E28" s="10">
        <v>17000</v>
      </c>
      <c r="F28" s="28">
        <f t="shared" si="0"/>
        <v>3640.6548701322654</v>
      </c>
      <c r="G28" s="28">
        <f>'Kalk kost 2010 sjø'!S103</f>
        <v>1579.4882034655986</v>
      </c>
      <c r="H28" s="28">
        <f>'Kalk kost 2010 sjø'!P53*$F$2</f>
        <v>1154.2533333333333</v>
      </c>
      <c r="I28" s="28">
        <f>'Kalk kost 2010 sjø'!Q53*$F$2</f>
        <v>164.89333333333332</v>
      </c>
      <c r="J28" s="28">
        <f>'Kalk kost 2010 sjø'!R53*$F$2</f>
        <v>371.00999999999993</v>
      </c>
      <c r="K28" s="28">
        <f>'Kalk kost 2010 sjø'!S53*$F$2</f>
        <v>123.66999999999997</v>
      </c>
      <c r="L28" s="28">
        <f>'Kalk kost 2010 sjø'!T53*$F$2</f>
        <v>247.33999999999995</v>
      </c>
      <c r="M28" s="28">
        <f>'Kalk kost 2010 sjø'!L147</f>
        <v>149.37504440501033</v>
      </c>
      <c r="N28" s="28">
        <f t="shared" si="1"/>
        <v>191.5540523766438</v>
      </c>
      <c r="O28" s="23">
        <f t="shared" si="2"/>
        <v>1364.7781304000623</v>
      </c>
    </row>
    <row r="29" spans="2:28" x14ac:dyDescent="0.3">
      <c r="B29" s="10">
        <v>5</v>
      </c>
      <c r="C29" s="10">
        <v>21</v>
      </c>
      <c r="D29" s="35" t="s">
        <v>86</v>
      </c>
      <c r="E29" s="10">
        <v>37000</v>
      </c>
      <c r="F29" s="28">
        <f t="shared" si="0"/>
        <v>5050.7044520547952</v>
      </c>
      <c r="G29" s="28">
        <f>'Kalk kost 2010 sjø'!S104</f>
        <v>3113.7044520547947</v>
      </c>
      <c r="H29" s="28">
        <f>'Kalk kost 2010 sjø'!P54*$F$2</f>
        <v>1026.6099999999999</v>
      </c>
      <c r="I29" s="28">
        <f>'Kalk kost 2010 sjø'!Q54*$F$2</f>
        <v>213.07</v>
      </c>
      <c r="J29" s="28">
        <f>'Kalk kost 2010 sjø'!R54*$F$2</f>
        <v>290.54999999999995</v>
      </c>
      <c r="K29" s="28">
        <f>'Kalk kost 2010 sjø'!S54*$F$2</f>
        <v>135.59</v>
      </c>
      <c r="L29" s="28">
        <f>'Kalk kost 2010 sjø'!T54*$F$2</f>
        <v>271.18</v>
      </c>
      <c r="M29" s="28">
        <f>'Kalk kost 2010 sjø'!L148</f>
        <v>216.0888750523288</v>
      </c>
      <c r="N29" s="28">
        <f t="shared" si="1"/>
        <v>277.10585697001096</v>
      </c>
      <c r="O29" s="23">
        <f t="shared" si="2"/>
        <v>2690.4384162982119</v>
      </c>
    </row>
    <row r="30" spans="2:28" x14ac:dyDescent="0.3">
      <c r="B30" s="10">
        <v>5</v>
      </c>
      <c r="C30" s="10">
        <v>22</v>
      </c>
      <c r="D30" s="35" t="s">
        <v>39</v>
      </c>
      <c r="E30" s="10">
        <v>100000</v>
      </c>
      <c r="F30" s="28">
        <f t="shared" si="0"/>
        <v>6761.3176940639269</v>
      </c>
      <c r="G30" s="28">
        <f>'Kalk kost 2010 sjø'!S105</f>
        <v>4675.3176940639269</v>
      </c>
      <c r="H30" s="28">
        <f>'Kalk kost 2010 sjø'!P55*$F$2</f>
        <v>1084.7199999999998</v>
      </c>
      <c r="I30" s="28">
        <f>'Kalk kost 2010 sjø'!Q55*$F$2</f>
        <v>208.59999999999997</v>
      </c>
      <c r="J30" s="28">
        <f>'Kalk kost 2010 sjø'!R55*$F$2</f>
        <v>292.04000000000002</v>
      </c>
      <c r="K30" s="28">
        <f>'Kalk kost 2010 sjø'!S55*$F$2</f>
        <v>187.73999999999998</v>
      </c>
      <c r="L30" s="28">
        <f>'Kalk kost 2010 sjø'!T55*$F$2</f>
        <v>312.89999999999992</v>
      </c>
      <c r="M30" s="28">
        <f>'Kalk kost 2010 sjø'!L149</f>
        <v>376.24415545245597</v>
      </c>
      <c r="N30" s="28">
        <f t="shared" si="1"/>
        <v>482.48415889694928</v>
      </c>
      <c r="O30" s="23">
        <f t="shared" si="2"/>
        <v>4039.7714446557247</v>
      </c>
    </row>
    <row r="31" spans="2:28" x14ac:dyDescent="0.3">
      <c r="B31" s="10" t="s">
        <v>69</v>
      </c>
      <c r="C31" s="10" t="s">
        <v>69</v>
      </c>
      <c r="D31" s="11" t="s">
        <v>87</v>
      </c>
      <c r="E31" s="10">
        <v>150000</v>
      </c>
      <c r="F31" s="28">
        <f t="shared" si="0"/>
        <v>8059.1310502283095</v>
      </c>
      <c r="G31" s="28">
        <f>'Kalk kost 2010 sjø'!S106</f>
        <v>5675.1310502283104</v>
      </c>
      <c r="H31" s="28">
        <f>'Kalk kost 2010 sjø'!P56*$F$2</f>
        <v>1215.8399999999999</v>
      </c>
      <c r="I31" s="28">
        <f>'Kalk kost 2010 sjø'!Q56*$F$2</f>
        <v>262.24</v>
      </c>
      <c r="J31" s="28">
        <f>'Kalk kost 2010 sjø'!R56*$F$2</f>
        <v>286.07999999999993</v>
      </c>
      <c r="K31" s="28">
        <f>'Kalk kost 2010 sjø'!S56*$F$2</f>
        <v>238.4</v>
      </c>
      <c r="L31" s="28">
        <f>'Kalk kost 2010 sjø'!T56*$F$2</f>
        <v>381.44</v>
      </c>
      <c r="M31" s="28">
        <f>'Kalk kost 2010 sjø'!L150</f>
        <v>471.72123057572139</v>
      </c>
      <c r="N31" s="28">
        <f t="shared" si="1"/>
        <v>604.92108081907782</v>
      </c>
      <c r="O31" s="23">
        <f t="shared" si="2"/>
        <v>4903.673688421206</v>
      </c>
    </row>
    <row r="32" spans="2:28" x14ac:dyDescent="0.3">
      <c r="B32" s="10">
        <v>5</v>
      </c>
      <c r="C32" s="10">
        <v>23</v>
      </c>
      <c r="D32" s="35" t="s">
        <v>90</v>
      </c>
      <c r="E32" s="10">
        <v>310000</v>
      </c>
      <c r="F32" s="28">
        <f t="shared" si="0"/>
        <v>11872.817351598173</v>
      </c>
      <c r="G32" s="28">
        <f>'Kalk kost 2010 sjø'!S107</f>
        <v>9141.1506849315065</v>
      </c>
      <c r="H32" s="28">
        <f>'Kalk kost 2010 sjø'!P57*$F$2</f>
        <v>1256.5666666666666</v>
      </c>
      <c r="I32" s="28">
        <f>'Kalk kost 2010 sjø'!Q57*$F$2</f>
        <v>355.11666666666662</v>
      </c>
      <c r="J32" s="28">
        <f>'Kalk kost 2010 sjø'!R57*$F$2</f>
        <v>409.74999999999994</v>
      </c>
      <c r="K32" s="28">
        <f>'Kalk kost 2010 sjø'!S57*$F$2</f>
        <v>327.7999999999999</v>
      </c>
      <c r="L32" s="28">
        <f>'Kalk kost 2010 sjø'!T57*$F$2</f>
        <v>382.43333333333328</v>
      </c>
      <c r="M32" s="28">
        <f>'Kalk kost 2010 sjø'!L151</f>
        <v>707.17820887231835</v>
      </c>
      <c r="N32" s="28">
        <f t="shared" si="1"/>
        <v>906.86400932313643</v>
      </c>
      <c r="O32" s="23">
        <f t="shared" si="2"/>
        <v>7898.5348001415396</v>
      </c>
    </row>
    <row r="33" spans="2:15" x14ac:dyDescent="0.3">
      <c r="B33" s="10" t="s">
        <v>69</v>
      </c>
      <c r="C33" s="10" t="s">
        <v>69</v>
      </c>
      <c r="D33" s="35" t="s">
        <v>88</v>
      </c>
      <c r="E33" s="10">
        <v>8000</v>
      </c>
      <c r="F33" s="28">
        <f t="shared" si="0"/>
        <v>3309.0883561643832</v>
      </c>
      <c r="G33" s="28">
        <f>'Kalk kost 2010 sjø'!S108</f>
        <v>1694.9216894977167</v>
      </c>
      <c r="H33" s="28">
        <f>'Kalk kost 2010 sjø'!P58*$F$2</f>
        <v>887.79166666666674</v>
      </c>
      <c r="I33" s="28">
        <f>'Kalk kost 2010 sjø'!Q58*$F$2</f>
        <v>145.27499999999998</v>
      </c>
      <c r="J33" s="28">
        <f>'Kalk kost 2010 sjø'!R58*$F$2</f>
        <v>258.26666666666671</v>
      </c>
      <c r="K33" s="28">
        <f>'Kalk kost 2010 sjø'!S58*$F$2</f>
        <v>96.85</v>
      </c>
      <c r="L33" s="28">
        <f>'Kalk kost 2010 sjø'!T58*$F$2</f>
        <v>225.98333333333335</v>
      </c>
      <c r="M33" s="28">
        <f>'Kalk kost 2010 sjø'!L152</f>
        <v>106.46845039230716</v>
      </c>
      <c r="N33" s="28">
        <f t="shared" si="1"/>
        <v>136.53193011016796</v>
      </c>
      <c r="O33" s="23">
        <f t="shared" si="2"/>
        <v>1464.5199941929102</v>
      </c>
    </row>
    <row r="34" spans="2:15" x14ac:dyDescent="0.3">
      <c r="B34" s="10" t="s">
        <v>69</v>
      </c>
      <c r="C34" s="10" t="s">
        <v>69</v>
      </c>
      <c r="D34" s="35" t="s">
        <v>89</v>
      </c>
      <c r="E34" s="10">
        <v>19000</v>
      </c>
      <c r="F34" s="28">
        <f t="shared" si="0"/>
        <v>4071.6114155251144</v>
      </c>
      <c r="G34" s="28">
        <f>'Kalk kost 2010 sjø'!S109</f>
        <v>2209.1114155251144</v>
      </c>
      <c r="H34" s="28">
        <f>'Kalk kost 2010 sjø'!P59*$F$2</f>
        <v>1043</v>
      </c>
      <c r="I34" s="28">
        <f>'Kalk kost 2010 sjø'!Q59*$F$2</f>
        <v>149</v>
      </c>
      <c r="J34" s="28">
        <f>'Kalk kost 2010 sjø'!R59*$F$2</f>
        <v>335.25</v>
      </c>
      <c r="K34" s="28">
        <f>'Kalk kost 2010 sjø'!S59*$F$2</f>
        <v>111.74999999999999</v>
      </c>
      <c r="L34" s="28">
        <f>'Kalk kost 2010 sjø'!T59*$F$2</f>
        <v>223.49999999999997</v>
      </c>
      <c r="M34" s="28">
        <f>'Kalk kost 2010 sjø'!L153</f>
        <v>164.41576137065474</v>
      </c>
      <c r="N34" s="28">
        <f t="shared" si="1"/>
        <v>210.84181424406509</v>
      </c>
      <c r="O34" s="23">
        <f t="shared" si="2"/>
        <v>1908.8125767008723</v>
      </c>
    </row>
    <row r="35" spans="2:15" x14ac:dyDescent="0.3">
      <c r="B35" s="10">
        <v>5</v>
      </c>
      <c r="C35" s="10">
        <v>24</v>
      </c>
      <c r="D35" s="35" t="s">
        <v>82</v>
      </c>
      <c r="E35" s="10">
        <v>30000</v>
      </c>
      <c r="F35" s="28">
        <f t="shared" si="0"/>
        <v>5859.1149162861493</v>
      </c>
      <c r="G35" s="28">
        <f>'Kalk kost 2010 sjø'!S110</f>
        <v>4443.6149162861493</v>
      </c>
      <c r="H35" s="28">
        <f>'Kalk kost 2010 sjø'!P60*$F$2</f>
        <v>778.52499999999986</v>
      </c>
      <c r="I35" s="28">
        <f>'Kalk kost 2010 sjø'!Q60*$F$2</f>
        <v>141.54999999999995</v>
      </c>
      <c r="J35" s="28">
        <f>'Kalk kost 2010 sjø'!R60*$F$2</f>
        <v>198.17</v>
      </c>
      <c r="K35" s="28">
        <f>'Kalk kost 2010 sjø'!S60*$F$2</f>
        <v>99.084999999999994</v>
      </c>
      <c r="L35" s="28">
        <f>'Kalk kost 2010 sjø'!T60*$F$2</f>
        <v>198.17</v>
      </c>
      <c r="M35" s="28">
        <f>'Kalk kost 2010 sjø'!L154</f>
        <v>170.87532787277894</v>
      </c>
      <c r="N35" s="28">
        <f t="shared" si="1"/>
        <v>219.1253675310746</v>
      </c>
      <c r="O35" s="23">
        <f t="shared" si="2"/>
        <v>3839.565527846582</v>
      </c>
    </row>
    <row r="36" spans="2:15" x14ac:dyDescent="0.3">
      <c r="B36" s="10">
        <v>5</v>
      </c>
      <c r="C36" s="10">
        <v>25</v>
      </c>
      <c r="D36" s="35" t="s">
        <v>83</v>
      </c>
      <c r="E36" s="10">
        <v>42000</v>
      </c>
      <c r="F36" s="28">
        <f t="shared" si="0"/>
        <v>6922.2299847792992</v>
      </c>
      <c r="G36" s="28">
        <f>'Kalk kost 2010 sjø'!S111</f>
        <v>5357.7299847792992</v>
      </c>
      <c r="H36" s="28">
        <f>'Kalk kost 2010 sjø'!P61*$F$2</f>
        <v>860.47500000000014</v>
      </c>
      <c r="I36" s="28">
        <f>'Kalk kost 2010 sjø'!Q61*$F$2</f>
        <v>156.45000000000002</v>
      </c>
      <c r="J36" s="28">
        <f>'Kalk kost 2010 sjø'!R61*$F$2</f>
        <v>219.03000000000003</v>
      </c>
      <c r="K36" s="28">
        <f>'Kalk kost 2010 sjø'!S61*$F$2</f>
        <v>109.51500000000001</v>
      </c>
      <c r="L36" s="28">
        <f>'Kalk kost 2010 sjø'!T61*$F$2</f>
        <v>219.03000000000003</v>
      </c>
      <c r="M36" s="28">
        <f>'Kalk kost 2010 sjø'!L155</f>
        <v>206.14979348154898</v>
      </c>
      <c r="N36" s="28">
        <f t="shared" si="1"/>
        <v>264.36027848755174</v>
      </c>
      <c r="O36" s="23">
        <f t="shared" si="2"/>
        <v>4629.4190078607353</v>
      </c>
    </row>
    <row r="37" spans="2:15" x14ac:dyDescent="0.3">
      <c r="B37" s="10" t="s">
        <v>69</v>
      </c>
      <c r="C37" s="10" t="s">
        <v>69</v>
      </c>
      <c r="D37" s="11" t="s">
        <v>84</v>
      </c>
      <c r="E37" s="10">
        <v>70000</v>
      </c>
      <c r="F37" s="28">
        <f t="shared" si="0"/>
        <v>23894.945205479456</v>
      </c>
      <c r="G37" s="28">
        <f>'Kalk kost 2010 sjø'!S112</f>
        <v>19424.945205479453</v>
      </c>
      <c r="H37" s="28">
        <f>'Kalk kost 2010 sjø'!P62*$F$2</f>
        <v>2279.7000000000003</v>
      </c>
      <c r="I37" s="28">
        <f>'Kalk kost 2010 sjø'!Q62*$F$2</f>
        <v>491.7</v>
      </c>
      <c r="J37" s="28">
        <f>'Kalk kost 2010 sjø'!R62*$F$2</f>
        <v>536.4</v>
      </c>
      <c r="K37" s="28">
        <f>'Kalk kost 2010 sjø'!S62*$F$2</f>
        <v>447</v>
      </c>
      <c r="L37" s="28">
        <f>'Kalk kost 2010 sjø'!T62*$F$2</f>
        <v>715.2</v>
      </c>
      <c r="M37" s="28">
        <f>'Kalk kost 2010 sjø'!L156</f>
        <v>274.10692179176579</v>
      </c>
      <c r="N37" s="28">
        <f t="shared" si="1"/>
        <v>351.50645051081466</v>
      </c>
      <c r="O37" s="23">
        <f t="shared" si="2"/>
        <v>16784.386450300772</v>
      </c>
    </row>
    <row r="38" spans="2:15" x14ac:dyDescent="0.3">
      <c r="B38" s="10">
        <v>5</v>
      </c>
      <c r="C38" s="10">
        <v>26</v>
      </c>
      <c r="D38" s="35" t="s">
        <v>66</v>
      </c>
      <c r="E38" s="10">
        <v>1250</v>
      </c>
      <c r="F38" s="28">
        <f t="shared" si="0"/>
        <v>926.14210136986298</v>
      </c>
      <c r="G38" s="28">
        <f>'Kalk kost 2010 sjø'!S113</f>
        <v>553.64210136986298</v>
      </c>
      <c r="H38" s="28">
        <f>'Kalk kost 2010 sjø'!P63*$F$2</f>
        <v>193.70000000000002</v>
      </c>
      <c r="I38" s="28">
        <f>'Kalk kost 2010 sjø'!Q63*$F$2</f>
        <v>29.800000000000004</v>
      </c>
      <c r="J38" s="28">
        <f>'Kalk kost 2010 sjø'!R63*$F$2</f>
        <v>52.150000000000006</v>
      </c>
      <c r="K38" s="28">
        <f>'Kalk kost 2010 sjø'!S63*$F$2</f>
        <v>37.250000000000007</v>
      </c>
      <c r="L38" s="28">
        <f>'Kalk kost 2010 sjø'!T63*$F$2</f>
        <v>59.600000000000009</v>
      </c>
      <c r="M38" s="28">
        <f>'Kalk kost 2010 sjø'!L157</f>
        <v>39.986916446752495</v>
      </c>
      <c r="N38" s="28">
        <f t="shared" si="1"/>
        <v>51.278015801980821</v>
      </c>
      <c r="O38" s="23">
        <f>G38*$U$3</f>
        <v>511.85129957387994</v>
      </c>
    </row>
    <row r="39" spans="2:15" x14ac:dyDescent="0.3">
      <c r="B39" s="10">
        <v>5</v>
      </c>
      <c r="C39" s="10">
        <v>27</v>
      </c>
      <c r="D39" s="35" t="s">
        <v>67</v>
      </c>
      <c r="E39" s="10">
        <v>2530</v>
      </c>
      <c r="F39" s="28">
        <f t="shared" si="0"/>
        <v>1348.8824513698632</v>
      </c>
      <c r="G39" s="28">
        <f>'Kalk kost 2010 sjø'!S114</f>
        <v>678.38245136986302</v>
      </c>
      <c r="H39" s="28">
        <f>'Kalk kost 2010 sjø'!P64*$F$2</f>
        <v>348.65999999999997</v>
      </c>
      <c r="I39" s="28">
        <f>'Kalk kost 2010 sjø'!Q64*$F$2</f>
        <v>53.639999999999993</v>
      </c>
      <c r="J39" s="28">
        <f>'Kalk kost 2010 sjø'!R64*$F$2</f>
        <v>93.87</v>
      </c>
      <c r="K39" s="28">
        <f>'Kalk kost 2010 sjø'!S64*$F$2</f>
        <v>67.05</v>
      </c>
      <c r="L39" s="28">
        <f>'Kalk kost 2010 sjø'!T64*$F$2</f>
        <v>107.27999999999999</v>
      </c>
      <c r="M39" s="28">
        <f>'Kalk kost 2010 sjø'!L158</f>
        <v>61.721563084192184</v>
      </c>
      <c r="N39" s="28">
        <f t="shared" si="1"/>
        <v>79.149871217719323</v>
      </c>
      <c r="O39" s="23">
        <f t="shared" ref="O39:O43" si="3">G39*$U$3</f>
        <v>627.17582077416773</v>
      </c>
    </row>
    <row r="40" spans="2:15" x14ac:dyDescent="0.3">
      <c r="B40" s="10">
        <v>5</v>
      </c>
      <c r="C40" s="10">
        <v>28</v>
      </c>
      <c r="D40" s="35" t="s">
        <v>91</v>
      </c>
      <c r="E40" s="10">
        <v>4440</v>
      </c>
      <c r="F40" s="28">
        <f t="shared" si="0"/>
        <v>1851.8228004566211</v>
      </c>
      <c r="G40" s="28">
        <f>'Kalk kost 2010 sjø'!S115</f>
        <v>932.98946712328757</v>
      </c>
      <c r="H40" s="28">
        <f>'Kalk kost 2010 sjø'!P65*$F$2</f>
        <v>496.17</v>
      </c>
      <c r="I40" s="28">
        <f>'Kalk kost 2010 sjø'!Q65*$F$2</f>
        <v>110.25999999999999</v>
      </c>
      <c r="J40" s="28">
        <f>'Kalk kost 2010 sjø'!R65*$F$2</f>
        <v>119.44833333333334</v>
      </c>
      <c r="K40" s="28">
        <f>'Kalk kost 2010 sjø'!S65*$F$2</f>
        <v>91.88333333333334</v>
      </c>
      <c r="L40" s="28">
        <f>'Kalk kost 2010 sjø'!T65*$F$2</f>
        <v>101.07166666666667</v>
      </c>
      <c r="M40" s="28">
        <f>'Kalk kost 2010 sjø'!L159</f>
        <v>78.492468034131775</v>
      </c>
      <c r="N40" s="28">
        <f t="shared" si="1"/>
        <v>100.65637398048395</v>
      </c>
      <c r="O40" s="23">
        <f t="shared" si="3"/>
        <v>862.56422705968657</v>
      </c>
    </row>
    <row r="41" spans="2:15" x14ac:dyDescent="0.3">
      <c r="B41" s="10">
        <v>5</v>
      </c>
      <c r="C41" s="10">
        <v>30</v>
      </c>
      <c r="D41" s="35" t="s">
        <v>92</v>
      </c>
      <c r="E41" s="10">
        <v>3000</v>
      </c>
      <c r="F41" s="28">
        <f t="shared" si="0"/>
        <v>5294.6142694063919</v>
      </c>
      <c r="G41" s="28">
        <f>'Kalk kost 2010 sjø'!S116</f>
        <v>2066.2809360730594</v>
      </c>
      <c r="H41" s="28">
        <f>'Kalk kost 2010 sjø'!P66*$F$2</f>
        <v>1743.3</v>
      </c>
      <c r="I41" s="28">
        <f>'Kalk kost 2010 sjø'!Q66*$F$2</f>
        <v>387.4</v>
      </c>
      <c r="J41" s="28">
        <f>'Kalk kost 2010 sjø'!R66*$F$2</f>
        <v>419.68333333333334</v>
      </c>
      <c r="K41" s="28">
        <f>'Kalk kost 2010 sjø'!S66*$F$2</f>
        <v>322.83333333333337</v>
      </c>
      <c r="L41" s="28">
        <f>'Kalk kost 2010 sjø'!T66*$F$2</f>
        <v>355.11666666666667</v>
      </c>
      <c r="M41" s="28">
        <f>'Kalk kost 2010 sjø'!L160</f>
        <v>69.151427885769152</v>
      </c>
      <c r="N41" s="28">
        <f t="shared" si="1"/>
        <v>88.677705783537334</v>
      </c>
      <c r="O41" s="23">
        <f t="shared" si="3"/>
        <v>1910.310974900327</v>
      </c>
    </row>
    <row r="42" spans="2:15" x14ac:dyDescent="0.3">
      <c r="B42" s="10" t="s">
        <v>69</v>
      </c>
      <c r="C42" s="10" t="s">
        <v>69</v>
      </c>
      <c r="D42" s="11" t="s">
        <v>163</v>
      </c>
      <c r="E42" s="10" t="s">
        <v>169</v>
      </c>
      <c r="F42" s="28">
        <f t="shared" si="0"/>
        <v>1481.0229786262512</v>
      </c>
      <c r="G42" s="28">
        <f>'Kalk kost 2010 sjø'!S117</f>
        <v>690.63926940639283</v>
      </c>
      <c r="H42" s="28">
        <f>'Kalk kost 2010 sjø'!P67*$F$2</f>
        <v>348.65999999999997</v>
      </c>
      <c r="I42" s="28">
        <f>'Kalk kost 2010 sjø'!Q67*$F$2</f>
        <v>53.639999999999993</v>
      </c>
      <c r="J42" s="28">
        <f>'Kalk kost 2010 sjø'!R67*$F$2</f>
        <v>143.33799999999999</v>
      </c>
      <c r="K42" s="28">
        <f>'Kalk kost 2010 sjø'!S67*$F$2</f>
        <v>86.309042553191503</v>
      </c>
      <c r="L42" s="28">
        <f>'Kalk kost 2010 sjø'!T67*$F$2</f>
        <v>158.43666666666664</v>
      </c>
      <c r="M42" s="28">
        <f>'Kalk kost 2010 sjø'!L161</f>
        <v>174.26778653912228</v>
      </c>
      <c r="N42" s="28">
        <f t="shared" si="1"/>
        <v>223.4757542214804</v>
      </c>
      <c r="O42" s="23">
        <f t="shared" si="3"/>
        <v>638.50745221100317</v>
      </c>
    </row>
    <row r="43" spans="2:15" x14ac:dyDescent="0.3">
      <c r="B43" s="10">
        <v>5</v>
      </c>
      <c r="C43" s="10">
        <v>29</v>
      </c>
      <c r="D43" s="35" t="s">
        <v>58</v>
      </c>
      <c r="E43" s="10">
        <v>2530</v>
      </c>
      <c r="F43" s="28">
        <f t="shared" si="0"/>
        <v>1348.8824513698632</v>
      </c>
      <c r="G43" s="28">
        <f>G39</f>
        <v>678.38245136986302</v>
      </c>
      <c r="H43" s="28">
        <f>'Kalk kost 2010 sjø'!P68*$F$2</f>
        <v>348.65999999999997</v>
      </c>
      <c r="I43" s="28">
        <f>'Kalk kost 2010 sjø'!Q68*$F$2</f>
        <v>53.639999999999993</v>
      </c>
      <c r="J43" s="28">
        <f>'Kalk kost 2010 sjø'!R68*$F$2</f>
        <v>93.87</v>
      </c>
      <c r="K43" s="28">
        <f>'Kalk kost 2010 sjø'!S68*$F$2</f>
        <v>67.05</v>
      </c>
      <c r="L43" s="28">
        <f>'Kalk kost 2010 sjø'!T68*$F$2</f>
        <v>107.27999999999999</v>
      </c>
      <c r="M43" s="28">
        <f>'Kalk kost 2010 sjø'!L162</f>
        <v>61.721563084192184</v>
      </c>
      <c r="N43" s="28">
        <f t="shared" si="1"/>
        <v>79.149871217719323</v>
      </c>
      <c r="O43" s="23">
        <f t="shared" si="3"/>
        <v>627.17582077416773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15" ma:contentTypeDescription="Opprett et nytt dokument." ma:contentTypeScope="" ma:versionID="90ac4fdaface372c7aa7baf32cd7f806">
  <xsd:schema xmlns:xsd="http://www.w3.org/2001/XMLSchema" xmlns:xs="http://www.w3.org/2001/XMLSchema" xmlns:p="http://schemas.microsoft.com/office/2006/metadata/properties" xmlns:ns2="ff1f3d7f-ad7e-45b8-971d-75ad7dc29a30" xmlns:ns3="b6beb9b9-996c-4824-ad79-465daf5d5f6a" targetNamespace="http://schemas.microsoft.com/office/2006/metadata/properties" ma:root="true" ma:fieldsID="eb5adbdc54434becfca06a3d1a661fc4" ns2:_="" ns3:_="">
    <xsd:import namespace="ff1f3d7f-ad7e-45b8-971d-75ad7dc29a30"/>
    <xsd:import namespace="b6beb9b9-996c-4824-ad79-465daf5d5f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emerkelapper" ma:readOnly="false" ma:fieldId="{5cf76f15-5ced-4ddc-b409-7134ff3c332f}" ma:taxonomyMulti="true" ma:sspId="6a84d047-444a-45f7-9d20-a315b2d357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eb9b9-996c-4824-ad79-465daf5d5f6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fa37009-8940-4d05-82dc-91a402b26b4e}" ma:internalName="TaxCatchAll" ma:showField="CatchAllData" ma:web="b6beb9b9-996c-4824-ad79-465daf5d5f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beb9b9-996c-4824-ad79-465daf5d5f6a" xsi:nil="true"/>
    <lcf76f155ced4ddcb4097134ff3c332f xmlns="ff1f3d7f-ad7e-45b8-971d-75ad7dc29a3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7EABA1-852A-4AAE-B10A-176B9C3538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5EC59E-08D7-4087-92F2-7463B17CA312}"/>
</file>

<file path=customXml/itemProps3.xml><?xml version="1.0" encoding="utf-8"?>
<ds:datastoreItem xmlns:ds="http://schemas.openxmlformats.org/officeDocument/2006/customXml" ds:itemID="{6EEA9CF2-0ECD-4EE9-913B-5330387A3680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51ec2b8-cb80-4a7d-a2e4-a08f2f93276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Menon estimering</vt:lpstr>
      <vt:lpstr>Oppsummering - kostnader 2012</vt:lpstr>
      <vt:lpstr>Kostnader 2012</vt:lpstr>
      <vt:lpstr>Inputdata</vt:lpstr>
      <vt:lpstr>Korreksjonsfaktorer - MS</vt:lpstr>
      <vt:lpstr>Nye båter delleveranse 2</vt:lpstr>
      <vt:lpstr>Nye gasstankere</vt:lpstr>
      <vt:lpstr>Nye - cruise og ferge</vt:lpstr>
      <vt:lpstr>Korrigerte kost 2010 til 2012</vt:lpstr>
      <vt:lpstr>Kalk kost 2010 sjø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</dc:creator>
  <cp:lastModifiedBy>Aase</cp:lastModifiedBy>
  <cp:lastPrinted>2013-01-03T10:08:44Z</cp:lastPrinted>
  <dcterms:created xsi:type="dcterms:W3CDTF">2010-11-04T07:38:26Z</dcterms:created>
  <dcterms:modified xsi:type="dcterms:W3CDTF">2018-12-20T15:25:37Z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