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a\Desktop\2ºSemestre\MEIO\TP1\TP_Grupo_45\"/>
    </mc:Choice>
  </mc:AlternateContent>
  <xr:revisionPtr revIDLastSave="0" documentId="13_ncr:1_{FEC7A4DB-5E09-4D42-964E-35BECF9FBFF4}" xr6:coauthVersionLast="46" xr6:coauthVersionMax="46" xr10:uidLastSave="{00000000-0000-0000-0000-000000000000}"/>
  <bookViews>
    <workbookView xWindow="28680" yWindow="-120" windowWidth="29040" windowHeight="15840" activeTab="1" xr2:uid="{6260CEBC-DFA8-4D9C-88CF-9F1656EA5F4E}"/>
  </bookViews>
  <sheets>
    <sheet name="Valores" sheetId="1" r:id="rId1"/>
    <sheet name="Simulação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3" i="2" l="1"/>
  <c r="Y8" i="2"/>
  <c r="W8" i="2"/>
  <c r="X8" i="2"/>
  <c r="V8" i="2"/>
  <c r="K22" i="2" l="1"/>
  <c r="Y14" i="2"/>
  <c r="C2" i="2" l="1"/>
  <c r="K24" i="2"/>
  <c r="K26" i="2"/>
  <c r="K27" i="2"/>
  <c r="K28" i="2"/>
  <c r="K30" i="2"/>
  <c r="K31" i="2"/>
  <c r="K32" i="2"/>
  <c r="K34" i="2"/>
  <c r="K35" i="2"/>
  <c r="K36" i="2"/>
  <c r="K38" i="2"/>
  <c r="K39" i="2"/>
  <c r="K40" i="2"/>
  <c r="K42" i="2"/>
  <c r="K43" i="2"/>
  <c r="K44" i="2"/>
  <c r="K46" i="2"/>
  <c r="K47" i="2"/>
  <c r="K23" i="2"/>
  <c r="V14" i="2" l="1"/>
  <c r="V13" i="2"/>
  <c r="Y13" i="2"/>
  <c r="H47" i="2" s="1"/>
  <c r="I2" i="2"/>
  <c r="K3" i="2"/>
  <c r="P3" i="2" s="1"/>
  <c r="K4" i="2"/>
  <c r="P4" i="2" s="1"/>
  <c r="K6" i="2"/>
  <c r="P6" i="2" s="1"/>
  <c r="K7" i="2"/>
  <c r="P7" i="2" s="1"/>
  <c r="K8" i="2"/>
  <c r="P8" i="2" s="1"/>
  <c r="K10" i="2"/>
  <c r="P10" i="2" s="1"/>
  <c r="K11" i="2"/>
  <c r="P11" i="2" s="1"/>
  <c r="K12" i="2"/>
  <c r="P12" i="2" s="1"/>
  <c r="K14" i="2"/>
  <c r="P14" i="2" s="1"/>
  <c r="K15" i="2"/>
  <c r="P15" i="2" s="1"/>
  <c r="K16" i="2"/>
  <c r="P16" i="2" s="1"/>
  <c r="K18" i="2"/>
  <c r="P18" i="2" s="1"/>
  <c r="K19" i="2"/>
  <c r="P19" i="2" s="1"/>
  <c r="K20" i="2"/>
  <c r="P20" i="2" s="1"/>
  <c r="P22" i="2"/>
  <c r="P23" i="2"/>
  <c r="P24" i="2"/>
  <c r="P26" i="2"/>
  <c r="P27" i="2"/>
  <c r="P28" i="2"/>
  <c r="P30" i="2"/>
  <c r="P31" i="2"/>
  <c r="P32" i="2"/>
  <c r="P34" i="2"/>
  <c r="P35" i="2"/>
  <c r="P36" i="2"/>
  <c r="P38" i="2"/>
  <c r="P39" i="2"/>
  <c r="P40" i="2"/>
  <c r="P42" i="2"/>
  <c r="P43" i="2"/>
  <c r="P44" i="2"/>
  <c r="P46" i="2"/>
  <c r="P47" i="2"/>
  <c r="K48" i="2"/>
  <c r="P48" i="2" s="1"/>
  <c r="K50" i="2"/>
  <c r="P50" i="2" s="1"/>
  <c r="K51" i="2"/>
  <c r="P51" i="2" s="1"/>
  <c r="K2" i="2"/>
  <c r="P2" i="2" s="1"/>
  <c r="J3" i="2" l="1"/>
  <c r="J4" i="2" s="1"/>
  <c r="J5" i="2" s="1"/>
  <c r="H45" i="2"/>
  <c r="H37" i="2"/>
  <c r="H20" i="2"/>
  <c r="H29" i="2"/>
  <c r="H22" i="2"/>
  <c r="H19" i="2"/>
  <c r="H14" i="2"/>
  <c r="H13" i="2"/>
  <c r="H11" i="2"/>
  <c r="H6" i="2"/>
  <c r="H5" i="2"/>
  <c r="H31" i="2"/>
  <c r="H21" i="2"/>
  <c r="H3" i="2"/>
  <c r="H46" i="2"/>
  <c r="H38" i="2"/>
  <c r="H30" i="2"/>
  <c r="H44" i="2"/>
  <c r="H36" i="2"/>
  <c r="H28" i="2"/>
  <c r="H12" i="2"/>
  <c r="H4" i="2"/>
  <c r="H43" i="2"/>
  <c r="H35" i="2"/>
  <c r="H27" i="2"/>
  <c r="H42" i="2"/>
  <c r="H34" i="2"/>
  <c r="H26" i="2"/>
  <c r="H18" i="2"/>
  <c r="H10" i="2"/>
  <c r="H50" i="2"/>
  <c r="H41" i="2"/>
  <c r="H33" i="2"/>
  <c r="H25" i="2"/>
  <c r="H17" i="2"/>
  <c r="H9" i="2"/>
  <c r="H49" i="2"/>
  <c r="H40" i="2"/>
  <c r="H32" i="2"/>
  <c r="H24" i="2"/>
  <c r="H16" i="2"/>
  <c r="H8" i="2"/>
  <c r="H48" i="2"/>
  <c r="H39" i="2"/>
  <c r="H2" i="2"/>
  <c r="N2" i="2" s="1"/>
  <c r="F2" i="2" s="1"/>
  <c r="H15" i="2"/>
  <c r="H7" i="2"/>
  <c r="H51" i="2"/>
  <c r="E2" i="2" l="1"/>
  <c r="M2" i="2"/>
  <c r="D2" i="2" s="1"/>
  <c r="V30" i="2"/>
  <c r="I3" i="2" a="1"/>
  <c r="I3" i="2" s="1"/>
  <c r="I4" i="2" a="1"/>
  <c r="I4" i="2" s="1"/>
  <c r="C3" i="2" l="1"/>
  <c r="AH41" i="1"/>
  <c r="AH40" i="1"/>
  <c r="AH23" i="1"/>
  <c r="AH22" i="1"/>
  <c r="O11" i="1"/>
  <c r="O10" i="1"/>
  <c r="O7" i="1"/>
  <c r="O6" i="1"/>
  <c r="J11" i="1"/>
  <c r="J10" i="1"/>
  <c r="J7" i="1"/>
  <c r="J6" i="1"/>
  <c r="E11" i="1"/>
  <c r="E10" i="1"/>
  <c r="E7" i="1"/>
  <c r="E6" i="1"/>
  <c r="AH6" i="1"/>
  <c r="AH5" i="1"/>
  <c r="E2" i="1"/>
  <c r="O3" i="1"/>
  <c r="O2" i="1"/>
  <c r="J3" i="1"/>
  <c r="J2" i="1"/>
  <c r="E3" i="1"/>
  <c r="I5" i="2" a="1"/>
  <c r="I5" i="2" s="1"/>
  <c r="Q2" i="2"/>
  <c r="G2" i="2"/>
  <c r="R2" i="2" s="1"/>
  <c r="O2" i="2"/>
  <c r="S2" i="2" l="1"/>
  <c r="L2" i="2"/>
  <c r="N3" i="2" l="1"/>
  <c r="F3" i="2" s="1"/>
  <c r="M3" i="2"/>
  <c r="D3" i="2" s="1"/>
  <c r="E3" i="2" l="1"/>
  <c r="C4" i="2" s="1"/>
  <c r="O3" i="2"/>
  <c r="Q3" i="2"/>
  <c r="G3" i="2" l="1"/>
  <c r="R3" i="2" s="1"/>
  <c r="L3" i="2"/>
  <c r="M4" i="2"/>
  <c r="D4" i="2" s="1"/>
  <c r="N4" i="2"/>
  <c r="F4" i="2" s="1"/>
  <c r="E4" i="2" l="1"/>
  <c r="C5" i="2" s="1"/>
  <c r="S3" i="2"/>
  <c r="Q4" i="2"/>
  <c r="O4" i="2"/>
  <c r="G4" i="2" l="1"/>
  <c r="R4" i="2" s="1"/>
  <c r="L4" i="2"/>
  <c r="M5" i="2"/>
  <c r="D5" i="2" s="1"/>
  <c r="N5" i="2"/>
  <c r="F5" i="2" s="1"/>
  <c r="E5" i="2" l="1"/>
  <c r="S4" i="2"/>
  <c r="Q5" i="2"/>
  <c r="O5" i="2"/>
  <c r="K5" i="2" l="1"/>
  <c r="G5" i="2"/>
  <c r="R5" i="2" s="1"/>
  <c r="L5" i="2" l="1"/>
  <c r="J6" i="2"/>
  <c r="P5" i="2"/>
  <c r="S5" i="2" l="1"/>
  <c r="J7" i="2"/>
  <c r="I6" i="2" a="1"/>
  <c r="I6" i="2" s="1"/>
  <c r="C6" i="2" s="1"/>
  <c r="I7" i="2" l="1" a="1"/>
  <c r="I7" i="2" s="1"/>
  <c r="J8" i="2"/>
  <c r="N6" i="2"/>
  <c r="F6" i="2" s="1"/>
  <c r="M6" i="2"/>
  <c r="D6" i="2" s="1"/>
  <c r="E6" i="2" l="1"/>
  <c r="C7" i="2" s="1"/>
  <c r="O6" i="2"/>
  <c r="Q6" i="2"/>
  <c r="J9" i="2"/>
  <c r="I8" i="2" a="1"/>
  <c r="I8" i="2" s="1"/>
  <c r="G6" i="2" l="1"/>
  <c r="R6" i="2" s="1"/>
  <c r="L6" i="2"/>
  <c r="I9" i="2" a="1"/>
  <c r="I9" i="2" s="1"/>
  <c r="M7" i="2"/>
  <c r="D7" i="2" s="1"/>
  <c r="N7" i="2"/>
  <c r="F7" i="2" s="1"/>
  <c r="E7" i="2" l="1"/>
  <c r="C8" i="2" s="1"/>
  <c r="S6" i="2"/>
  <c r="L7" i="2"/>
  <c r="O7" i="2"/>
  <c r="Q7" i="2"/>
  <c r="G7" i="2" l="1"/>
  <c r="R7" i="2" s="1"/>
  <c r="N8" i="2" l="1"/>
  <c r="F8" i="2" s="1"/>
  <c r="S7" i="2"/>
  <c r="M8" i="2"/>
  <c r="D8" i="2" s="1"/>
  <c r="E8" i="2" l="1"/>
  <c r="C9" i="2" s="1"/>
  <c r="O8" i="2"/>
  <c r="Q8" i="2"/>
  <c r="G8" i="2"/>
  <c r="R8" i="2" s="1"/>
  <c r="L8" i="2"/>
  <c r="M9" i="2" l="1"/>
  <c r="D9" i="2" s="1"/>
  <c r="N9" i="2"/>
  <c r="F9" i="2" s="1"/>
  <c r="S8" i="2"/>
  <c r="E9" i="2" l="1"/>
  <c r="G9" i="2"/>
  <c r="R9" i="2" s="1"/>
  <c r="O9" i="2"/>
  <c r="Q9" i="2"/>
  <c r="K9" i="2"/>
  <c r="L9" i="2" l="1"/>
  <c r="J10" i="2"/>
  <c r="I10" i="2" s="1" a="1"/>
  <c r="I10" i="2" s="1"/>
  <c r="C10" i="2" s="1"/>
  <c r="P9" i="2"/>
  <c r="S9" i="2" s="1"/>
  <c r="J11" i="2" l="1"/>
  <c r="J12" i="2" s="1"/>
  <c r="M10" i="2"/>
  <c r="D10" i="2" s="1"/>
  <c r="N10" i="2"/>
  <c r="F10" i="2" s="1"/>
  <c r="E10" i="2" l="1"/>
  <c r="L10" i="2"/>
  <c r="I11" i="2" a="1"/>
  <c r="I11" i="2" s="1"/>
  <c r="Q10" i="2"/>
  <c r="O10" i="2"/>
  <c r="J13" i="2"/>
  <c r="I12" i="2" a="1"/>
  <c r="I12" i="2" s="1"/>
  <c r="C11" i="2" l="1"/>
  <c r="G10" i="2"/>
  <c r="R10" i="2" s="1"/>
  <c r="I13" i="2" a="1"/>
  <c r="I13" i="2" s="1"/>
  <c r="M11" i="2" l="1"/>
  <c r="D11" i="2" s="1"/>
  <c r="S10" i="2"/>
  <c r="N11" i="2"/>
  <c r="F11" i="2" s="1"/>
  <c r="E11" i="2" l="1"/>
  <c r="C12" i="2" s="1"/>
  <c r="L11" i="2"/>
  <c r="O11" i="2"/>
  <c r="Q11" i="2"/>
  <c r="G11" i="2"/>
  <c r="R11" i="2" s="1"/>
  <c r="M12" i="2" l="1"/>
  <c r="D12" i="2" s="1"/>
  <c r="S11" i="2"/>
  <c r="N12" i="2"/>
  <c r="F12" i="2" s="1"/>
  <c r="E12" i="2" l="1"/>
  <c r="C13" i="2" s="1"/>
  <c r="L12" i="2"/>
  <c r="Q12" i="2"/>
  <c r="O12" i="2"/>
  <c r="G12" i="2" l="1"/>
  <c r="N13" i="2"/>
  <c r="F13" i="2" s="1"/>
  <c r="R12" i="2" l="1"/>
  <c r="S12" i="2" s="1"/>
  <c r="M13" i="2"/>
  <c r="D13" i="2" s="1"/>
  <c r="O13" i="2"/>
  <c r="Q13" i="2"/>
  <c r="E13" i="2" l="1"/>
  <c r="K13" i="2"/>
  <c r="G13" i="2"/>
  <c r="R13" i="2" s="1"/>
  <c r="J14" i="2" l="1"/>
  <c r="J15" i="2" s="1"/>
  <c r="J16" i="2" s="1"/>
  <c r="L13" i="2"/>
  <c r="P13" i="2"/>
  <c r="S13" i="2" s="1"/>
  <c r="I15" i="2" l="1" a="1"/>
  <c r="I15" i="2" s="1"/>
  <c r="I14" i="2" a="1"/>
  <c r="I14" i="2" s="1"/>
  <c r="J17" i="2"/>
  <c r="I16" i="2" a="1"/>
  <c r="I16" i="2" s="1"/>
  <c r="C14" i="2" l="1"/>
  <c r="N14" i="2" s="1"/>
  <c r="I17" i="2" a="1"/>
  <c r="I17" i="2" s="1"/>
  <c r="F14" i="2" l="1"/>
  <c r="O14" i="2"/>
  <c r="Q14" i="2"/>
  <c r="M14" i="2"/>
  <c r="D14" i="2" s="1"/>
  <c r="E14" i="2"/>
  <c r="C15" i="2" l="1"/>
  <c r="M15" i="2" s="1"/>
  <c r="D15" i="2" s="1"/>
  <c r="G14" i="2"/>
  <c r="R14" i="2" s="1"/>
  <c r="S14" i="2" s="1"/>
  <c r="L14" i="2"/>
  <c r="N15" i="2" l="1"/>
  <c r="F15" i="2" s="1"/>
  <c r="L15" i="2"/>
  <c r="G15" i="2"/>
  <c r="E15" i="2" l="1"/>
  <c r="C16" i="2" s="1"/>
  <c r="N16" i="2" s="1"/>
  <c r="O15" i="2"/>
  <c r="Q15" i="2"/>
  <c r="R15" i="2"/>
  <c r="S15" i="2" l="1"/>
  <c r="F16" i="2"/>
  <c r="Q16" i="2"/>
  <c r="O16" i="2"/>
  <c r="M16" i="2"/>
  <c r="D16" i="2" s="1"/>
  <c r="E16" i="2" l="1"/>
  <c r="C17" i="2" s="1"/>
  <c r="M17" i="2" s="1"/>
  <c r="D17" i="2" s="1"/>
  <c r="G16" i="2"/>
  <c r="R16" i="2" s="1"/>
  <c r="S16" i="2" s="1"/>
  <c r="L16" i="2"/>
  <c r="N17" i="2" l="1"/>
  <c r="F17" i="2" s="1"/>
  <c r="K17" i="2"/>
  <c r="G17" i="2"/>
  <c r="R17" i="2" s="1"/>
  <c r="Q17" i="2" l="1"/>
  <c r="O17" i="2"/>
  <c r="E17" i="2"/>
  <c r="P17" i="2"/>
  <c r="J18" i="2"/>
  <c r="I18" i="2" s="1" a="1"/>
  <c r="I18" i="2" s="1"/>
  <c r="C18" i="2" s="1"/>
  <c r="L17" i="2"/>
  <c r="S17" i="2" l="1"/>
  <c r="J19" i="2"/>
  <c r="I19" i="2" s="1" a="1"/>
  <c r="I19" i="2" s="1"/>
  <c r="N18" i="2"/>
  <c r="F18" i="2" s="1"/>
  <c r="M18" i="2"/>
  <c r="D18" i="2" s="1"/>
  <c r="E18" i="2" l="1"/>
  <c r="C19" i="2" s="1"/>
  <c r="J20" i="2"/>
  <c r="I20" i="2" s="1" a="1"/>
  <c r="I20" i="2" s="1"/>
  <c r="L18" i="2"/>
  <c r="Q18" i="2"/>
  <c r="O18" i="2"/>
  <c r="J21" i="2" l="1"/>
  <c r="I21" i="2" s="1" a="1"/>
  <c r="I21" i="2" s="1"/>
  <c r="G18" i="2"/>
  <c r="R18" i="2" s="1"/>
  <c r="M19" i="2" l="1"/>
  <c r="D19" i="2" s="1"/>
  <c r="S18" i="2"/>
  <c r="N19" i="2"/>
  <c r="F19" i="2" s="1"/>
  <c r="E19" i="2" l="1"/>
  <c r="C20" i="2" s="1"/>
  <c r="L19" i="2"/>
  <c r="O19" i="2"/>
  <c r="Q19" i="2"/>
  <c r="G19" i="2"/>
  <c r="R19" i="2" s="1"/>
  <c r="M20" i="2" l="1"/>
  <c r="D20" i="2" s="1"/>
  <c r="S19" i="2"/>
  <c r="N20" i="2"/>
  <c r="F20" i="2" s="1"/>
  <c r="E20" i="2" l="1"/>
  <c r="C21" i="2" s="1"/>
  <c r="L20" i="2"/>
  <c r="O20" i="2"/>
  <c r="Q20" i="2"/>
  <c r="G20" i="2"/>
  <c r="R20" i="2" s="1"/>
  <c r="M21" i="2" l="1"/>
  <c r="D21" i="2" s="1"/>
  <c r="S20" i="2"/>
  <c r="N21" i="2"/>
  <c r="F21" i="2" s="1"/>
  <c r="E21" i="2" l="1"/>
  <c r="Q21" i="2"/>
  <c r="G21" i="2"/>
  <c r="R21" i="2" s="1"/>
  <c r="O21" i="2"/>
  <c r="K21" i="2" l="1"/>
  <c r="P21" i="2" l="1"/>
  <c r="S21" i="2" s="1"/>
  <c r="J22" i="2"/>
  <c r="J23" i="2" s="1"/>
  <c r="L21" i="2"/>
  <c r="I22" i="2" l="1" a="1"/>
  <c r="I22" i="2" s="1"/>
  <c r="C22" i="2" s="1"/>
  <c r="I23" i="2" a="1"/>
  <c r="I23" i="2" s="1"/>
  <c r="J24" i="2"/>
  <c r="M22" i="2" l="1"/>
  <c r="D22" i="2" s="1"/>
  <c r="N22" i="2"/>
  <c r="F22" i="2" s="1"/>
  <c r="J25" i="2"/>
  <c r="I24" i="2" a="1"/>
  <c r="I24" i="2" s="1"/>
  <c r="E22" i="2" l="1"/>
  <c r="C23" i="2" s="1"/>
  <c r="L22" i="2"/>
  <c r="O22" i="2"/>
  <c r="Q22" i="2"/>
  <c r="G22" i="2"/>
  <c r="R22" i="2" s="1"/>
  <c r="I25" i="2" a="1"/>
  <c r="I25" i="2" s="1"/>
  <c r="M23" i="2" l="1"/>
  <c r="D23" i="2" s="1"/>
  <c r="S22" i="2"/>
  <c r="N23" i="2"/>
  <c r="F23" i="2" s="1"/>
  <c r="E23" i="2" l="1"/>
  <c r="C24" i="2" s="1"/>
  <c r="O23" i="2"/>
  <c r="L23" i="2"/>
  <c r="Q23" i="2"/>
  <c r="G23" i="2" l="1"/>
  <c r="R23" i="2" s="1"/>
  <c r="M24" i="2" l="1"/>
  <c r="D24" i="2" s="1"/>
  <c r="S23" i="2"/>
  <c r="N24" i="2"/>
  <c r="F24" i="2" s="1"/>
  <c r="E24" i="2" l="1"/>
  <c r="G24" i="2"/>
  <c r="R24" i="2" s="1"/>
  <c r="O24" i="2"/>
  <c r="Q24" i="2"/>
  <c r="L24" i="2"/>
  <c r="C25" i="2" l="1"/>
  <c r="N25" i="2" s="1"/>
  <c r="S24" i="2"/>
  <c r="F25" i="2" l="1"/>
  <c r="Q25" i="2"/>
  <c r="O25" i="2"/>
  <c r="M25" i="2"/>
  <c r="D25" i="2" s="1"/>
  <c r="G25" i="2" s="1"/>
  <c r="R25" i="2" s="1"/>
  <c r="E25" i="2"/>
  <c r="K25" i="2" l="1"/>
  <c r="P25" i="2" s="1"/>
  <c r="S25" i="2" s="1"/>
  <c r="J26" i="2" l="1"/>
  <c r="J27" i="2" s="1"/>
  <c r="I27" i="2" s="1" a="1"/>
  <c r="I27" i="2" s="1"/>
  <c r="L25" i="2"/>
  <c r="I26" i="2" l="1" a="1"/>
  <c r="I26" i="2" s="1"/>
  <c r="C26" i="2" s="1"/>
  <c r="N26" i="2" s="1"/>
  <c r="F26" i="2" s="1"/>
  <c r="J28" i="2"/>
  <c r="I28" i="2" s="1" a="1"/>
  <c r="I28" i="2" s="1"/>
  <c r="M26" i="2" l="1"/>
  <c r="D26" i="2" s="1"/>
  <c r="L26" i="2" s="1"/>
  <c r="J29" i="2"/>
  <c r="I29" i="2" s="1" a="1"/>
  <c r="I29" i="2" s="1"/>
  <c r="E26" i="2"/>
  <c r="O26" i="2"/>
  <c r="Q26" i="2"/>
  <c r="G26" i="2" l="1"/>
  <c r="R26" i="2" s="1"/>
  <c r="S26" i="2" s="1"/>
  <c r="C27" i="2"/>
  <c r="M27" i="2" s="1"/>
  <c r="D27" i="2" s="1"/>
  <c r="L27" i="2" l="1"/>
  <c r="G27" i="2"/>
  <c r="R27" i="2" s="1"/>
  <c r="N27" i="2"/>
  <c r="F27" i="2" l="1"/>
  <c r="E27" i="2"/>
  <c r="C28" i="2" s="1"/>
  <c r="M28" i="2" s="1"/>
  <c r="Q27" i="2"/>
  <c r="S27" i="2" s="1"/>
  <c r="O27" i="2"/>
  <c r="D28" i="2" l="1"/>
  <c r="G28" i="2" s="1"/>
  <c r="R28" i="2" s="1"/>
  <c r="N28" i="2"/>
  <c r="F28" i="2" s="1"/>
  <c r="L28" i="2" l="1"/>
  <c r="E28" i="2"/>
  <c r="C29" i="2" s="1"/>
  <c r="M29" i="2" s="1"/>
  <c r="D29" i="2" s="1"/>
  <c r="Q28" i="2"/>
  <c r="S28" i="2" s="1"/>
  <c r="O28" i="2"/>
  <c r="N29" i="2" l="1"/>
  <c r="F29" i="2" s="1"/>
  <c r="K29" i="2"/>
  <c r="P29" i="2" s="1"/>
  <c r="G29" i="2"/>
  <c r="R29" i="2" s="1"/>
  <c r="O29" i="2" l="1"/>
  <c r="Q29" i="2"/>
  <c r="S29" i="2" s="1"/>
  <c r="E29" i="2"/>
  <c r="J30" i="2"/>
  <c r="I30" i="2" s="1" a="1"/>
  <c r="I30" i="2" s="1"/>
  <c r="L29" i="2"/>
  <c r="C30" i="2" l="1"/>
  <c r="N30" i="2" s="1"/>
  <c r="J31" i="2"/>
  <c r="J32" i="2" s="1"/>
  <c r="I32" i="2" s="1" a="1"/>
  <c r="I32" i="2" s="1"/>
  <c r="F30" i="2" l="1"/>
  <c r="O30" i="2"/>
  <c r="E30" i="2"/>
  <c r="Q30" i="2"/>
  <c r="M30" i="2"/>
  <c r="D30" i="2" s="1"/>
  <c r="G30" i="2" s="1"/>
  <c r="R30" i="2" s="1"/>
  <c r="I31" i="2" a="1"/>
  <c r="I31" i="2" s="1"/>
  <c r="J33" i="2"/>
  <c r="I33" i="2" s="1" a="1"/>
  <c r="I33" i="2" s="1"/>
  <c r="C31" i="2" l="1"/>
  <c r="M31" i="2" s="1"/>
  <c r="D31" i="2" s="1"/>
  <c r="L30" i="2"/>
  <c r="S30" i="2"/>
  <c r="N31" i="2" l="1"/>
  <c r="F31" i="2" s="1"/>
  <c r="L31" i="2"/>
  <c r="G31" i="2"/>
  <c r="R31" i="2" s="1"/>
  <c r="O31" i="2" l="1"/>
  <c r="E31" i="2"/>
  <c r="C32" i="2" s="1"/>
  <c r="M32" i="2" s="1"/>
  <c r="D32" i="2" s="1"/>
  <c r="Q31" i="2"/>
  <c r="S31" i="2" s="1"/>
  <c r="N32" i="2" l="1"/>
  <c r="F32" i="2" s="1"/>
  <c r="L32" i="2"/>
  <c r="G32" i="2"/>
  <c r="R32" i="2" s="1"/>
  <c r="E32" i="2" l="1"/>
  <c r="C33" i="2" s="1"/>
  <c r="N33" i="2" s="1"/>
  <c r="F33" i="2" s="1"/>
  <c r="Q32" i="2"/>
  <c r="S32" i="2" s="1"/>
  <c r="O32" i="2"/>
  <c r="M33" i="2" l="1"/>
  <c r="D33" i="2" s="1"/>
  <c r="K33" i="2" s="1"/>
  <c r="E33" i="2"/>
  <c r="Q33" i="2"/>
  <c r="O33" i="2"/>
  <c r="G33" i="2" l="1"/>
  <c r="R33" i="2" s="1"/>
  <c r="L33" i="2"/>
  <c r="P33" i="2"/>
  <c r="J34" i="2"/>
  <c r="S33" i="2" l="1"/>
  <c r="I34" i="2" a="1"/>
  <c r="I34" i="2" s="1"/>
  <c r="C34" i="2" s="1"/>
  <c r="J35" i="2"/>
  <c r="J36" i="2" l="1"/>
  <c r="I35" i="2" a="1"/>
  <c r="I35" i="2" s="1"/>
  <c r="M34" i="2"/>
  <c r="D34" i="2" s="1"/>
  <c r="N34" i="2"/>
  <c r="F34" i="2" s="1"/>
  <c r="E34" i="2" l="1"/>
  <c r="C35" i="2" s="1"/>
  <c r="L34" i="2"/>
  <c r="Q34" i="2"/>
  <c r="O34" i="2"/>
  <c r="I36" i="2" a="1"/>
  <c r="I36" i="2" s="1"/>
  <c r="J37" i="2"/>
  <c r="G34" i="2" l="1"/>
  <c r="R34" i="2" s="1"/>
  <c r="I37" i="2" a="1"/>
  <c r="I37" i="2" s="1"/>
  <c r="M35" i="2" l="1"/>
  <c r="D35" i="2" s="1"/>
  <c r="S34" i="2"/>
  <c r="N35" i="2"/>
  <c r="F35" i="2" s="1"/>
  <c r="E35" i="2" l="1"/>
  <c r="C36" i="2" s="1"/>
  <c r="L35" i="2"/>
  <c r="Q35" i="2"/>
  <c r="O35" i="2"/>
  <c r="G35" i="2"/>
  <c r="R35" i="2" s="1"/>
  <c r="N36" i="2" l="1"/>
  <c r="F36" i="2" s="1"/>
  <c r="S35" i="2"/>
  <c r="M36" i="2"/>
  <c r="D36" i="2" s="1"/>
  <c r="E36" i="2" l="1"/>
  <c r="C37" i="2" s="1"/>
  <c r="O36" i="2"/>
  <c r="Q36" i="2"/>
  <c r="L36" i="2"/>
  <c r="G36" i="2"/>
  <c r="R36" i="2" s="1"/>
  <c r="M37" i="2" l="1"/>
  <c r="D37" i="2" s="1"/>
  <c r="S36" i="2"/>
  <c r="N37" i="2"/>
  <c r="F37" i="2" s="1"/>
  <c r="E37" i="2" l="1"/>
  <c r="G37" i="2"/>
  <c r="R37" i="2" s="1"/>
  <c r="O37" i="2"/>
  <c r="Q37" i="2"/>
  <c r="K37" i="2"/>
  <c r="L37" i="2" l="1"/>
  <c r="J38" i="2"/>
  <c r="J39" i="2" s="1"/>
  <c r="P37" i="2"/>
  <c r="S37" i="2" s="1"/>
  <c r="I38" i="2" l="1" a="1"/>
  <c r="I38" i="2" s="1"/>
  <c r="C38" i="2" s="1"/>
  <c r="I39" i="2" a="1"/>
  <c r="I39" i="2" s="1"/>
  <c r="J40" i="2"/>
  <c r="N38" i="2" l="1"/>
  <c r="F38" i="2" s="1"/>
  <c r="M38" i="2"/>
  <c r="I40" i="2" a="1"/>
  <c r="I40" i="2" s="1"/>
  <c r="J41" i="2"/>
  <c r="E38" i="2" l="1"/>
  <c r="O38" i="2"/>
  <c r="Q38" i="2"/>
  <c r="D38" i="2"/>
  <c r="I41" i="2" a="1"/>
  <c r="I41" i="2" s="1"/>
  <c r="C39" i="2" l="1"/>
  <c r="N39" i="2" s="1"/>
  <c r="F39" i="2" s="1"/>
  <c r="L38" i="2"/>
  <c r="G38" i="2"/>
  <c r="M39" i="2" l="1"/>
  <c r="D39" i="2" s="1"/>
  <c r="E39" i="2"/>
  <c r="Q39" i="2"/>
  <c r="O39" i="2"/>
  <c r="R38" i="2"/>
  <c r="S38" i="2" s="1"/>
  <c r="C40" i="2" l="1"/>
  <c r="M40" i="2" s="1"/>
  <c r="D40" i="2" s="1"/>
  <c r="G39" i="2"/>
  <c r="R39" i="2" s="1"/>
  <c r="S39" i="2" s="1"/>
  <c r="L39" i="2"/>
  <c r="N40" i="2" l="1"/>
  <c r="F40" i="2" s="1"/>
  <c r="L40" i="2"/>
  <c r="E40" i="2" l="1"/>
  <c r="C41" i="2" s="1"/>
  <c r="O40" i="2"/>
  <c r="Q40" i="2"/>
  <c r="G40" i="2"/>
  <c r="R40" i="2" s="1"/>
  <c r="M41" i="2" l="1"/>
  <c r="D41" i="2" s="1"/>
  <c r="S40" i="2"/>
  <c r="N41" i="2"/>
  <c r="F41" i="2" s="1"/>
  <c r="E41" i="2" l="1"/>
  <c r="K41" i="2"/>
  <c r="Q41" i="2"/>
  <c r="O41" i="2"/>
  <c r="G41" i="2"/>
  <c r="R41" i="2" s="1"/>
  <c r="J42" i="2" l="1"/>
  <c r="J43" i="2" s="1"/>
  <c r="L41" i="2"/>
  <c r="P41" i="2"/>
  <c r="S41" i="2" s="1"/>
  <c r="I42" i="2" l="1" a="1"/>
  <c r="I42" i="2" s="1"/>
  <c r="I43" i="2" a="1"/>
  <c r="I43" i="2" s="1"/>
  <c r="J44" i="2"/>
  <c r="C42" i="2" l="1"/>
  <c r="M42" i="2" s="1"/>
  <c r="D42" i="2" s="1"/>
  <c r="J45" i="2"/>
  <c r="I44" i="2" a="1"/>
  <c r="I44" i="2" s="1"/>
  <c r="N42" i="2" l="1"/>
  <c r="F42" i="2" s="1"/>
  <c r="L42" i="2"/>
  <c r="G42" i="2"/>
  <c r="R42" i="2" s="1"/>
  <c r="I45" i="2" a="1"/>
  <c r="I45" i="2" s="1"/>
  <c r="Q42" i="2" l="1"/>
  <c r="S42" i="2" s="1"/>
  <c r="O42" i="2"/>
  <c r="E42" i="2"/>
  <c r="C43" i="2" s="1"/>
  <c r="M43" i="2" s="1"/>
  <c r="D43" i="2" s="1"/>
  <c r="N43" i="2" l="1"/>
  <c r="F43" i="2" s="1"/>
  <c r="O43" i="2" l="1"/>
  <c r="Q43" i="2"/>
  <c r="E43" i="2"/>
  <c r="C44" i="2" s="1"/>
  <c r="L43" i="2"/>
  <c r="G43" i="2"/>
  <c r="R43" i="2" s="1"/>
  <c r="S43" i="2" l="1"/>
  <c r="M44" i="2"/>
  <c r="D44" i="2" s="1"/>
  <c r="N44" i="2"/>
  <c r="F44" i="2" s="1"/>
  <c r="E44" i="2" l="1"/>
  <c r="C45" i="2" s="1"/>
  <c r="L44" i="2"/>
  <c r="O44" i="2"/>
  <c r="Q44" i="2"/>
  <c r="G44" i="2" l="1"/>
  <c r="R44" i="2" s="1"/>
  <c r="M45" i="2" l="1"/>
  <c r="D45" i="2" s="1"/>
  <c r="S44" i="2"/>
  <c r="N45" i="2"/>
  <c r="F45" i="2" s="1"/>
  <c r="E45" i="2" l="1"/>
  <c r="O45" i="2"/>
  <c r="K45" i="2"/>
  <c r="Q45" i="2"/>
  <c r="L45" i="2" l="1"/>
  <c r="J46" i="2"/>
  <c r="J47" i="2" s="1"/>
  <c r="P45" i="2"/>
  <c r="G45" i="2"/>
  <c r="R45" i="2" s="1"/>
  <c r="S45" i="2" l="1"/>
  <c r="I46" i="2" a="1"/>
  <c r="I46" i="2" s="1"/>
  <c r="C46" i="2" s="1"/>
  <c r="I47" i="2" a="1"/>
  <c r="I47" i="2" s="1"/>
  <c r="J48" i="2"/>
  <c r="M46" i="2" l="1"/>
  <c r="D46" i="2" s="1"/>
  <c r="N46" i="2"/>
  <c r="F46" i="2" s="1"/>
  <c r="J49" i="2"/>
  <c r="I48" i="2" a="1"/>
  <c r="I48" i="2" s="1"/>
  <c r="E46" i="2" l="1"/>
  <c r="C47" i="2" s="1"/>
  <c r="L46" i="2"/>
  <c r="Q46" i="2"/>
  <c r="O46" i="2"/>
  <c r="G46" i="2"/>
  <c r="R46" i="2" s="1"/>
  <c r="I49" i="2" a="1"/>
  <c r="I49" i="2" s="1"/>
  <c r="N47" i="2" l="1"/>
  <c r="F47" i="2" s="1"/>
  <c r="S46" i="2"/>
  <c r="M47" i="2"/>
  <c r="O47" i="2" l="1"/>
  <c r="Q47" i="2"/>
  <c r="E47" i="2"/>
  <c r="D47" i="2"/>
  <c r="C48" i="2" l="1"/>
  <c r="M48" i="2" s="1"/>
  <c r="D48" i="2" s="1"/>
  <c r="G47" i="2"/>
  <c r="R47" i="2" s="1"/>
  <c r="S47" i="2" s="1"/>
  <c r="L47" i="2"/>
  <c r="N48" i="2" l="1"/>
  <c r="F48" i="2" s="1"/>
  <c r="O48" i="2" l="1"/>
  <c r="E48" i="2"/>
  <c r="Q48" i="2"/>
  <c r="G48" i="2"/>
  <c r="R48" i="2" s="1"/>
  <c r="L48" i="2"/>
  <c r="C49" i="2" l="1"/>
  <c r="M49" i="2" s="1"/>
  <c r="D49" i="2" s="1"/>
  <c r="S48" i="2"/>
  <c r="K49" i="2" l="1"/>
  <c r="J50" i="2" s="1"/>
  <c r="I50" i="2" s="1" a="1"/>
  <c r="I50" i="2" s="1"/>
  <c r="G49" i="2"/>
  <c r="R49" i="2" s="1"/>
  <c r="N49" i="2"/>
  <c r="O49" i="2" s="1"/>
  <c r="P49" i="2" l="1"/>
  <c r="P52" i="2" s="1"/>
  <c r="L49" i="2"/>
  <c r="E49" i="2"/>
  <c r="C50" i="2" s="1"/>
  <c r="N50" i="2" s="1"/>
  <c r="F50" i="2" s="1"/>
  <c r="Q49" i="2"/>
  <c r="F49" i="2"/>
  <c r="J51" i="2"/>
  <c r="I51" i="2" s="1" a="1"/>
  <c r="I51" i="2" s="1"/>
  <c r="S49" i="2" l="1"/>
  <c r="M50" i="2"/>
  <c r="D50" i="2" s="1"/>
  <c r="E50" i="2"/>
  <c r="Q50" i="2"/>
  <c r="O50" i="2"/>
  <c r="L50" i="2" l="1"/>
  <c r="C51" i="2"/>
  <c r="G50" i="2"/>
  <c r="R50" i="2" s="1"/>
  <c r="N51" i="2" l="1"/>
  <c r="F51" i="2" s="1"/>
  <c r="F52" i="2" s="1"/>
  <c r="S50" i="2"/>
  <c r="M51" i="2"/>
  <c r="M52" i="2" s="1"/>
  <c r="V31" i="2" l="1"/>
  <c r="N52" i="2"/>
  <c r="E51" i="2"/>
  <c r="Q51" i="2"/>
  <c r="Q52" i="2" s="1"/>
  <c r="O51" i="2"/>
  <c r="O52" i="2" s="1"/>
  <c r="V28" i="2" s="1"/>
  <c r="V29" i="2" s="1"/>
  <c r="D51" i="2"/>
  <c r="L51" i="2" s="1"/>
  <c r="G51" i="2" l="1"/>
  <c r="R51" i="2" s="1"/>
  <c r="S51" i="2" l="1"/>
  <c r="R52" i="2" l="1"/>
  <c r="V27" i="2"/>
  <c r="S5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<sst xmlns="http://schemas.openxmlformats.org/spreadsheetml/2006/main" count="92" uniqueCount="69">
  <si>
    <t>dev</t>
  </si>
  <si>
    <t>media</t>
  </si>
  <si>
    <t>2020 -Procura</t>
  </si>
  <si>
    <t>2019 - Procura</t>
  </si>
  <si>
    <t>2018 - Procura</t>
  </si>
  <si>
    <t xml:space="preserve">dev </t>
  </si>
  <si>
    <t>desv</t>
  </si>
  <si>
    <t>2021 - Procura</t>
  </si>
  <si>
    <t>2020 - Epoca Alta</t>
  </si>
  <si>
    <t>2020 - Epoca Baixa</t>
  </si>
  <si>
    <t>2019 - Epoca Alta</t>
  </si>
  <si>
    <t>2019 - Epoca Baixa</t>
  </si>
  <si>
    <t>2018 - Epoca Alta</t>
  </si>
  <si>
    <t>2018 - Epoca Baixa</t>
  </si>
  <si>
    <t>Procura Semanal</t>
  </si>
  <si>
    <t>Procura Semanal Epoca Alta</t>
  </si>
  <si>
    <t>2021 - Procura Alta</t>
  </si>
  <si>
    <t>Procura Semanal Epoca Baixa</t>
  </si>
  <si>
    <t>2021 - Procura Baixa</t>
  </si>
  <si>
    <t>Semana</t>
  </si>
  <si>
    <t>0.27</t>
  </si>
  <si>
    <t>0.53</t>
  </si>
  <si>
    <t>0.20</t>
  </si>
  <si>
    <t>Stock Inicial</t>
  </si>
  <si>
    <t>Prazo de entrega</t>
  </si>
  <si>
    <t>Parametros</t>
  </si>
  <si>
    <t>Stock Final</t>
  </si>
  <si>
    <t>Procura</t>
  </si>
  <si>
    <t>Encomenda</t>
  </si>
  <si>
    <t>Quantidade encomendada</t>
  </si>
  <si>
    <t xml:space="preserve">Vendas </t>
  </si>
  <si>
    <t>Desvio Padrão Semanal</t>
  </si>
  <si>
    <t xml:space="preserve"> Media Semanal</t>
  </si>
  <si>
    <t>Custo de existencia (C1)</t>
  </si>
  <si>
    <t>Custo de encomenda(C3)</t>
  </si>
  <si>
    <t>Custo de quebra (C2)</t>
  </si>
  <si>
    <t>Custos</t>
  </si>
  <si>
    <t>Ciclo (t) - semanas</t>
  </si>
  <si>
    <t>Prazo</t>
  </si>
  <si>
    <t>Abastecimento</t>
  </si>
  <si>
    <t>Probabilidade Acumulada</t>
  </si>
  <si>
    <t>Probabilidade</t>
  </si>
  <si>
    <t>Epoca Baixa - Procura 2021</t>
  </si>
  <si>
    <t>Epoca Alta - Procura 2021</t>
  </si>
  <si>
    <t>Stock médio</t>
  </si>
  <si>
    <t>Encomendas em falta</t>
  </si>
  <si>
    <t>Vendas Canceladas</t>
  </si>
  <si>
    <t>Vendas em Espera</t>
  </si>
  <si>
    <t>Quebras de Stock</t>
  </si>
  <si>
    <t>Simulação</t>
  </si>
  <si>
    <t>SHIFT+F9</t>
  </si>
  <si>
    <t>VALORES SIMULAÇÃO</t>
  </si>
  <si>
    <t>Custo de Encomenda</t>
  </si>
  <si>
    <t>Custo de quebra</t>
  </si>
  <si>
    <t>Custo de Existência</t>
  </si>
  <si>
    <t>Custo Total</t>
  </si>
  <si>
    <t>Probabilidade Quebra</t>
  </si>
  <si>
    <t>Nº Quebras</t>
  </si>
  <si>
    <t>TOTAIS</t>
  </si>
  <si>
    <t>Nivel de Serviço</t>
  </si>
  <si>
    <t>Custo Total Médio</t>
  </si>
  <si>
    <t>Esperança de Quebra</t>
  </si>
  <si>
    <t>Procura Média /semana</t>
  </si>
  <si>
    <t>S - Época Alta</t>
  </si>
  <si>
    <t>s - Época Baixa</t>
  </si>
  <si>
    <t>S - Época Baixa</t>
  </si>
  <si>
    <t>s - Época Alta</t>
  </si>
  <si>
    <t>Stock Contabilistico (Em Atraso)</t>
  </si>
  <si>
    <t>Stock Contabilistico (Canceladas)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</si>
</sst>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11" x14ac:knownFonts="1">
    <font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59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6" fillId="2" borderId="0" xfId="0" applyFont="1" applyFill="1"/>
    <xf numFmtId="0" fontId="6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3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6" fillId="2" borderId="0" xfId="0" applyFont="1" applyFill="1" applyBorder="1"/>
    <xf numFmtId="0" fontId="0" fillId="0" borderId="0" xfId="0" applyBorder="1"/>
    <xf numFmtId="0" fontId="3" fillId="0" borderId="0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4" xfId="0" applyBorder="1"/>
    <xf numFmtId="0" fontId="9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3" fillId="3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44" fontId="0" fillId="0" borderId="1" xfId="1" applyFont="1" applyBorder="1" applyAlignment="1">
      <alignment horizontal="center"/>
    </xf>
    <xf numFmtId="44" fontId="0" fillId="0" borderId="1" xfId="1" applyFont="1" applyBorder="1" applyAlignment="1">
      <alignment horizontal="center" wrapText="1"/>
    </xf>
    <xf numFmtId="44" fontId="0" fillId="0" borderId="1" xfId="0" applyNumberFormat="1" applyBorder="1" applyAlignment="1">
      <alignment horizontal="center" wrapText="1"/>
    </xf>
    <xf numFmtId="44" fontId="0" fillId="0" borderId="3" xfId="1" applyFont="1" applyBorder="1" applyAlignment="1">
      <alignment horizontal="center"/>
    </xf>
    <xf numFmtId="44" fontId="0" fillId="0" borderId="3" xfId="0" applyNumberFormat="1" applyBorder="1" applyAlignment="1">
      <alignment horizontal="center" wrapText="1"/>
    </xf>
    <xf numFmtId="44" fontId="0" fillId="0" borderId="1" xfId="0" applyNumberFormat="1" applyBorder="1" applyAlignment="1">
      <alignment horizontal="center"/>
    </xf>
    <xf numFmtId="9" fontId="0" fillId="0" borderId="1" xfId="2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44" fontId="0" fillId="5" borderId="1" xfId="0" applyNumberFormat="1" applyFill="1" applyBorder="1" applyAlignment="1">
      <alignment horizontal="center"/>
    </xf>
    <xf numFmtId="0" fontId="9" fillId="6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7" fillId="0" borderId="0" xfId="0" applyFont="1" applyFill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9" fillId="4" borderId="1" xfId="0" applyNumberFormat="1" applyFont="1" applyFill="1" applyBorder="1" applyAlignment="1">
      <alignment horizontal="center"/>
    </xf>
    <xf numFmtId="0" fontId="10" fillId="4" borderId="1" xfId="0" applyNumberFormat="1" applyFont="1" applyFill="1" applyBorder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2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Procura -Media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1"/>
            <c:trendlineLbl>
              <c:layout>
                <c:manualLayout>
                  <c:x val="-1.3562992125984252E-2"/>
                  <c:y val="-6.244895204638683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Lit>
              <c:formatCode>General</c:formatCode>
              <c:ptCount val="3"/>
              <c:pt idx="0">
                <c:v>2020</c:v>
              </c:pt>
              <c:pt idx="1">
                <c:v>2019</c:v>
              </c:pt>
              <c:pt idx="2">
                <c:v>2018</c:v>
              </c:pt>
            </c:numLit>
          </c:xVal>
          <c:yVal>
            <c:numRef>
              <c:f>(Valores!$E$2,Valores!$J$2,Valores!$O$2)</c:f>
              <c:numCache>
                <c:formatCode>General</c:formatCode>
                <c:ptCount val="3"/>
                <c:pt idx="0">
                  <c:v>480.14</c:v>
                </c:pt>
                <c:pt idx="1">
                  <c:v>413.5</c:v>
                </c:pt>
                <c:pt idx="2">
                  <c:v>353.96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F5-465B-8C45-72B0DB9C35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0606735"/>
        <c:axId val="2100605903"/>
      </c:scatterChart>
      <c:valAx>
        <c:axId val="2100606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00605903"/>
        <c:crosses val="autoZero"/>
        <c:crossBetween val="midCat"/>
      </c:valAx>
      <c:valAx>
        <c:axId val="210060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00606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Procura - Desvio Padrão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9.6465441819772527E-3"/>
                  <c:y val="5.769379802455055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Lit>
              <c:formatCode>General</c:formatCode>
              <c:ptCount val="3"/>
              <c:pt idx="0">
                <c:v>2020</c:v>
              </c:pt>
              <c:pt idx="1">
                <c:v>2019</c:v>
              </c:pt>
              <c:pt idx="2">
                <c:v>2018</c:v>
              </c:pt>
            </c:numLit>
          </c:xVal>
          <c:yVal>
            <c:numRef>
              <c:f>(Valores!$E$3,Valores!$J$3,Valores!$O$3)</c:f>
              <c:numCache>
                <c:formatCode>General</c:formatCode>
                <c:ptCount val="3"/>
                <c:pt idx="0">
                  <c:v>65.558526524015164</c:v>
                </c:pt>
                <c:pt idx="1">
                  <c:v>62.322810054274868</c:v>
                </c:pt>
                <c:pt idx="2">
                  <c:v>51.24722821772901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4E-4BD1-A543-DFC263E716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8182271"/>
        <c:axId val="2048183519"/>
      </c:scatterChart>
      <c:valAx>
        <c:axId val="2048182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8183519"/>
        <c:crosses val="autoZero"/>
        <c:crossBetween val="midCat"/>
      </c:valAx>
      <c:valAx>
        <c:axId val="2048183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81822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Procura Alta -Media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1"/>
            <c:trendlineLbl>
              <c:layout>
                <c:manualLayout>
                  <c:x val="-1.3562992125984252E-2"/>
                  <c:y val="-6.244895204638683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Lit>
              <c:formatCode>General</c:formatCode>
              <c:ptCount val="3"/>
              <c:pt idx="0">
                <c:v>2020</c:v>
              </c:pt>
              <c:pt idx="1">
                <c:v>2019</c:v>
              </c:pt>
              <c:pt idx="2">
                <c:v>2018</c:v>
              </c:pt>
            </c:numLit>
          </c:xVal>
          <c:yVal>
            <c:numRef>
              <c:f>(Valores!$E$6,Valores!$J$6,Valores!$O$6)</c:f>
              <c:numCache>
                <c:formatCode>General</c:formatCode>
                <c:ptCount val="3"/>
                <c:pt idx="0">
                  <c:v>541.24</c:v>
                </c:pt>
                <c:pt idx="1">
                  <c:v>470.72</c:v>
                </c:pt>
                <c:pt idx="2">
                  <c:v>401.6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CA-4C02-891D-0BA119463F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0606735"/>
        <c:axId val="2100605903"/>
      </c:scatterChart>
      <c:valAx>
        <c:axId val="2100606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00605903"/>
        <c:crosses val="autoZero"/>
        <c:crossBetween val="midCat"/>
      </c:valAx>
      <c:valAx>
        <c:axId val="210060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00606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Procura Alta  -Desvio Padrão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1"/>
            <c:trendlineLbl>
              <c:layout>
                <c:manualLayout>
                  <c:x val="-0.12430321209848769"/>
                  <c:y val="2.684010732968002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Lit>
              <c:formatCode>General</c:formatCode>
              <c:ptCount val="3"/>
              <c:pt idx="0">
                <c:v>2020</c:v>
              </c:pt>
              <c:pt idx="1">
                <c:v>2019</c:v>
              </c:pt>
              <c:pt idx="2">
                <c:v>2018</c:v>
              </c:pt>
            </c:numLit>
          </c:xVal>
          <c:yVal>
            <c:numRef>
              <c:f>(Valores!$E$7,Valores!$J$7,Valores!$O$7)</c:f>
              <c:numCache>
                <c:formatCode>General</c:formatCode>
                <c:ptCount val="3"/>
                <c:pt idx="0">
                  <c:v>29.358855563526316</c:v>
                </c:pt>
                <c:pt idx="1">
                  <c:v>25.895976521459858</c:v>
                </c:pt>
                <c:pt idx="2">
                  <c:v>19.563230817019971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DF3-425C-BFF0-61853AF874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0606735"/>
        <c:axId val="2100605903"/>
      </c:scatterChart>
      <c:valAx>
        <c:axId val="2100606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00605903"/>
        <c:crosses val="autoZero"/>
        <c:crossBetween val="midCat"/>
      </c:valAx>
      <c:valAx>
        <c:axId val="210060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00606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Procura Baixa -Media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1"/>
            <c:trendlineLbl>
              <c:layout>
                <c:manualLayout>
                  <c:x val="-5.5893429987918179E-2"/>
                  <c:y val="-1.410574199420346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Lit>
              <c:formatCode>General</c:formatCode>
              <c:ptCount val="3"/>
              <c:pt idx="0">
                <c:v>2020</c:v>
              </c:pt>
              <c:pt idx="1">
                <c:v>2019</c:v>
              </c:pt>
              <c:pt idx="2">
                <c:v>2018</c:v>
              </c:pt>
            </c:numLit>
          </c:xVal>
          <c:yVal>
            <c:numRef>
              <c:f>(Valores!$E$10,Valores!$J$10,Valores!$O$10)</c:f>
              <c:numCache>
                <c:formatCode>General</c:formatCode>
                <c:ptCount val="3"/>
                <c:pt idx="0">
                  <c:v>419.04</c:v>
                </c:pt>
                <c:pt idx="1">
                  <c:v>356.28</c:v>
                </c:pt>
                <c:pt idx="2">
                  <c:v>306.32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BFE-4AE9-8EA2-8640E59B46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0606735"/>
        <c:axId val="2100605903"/>
      </c:scatterChart>
      <c:valAx>
        <c:axId val="2100606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00605903"/>
        <c:crosses val="autoZero"/>
        <c:crossBetween val="midCat"/>
      </c:valAx>
      <c:valAx>
        <c:axId val="210060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00606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Procura Baixa  -Desvio Padrão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1"/>
            <c:trendlineLbl>
              <c:layout>
                <c:manualLayout>
                  <c:x val="-1.3562992125984252E-2"/>
                  <c:y val="-6.244895204638683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Lit>
              <c:formatCode>General</c:formatCode>
              <c:ptCount val="3"/>
              <c:pt idx="0">
                <c:v>2020</c:v>
              </c:pt>
              <c:pt idx="1">
                <c:v>2019</c:v>
              </c:pt>
              <c:pt idx="2">
                <c:v>2018</c:v>
              </c:pt>
            </c:numLit>
          </c:xVal>
          <c:yVal>
            <c:numRef>
              <c:f>(Valores!$E$11,Valores!$J$11,Valores!$O$11)</c:f>
              <c:numCache>
                <c:formatCode>General</c:formatCode>
                <c:ptCount val="3"/>
                <c:pt idx="0">
                  <c:v>16.35476688919778</c:v>
                </c:pt>
                <c:pt idx="1">
                  <c:v>19.850481102482128</c:v>
                </c:pt>
                <c:pt idx="2">
                  <c:v>18.185092796023891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34-4AE8-9A67-DDEDFA431C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0606735"/>
        <c:axId val="2100605903"/>
      </c:scatterChart>
      <c:valAx>
        <c:axId val="2100606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00605903"/>
        <c:crosses val="autoZero"/>
        <c:crossBetween val="midCat"/>
      </c:valAx>
      <c:valAx>
        <c:axId val="210060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00606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Procura por semana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2021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Simulação!$H$2:$H$51</c:f>
              <c:numCache>
                <c:formatCode>General</c:formatCode>
                <c:ptCount val="50"/>
                <c:pt idx="0">
                  <c:v>447</c:v>
                </c:pt>
                <c:pt idx="1">
                  <c:v>473</c:v>
                </c:pt>
                <c:pt idx="2">
                  <c:v>466</c:v>
                </c:pt>
                <c:pt idx="3">
                  <c:v>465</c:v>
                </c:pt>
                <c:pt idx="4">
                  <c:v>454</c:v>
                </c:pt>
                <c:pt idx="5">
                  <c:v>477</c:v>
                </c:pt>
                <c:pt idx="6">
                  <c:v>463</c:v>
                </c:pt>
                <c:pt idx="7">
                  <c:v>481</c:v>
                </c:pt>
                <c:pt idx="8">
                  <c:v>477</c:v>
                </c:pt>
                <c:pt idx="9">
                  <c:v>447</c:v>
                </c:pt>
                <c:pt idx="10">
                  <c:v>466</c:v>
                </c:pt>
                <c:pt idx="11">
                  <c:v>477</c:v>
                </c:pt>
                <c:pt idx="12">
                  <c:v>468</c:v>
                </c:pt>
                <c:pt idx="13">
                  <c:v>474</c:v>
                </c:pt>
                <c:pt idx="14">
                  <c:v>467</c:v>
                </c:pt>
                <c:pt idx="15">
                  <c:v>472</c:v>
                </c:pt>
                <c:pt idx="16">
                  <c:v>486</c:v>
                </c:pt>
                <c:pt idx="17">
                  <c:v>474</c:v>
                </c:pt>
                <c:pt idx="18">
                  <c:v>491</c:v>
                </c:pt>
                <c:pt idx="19">
                  <c:v>454</c:v>
                </c:pt>
                <c:pt idx="20">
                  <c:v>464</c:v>
                </c:pt>
                <c:pt idx="21">
                  <c:v>610</c:v>
                </c:pt>
                <c:pt idx="22">
                  <c:v>584</c:v>
                </c:pt>
                <c:pt idx="23">
                  <c:v>547</c:v>
                </c:pt>
                <c:pt idx="24">
                  <c:v>659</c:v>
                </c:pt>
                <c:pt idx="25">
                  <c:v>661</c:v>
                </c:pt>
                <c:pt idx="26">
                  <c:v>639</c:v>
                </c:pt>
                <c:pt idx="27">
                  <c:v>542</c:v>
                </c:pt>
                <c:pt idx="28">
                  <c:v>606</c:v>
                </c:pt>
                <c:pt idx="29">
                  <c:v>599</c:v>
                </c:pt>
                <c:pt idx="30">
                  <c:v>596</c:v>
                </c:pt>
                <c:pt idx="31">
                  <c:v>609</c:v>
                </c:pt>
                <c:pt idx="32">
                  <c:v>607</c:v>
                </c:pt>
                <c:pt idx="33">
                  <c:v>669</c:v>
                </c:pt>
                <c:pt idx="34">
                  <c:v>630</c:v>
                </c:pt>
                <c:pt idx="35">
                  <c:v>572</c:v>
                </c:pt>
                <c:pt idx="36">
                  <c:v>606</c:v>
                </c:pt>
                <c:pt idx="37">
                  <c:v>651</c:v>
                </c:pt>
                <c:pt idx="38">
                  <c:v>638</c:v>
                </c:pt>
                <c:pt idx="39">
                  <c:v>586</c:v>
                </c:pt>
                <c:pt idx="40">
                  <c:v>599</c:v>
                </c:pt>
                <c:pt idx="41">
                  <c:v>556</c:v>
                </c:pt>
                <c:pt idx="42">
                  <c:v>584</c:v>
                </c:pt>
                <c:pt idx="43">
                  <c:v>623</c:v>
                </c:pt>
                <c:pt idx="44">
                  <c:v>620</c:v>
                </c:pt>
                <c:pt idx="45">
                  <c:v>668</c:v>
                </c:pt>
                <c:pt idx="46">
                  <c:v>469</c:v>
                </c:pt>
                <c:pt idx="47">
                  <c:v>470</c:v>
                </c:pt>
                <c:pt idx="48">
                  <c:v>485</c:v>
                </c:pt>
                <c:pt idx="49">
                  <c:v>478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85-448B-BCE8-757D3F08AFD1}"/>
            </c:ext>
          </c:extLst>
        </c:ser>
        <c:ser>
          <c:idx val="1"/>
          <c:order val="1"/>
          <c:tx>
            <c:v>2020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Valores!$B$1:$B$50</c:f>
              <c:numCache>
                <c:formatCode>General</c:formatCode>
                <c:ptCount val="50"/>
                <c:pt idx="0">
                  <c:v>429</c:v>
                </c:pt>
                <c:pt idx="1">
                  <c:v>402</c:v>
                </c:pt>
                <c:pt idx="2">
                  <c:v>433</c:v>
                </c:pt>
                <c:pt idx="3">
                  <c:v>413</c:v>
                </c:pt>
                <c:pt idx="4">
                  <c:v>396</c:v>
                </c:pt>
                <c:pt idx="5">
                  <c:v>388</c:v>
                </c:pt>
                <c:pt idx="6">
                  <c:v>417</c:v>
                </c:pt>
                <c:pt idx="7">
                  <c:v>410</c:v>
                </c:pt>
                <c:pt idx="8">
                  <c:v>456</c:v>
                </c:pt>
                <c:pt idx="9">
                  <c:v>436</c:v>
                </c:pt>
                <c:pt idx="10">
                  <c:v>403</c:v>
                </c:pt>
                <c:pt idx="11">
                  <c:v>405</c:v>
                </c:pt>
                <c:pt idx="12">
                  <c:v>448</c:v>
                </c:pt>
                <c:pt idx="13">
                  <c:v>405</c:v>
                </c:pt>
                <c:pt idx="14">
                  <c:v>445</c:v>
                </c:pt>
                <c:pt idx="15">
                  <c:v>416</c:v>
                </c:pt>
                <c:pt idx="16">
                  <c:v>417</c:v>
                </c:pt>
                <c:pt idx="17">
                  <c:v>432</c:v>
                </c:pt>
                <c:pt idx="18">
                  <c:v>425</c:v>
                </c:pt>
                <c:pt idx="19">
                  <c:v>416</c:v>
                </c:pt>
                <c:pt idx="20">
                  <c:v>413</c:v>
                </c:pt>
                <c:pt idx="21">
                  <c:v>415</c:v>
                </c:pt>
                <c:pt idx="22">
                  <c:v>537</c:v>
                </c:pt>
                <c:pt idx="23">
                  <c:v>521</c:v>
                </c:pt>
                <c:pt idx="24">
                  <c:v>555</c:v>
                </c:pt>
                <c:pt idx="25">
                  <c:v>543</c:v>
                </c:pt>
                <c:pt idx="26">
                  <c:v>551</c:v>
                </c:pt>
                <c:pt idx="27">
                  <c:v>546</c:v>
                </c:pt>
                <c:pt idx="28">
                  <c:v>552</c:v>
                </c:pt>
                <c:pt idx="29">
                  <c:v>564</c:v>
                </c:pt>
                <c:pt idx="30">
                  <c:v>571</c:v>
                </c:pt>
                <c:pt idx="31">
                  <c:v>541</c:v>
                </c:pt>
                <c:pt idx="32">
                  <c:v>550</c:v>
                </c:pt>
                <c:pt idx="33">
                  <c:v>545</c:v>
                </c:pt>
                <c:pt idx="34">
                  <c:v>540</c:v>
                </c:pt>
                <c:pt idx="35">
                  <c:v>536</c:v>
                </c:pt>
                <c:pt idx="36">
                  <c:v>536</c:v>
                </c:pt>
                <c:pt idx="37">
                  <c:v>548</c:v>
                </c:pt>
                <c:pt idx="38">
                  <c:v>557</c:v>
                </c:pt>
                <c:pt idx="39">
                  <c:v>587</c:v>
                </c:pt>
                <c:pt idx="40">
                  <c:v>539</c:v>
                </c:pt>
                <c:pt idx="41">
                  <c:v>545</c:v>
                </c:pt>
                <c:pt idx="42">
                  <c:v>541</c:v>
                </c:pt>
                <c:pt idx="43">
                  <c:v>558</c:v>
                </c:pt>
                <c:pt idx="44">
                  <c:v>533</c:v>
                </c:pt>
                <c:pt idx="45">
                  <c:v>520</c:v>
                </c:pt>
                <c:pt idx="46">
                  <c:v>420</c:v>
                </c:pt>
                <c:pt idx="47">
                  <c:v>427</c:v>
                </c:pt>
                <c:pt idx="48">
                  <c:v>401</c:v>
                </c:pt>
                <c:pt idx="49">
                  <c:v>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85-448B-BCE8-757D3F08AFD1}"/>
            </c:ext>
          </c:extLst>
        </c:ser>
        <c:ser>
          <c:idx val="2"/>
          <c:order val="2"/>
          <c:tx>
            <c:v>2019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Valores!$G$1:$G$50</c:f>
              <c:numCache>
                <c:formatCode>General</c:formatCode>
                <c:ptCount val="50"/>
                <c:pt idx="0">
                  <c:v>364</c:v>
                </c:pt>
                <c:pt idx="1">
                  <c:v>342</c:v>
                </c:pt>
                <c:pt idx="2">
                  <c:v>332</c:v>
                </c:pt>
                <c:pt idx="3">
                  <c:v>349</c:v>
                </c:pt>
                <c:pt idx="4">
                  <c:v>383</c:v>
                </c:pt>
                <c:pt idx="5">
                  <c:v>350</c:v>
                </c:pt>
                <c:pt idx="6">
                  <c:v>365</c:v>
                </c:pt>
                <c:pt idx="7">
                  <c:v>347</c:v>
                </c:pt>
                <c:pt idx="8">
                  <c:v>343</c:v>
                </c:pt>
                <c:pt idx="9">
                  <c:v>348</c:v>
                </c:pt>
                <c:pt idx="10">
                  <c:v>331</c:v>
                </c:pt>
                <c:pt idx="11">
                  <c:v>373</c:v>
                </c:pt>
                <c:pt idx="12">
                  <c:v>376</c:v>
                </c:pt>
                <c:pt idx="13">
                  <c:v>362</c:v>
                </c:pt>
                <c:pt idx="14">
                  <c:v>352</c:v>
                </c:pt>
                <c:pt idx="15">
                  <c:v>360</c:v>
                </c:pt>
                <c:pt idx="16">
                  <c:v>413</c:v>
                </c:pt>
                <c:pt idx="17">
                  <c:v>351</c:v>
                </c:pt>
                <c:pt idx="18">
                  <c:v>361</c:v>
                </c:pt>
                <c:pt idx="19">
                  <c:v>345</c:v>
                </c:pt>
                <c:pt idx="20">
                  <c:v>314</c:v>
                </c:pt>
                <c:pt idx="21">
                  <c:v>383</c:v>
                </c:pt>
                <c:pt idx="22">
                  <c:v>500</c:v>
                </c:pt>
                <c:pt idx="23">
                  <c:v>447</c:v>
                </c:pt>
                <c:pt idx="24">
                  <c:v>471</c:v>
                </c:pt>
                <c:pt idx="25">
                  <c:v>484</c:v>
                </c:pt>
                <c:pt idx="26">
                  <c:v>497</c:v>
                </c:pt>
                <c:pt idx="27">
                  <c:v>465</c:v>
                </c:pt>
                <c:pt idx="28">
                  <c:v>474</c:v>
                </c:pt>
                <c:pt idx="29">
                  <c:v>467</c:v>
                </c:pt>
                <c:pt idx="30">
                  <c:v>465</c:v>
                </c:pt>
                <c:pt idx="31">
                  <c:v>429</c:v>
                </c:pt>
                <c:pt idx="32">
                  <c:v>478</c:v>
                </c:pt>
                <c:pt idx="33">
                  <c:v>450</c:v>
                </c:pt>
                <c:pt idx="34">
                  <c:v>491</c:v>
                </c:pt>
                <c:pt idx="35">
                  <c:v>471</c:v>
                </c:pt>
                <c:pt idx="36">
                  <c:v>492</c:v>
                </c:pt>
                <c:pt idx="37">
                  <c:v>485</c:v>
                </c:pt>
                <c:pt idx="38">
                  <c:v>501</c:v>
                </c:pt>
                <c:pt idx="39">
                  <c:v>454</c:v>
                </c:pt>
                <c:pt idx="40">
                  <c:v>478</c:v>
                </c:pt>
                <c:pt idx="41">
                  <c:v>475</c:v>
                </c:pt>
                <c:pt idx="42">
                  <c:v>476</c:v>
                </c:pt>
                <c:pt idx="43">
                  <c:v>446</c:v>
                </c:pt>
                <c:pt idx="44">
                  <c:v>508</c:v>
                </c:pt>
                <c:pt idx="45">
                  <c:v>481</c:v>
                </c:pt>
                <c:pt idx="46">
                  <c:v>365</c:v>
                </c:pt>
                <c:pt idx="47">
                  <c:v>337</c:v>
                </c:pt>
                <c:pt idx="48">
                  <c:v>360</c:v>
                </c:pt>
                <c:pt idx="49">
                  <c:v>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85-448B-BCE8-757D3F08AFD1}"/>
            </c:ext>
          </c:extLst>
        </c:ser>
        <c:ser>
          <c:idx val="3"/>
          <c:order val="3"/>
          <c:tx>
            <c:v>2018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Valores!$L$1:$L$50</c:f>
              <c:numCache>
                <c:formatCode>General</c:formatCode>
                <c:ptCount val="50"/>
                <c:pt idx="0">
                  <c:v>280</c:v>
                </c:pt>
                <c:pt idx="1">
                  <c:v>308</c:v>
                </c:pt>
                <c:pt idx="2">
                  <c:v>294</c:v>
                </c:pt>
                <c:pt idx="3">
                  <c:v>301</c:v>
                </c:pt>
                <c:pt idx="4">
                  <c:v>305</c:v>
                </c:pt>
                <c:pt idx="5">
                  <c:v>298</c:v>
                </c:pt>
                <c:pt idx="6">
                  <c:v>343</c:v>
                </c:pt>
                <c:pt idx="7">
                  <c:v>288</c:v>
                </c:pt>
                <c:pt idx="8">
                  <c:v>303</c:v>
                </c:pt>
                <c:pt idx="9">
                  <c:v>313</c:v>
                </c:pt>
                <c:pt idx="10">
                  <c:v>320</c:v>
                </c:pt>
                <c:pt idx="11">
                  <c:v>277</c:v>
                </c:pt>
                <c:pt idx="12">
                  <c:v>267</c:v>
                </c:pt>
                <c:pt idx="13">
                  <c:v>301</c:v>
                </c:pt>
                <c:pt idx="14">
                  <c:v>321</c:v>
                </c:pt>
                <c:pt idx="15">
                  <c:v>318</c:v>
                </c:pt>
                <c:pt idx="16">
                  <c:v>297</c:v>
                </c:pt>
                <c:pt idx="17">
                  <c:v>330</c:v>
                </c:pt>
                <c:pt idx="18">
                  <c:v>299</c:v>
                </c:pt>
                <c:pt idx="19">
                  <c:v>331</c:v>
                </c:pt>
                <c:pt idx="20">
                  <c:v>299</c:v>
                </c:pt>
                <c:pt idx="21">
                  <c:v>340</c:v>
                </c:pt>
                <c:pt idx="22">
                  <c:v>400</c:v>
                </c:pt>
                <c:pt idx="23">
                  <c:v>422</c:v>
                </c:pt>
                <c:pt idx="24">
                  <c:v>409</c:v>
                </c:pt>
                <c:pt idx="25">
                  <c:v>402</c:v>
                </c:pt>
                <c:pt idx="26">
                  <c:v>387</c:v>
                </c:pt>
                <c:pt idx="27">
                  <c:v>389</c:v>
                </c:pt>
                <c:pt idx="28">
                  <c:v>437</c:v>
                </c:pt>
                <c:pt idx="29">
                  <c:v>411</c:v>
                </c:pt>
                <c:pt idx="30">
                  <c:v>385</c:v>
                </c:pt>
                <c:pt idx="31">
                  <c:v>390</c:v>
                </c:pt>
                <c:pt idx="32">
                  <c:v>401</c:v>
                </c:pt>
                <c:pt idx="33">
                  <c:v>394</c:v>
                </c:pt>
                <c:pt idx="34">
                  <c:v>397</c:v>
                </c:pt>
                <c:pt idx="35">
                  <c:v>408</c:v>
                </c:pt>
                <c:pt idx="36">
                  <c:v>418</c:v>
                </c:pt>
                <c:pt idx="37">
                  <c:v>424</c:v>
                </c:pt>
                <c:pt idx="38">
                  <c:v>391</c:v>
                </c:pt>
                <c:pt idx="39">
                  <c:v>394</c:v>
                </c:pt>
                <c:pt idx="40">
                  <c:v>407</c:v>
                </c:pt>
                <c:pt idx="41">
                  <c:v>380</c:v>
                </c:pt>
                <c:pt idx="42">
                  <c:v>419</c:v>
                </c:pt>
                <c:pt idx="43">
                  <c:v>412</c:v>
                </c:pt>
                <c:pt idx="44">
                  <c:v>434</c:v>
                </c:pt>
                <c:pt idx="45">
                  <c:v>389</c:v>
                </c:pt>
                <c:pt idx="46">
                  <c:v>320</c:v>
                </c:pt>
                <c:pt idx="47">
                  <c:v>292</c:v>
                </c:pt>
                <c:pt idx="48">
                  <c:v>331</c:v>
                </c:pt>
                <c:pt idx="49">
                  <c:v>322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085-448B-BCE8-757D3F08AF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7099440"/>
        <c:axId val="513705272"/>
      </c:lineChart>
      <c:catAx>
        <c:axId val="397099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Semanas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3705272"/>
        <c:crosses val="autoZero"/>
        <c:auto val="1"/>
        <c:lblAlgn val="ctr"/>
        <c:lblOffset val="100"/>
        <c:noMultiLvlLbl val="0"/>
      </c:catAx>
      <c:valAx>
        <c:axId val="513705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Procura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97099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i="1"/>
              <a:t>Stock</a:t>
            </a:r>
            <a:r>
              <a:rPr lang="pt-PT" i="0"/>
              <a:t> médio</a:t>
            </a:r>
            <a:endParaRPr lang="pt-PT" i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Simulação!$G$2:$G$51</c:f>
              <c:numCache>
                <c:formatCode>General</c:formatCode>
                <c:ptCount val="50"/>
                <c:pt idx="0">
                  <c:v>2326.5</c:v>
                </c:pt>
                <c:pt idx="1">
                  <c:v>1866.5</c:v>
                </c:pt>
                <c:pt idx="2">
                  <c:v>1397</c:v>
                </c:pt>
                <c:pt idx="3">
                  <c:v>931.5</c:v>
                </c:pt>
                <c:pt idx="4">
                  <c:v>472</c:v>
                </c:pt>
                <c:pt idx="5">
                  <c:v>3184.5</c:v>
                </c:pt>
                <c:pt idx="6">
                  <c:v>2714.5</c:v>
                </c:pt>
                <c:pt idx="7">
                  <c:v>2242.5</c:v>
                </c:pt>
                <c:pt idx="8">
                  <c:v>1763.5</c:v>
                </c:pt>
                <c:pt idx="9">
                  <c:v>1301.5</c:v>
                </c:pt>
                <c:pt idx="10">
                  <c:v>845</c:v>
                </c:pt>
                <c:pt idx="11">
                  <c:v>2248.5</c:v>
                </c:pt>
                <c:pt idx="12">
                  <c:v>1776</c:v>
                </c:pt>
                <c:pt idx="13">
                  <c:v>3172</c:v>
                </c:pt>
                <c:pt idx="14">
                  <c:v>2701.5</c:v>
                </c:pt>
                <c:pt idx="15">
                  <c:v>2232</c:v>
                </c:pt>
                <c:pt idx="16">
                  <c:v>1753</c:v>
                </c:pt>
                <c:pt idx="17">
                  <c:v>1273</c:v>
                </c:pt>
                <c:pt idx="18">
                  <c:v>790.5</c:v>
                </c:pt>
                <c:pt idx="19">
                  <c:v>2199</c:v>
                </c:pt>
                <c:pt idx="20">
                  <c:v>1740</c:v>
                </c:pt>
                <c:pt idx="21">
                  <c:v>3108</c:v>
                </c:pt>
                <c:pt idx="22">
                  <c:v>2511</c:v>
                </c:pt>
                <c:pt idx="23">
                  <c:v>1945.5</c:v>
                </c:pt>
                <c:pt idx="24">
                  <c:v>1342.5</c:v>
                </c:pt>
                <c:pt idx="25">
                  <c:v>682.5</c:v>
                </c:pt>
                <c:pt idx="26">
                  <c:v>3377.5</c:v>
                </c:pt>
                <c:pt idx="27">
                  <c:v>2787</c:v>
                </c:pt>
                <c:pt idx="28">
                  <c:v>2213</c:v>
                </c:pt>
                <c:pt idx="29">
                  <c:v>1610.5</c:v>
                </c:pt>
                <c:pt idx="30">
                  <c:v>3514</c:v>
                </c:pt>
                <c:pt idx="31">
                  <c:v>2911.5</c:v>
                </c:pt>
                <c:pt idx="32">
                  <c:v>2303.5</c:v>
                </c:pt>
                <c:pt idx="33">
                  <c:v>4075.5</c:v>
                </c:pt>
                <c:pt idx="34">
                  <c:v>3426</c:v>
                </c:pt>
                <c:pt idx="35">
                  <c:v>2825</c:v>
                </c:pt>
                <c:pt idx="36">
                  <c:v>2236</c:v>
                </c:pt>
                <c:pt idx="37">
                  <c:v>1607.5</c:v>
                </c:pt>
                <c:pt idx="38">
                  <c:v>963</c:v>
                </c:pt>
                <c:pt idx="39">
                  <c:v>2829</c:v>
                </c:pt>
                <c:pt idx="40">
                  <c:v>2236.5</c:v>
                </c:pt>
                <c:pt idx="41">
                  <c:v>1659</c:v>
                </c:pt>
                <c:pt idx="42">
                  <c:v>3570</c:v>
                </c:pt>
                <c:pt idx="43">
                  <c:v>2966.5</c:v>
                </c:pt>
                <c:pt idx="44">
                  <c:v>2345</c:v>
                </c:pt>
                <c:pt idx="45">
                  <c:v>1701</c:v>
                </c:pt>
                <c:pt idx="46">
                  <c:v>3494.5</c:v>
                </c:pt>
                <c:pt idx="47">
                  <c:v>3025</c:v>
                </c:pt>
                <c:pt idx="48">
                  <c:v>2547.5</c:v>
                </c:pt>
                <c:pt idx="49">
                  <c:v>2066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41-472A-A579-B2D2CFBA56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8912415"/>
        <c:axId val="328920319"/>
      </c:lineChart>
      <c:catAx>
        <c:axId val="328912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28920319"/>
        <c:crosses val="autoZero"/>
        <c:auto val="1"/>
        <c:lblAlgn val="ctr"/>
        <c:lblOffset val="100"/>
        <c:noMultiLvlLbl val="0"/>
      </c:catAx>
      <c:valAx>
        <c:axId val="328920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28912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Custo Total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Simulação!$S$2:$S$51</c:f>
              <c:numCache>
                <c:formatCode>_("€"* #,##0.00_);_("€"* \(#,##0.00\);_("€"* "-"??_);_(@_)</c:formatCode>
                <c:ptCount val="50"/>
                <c:pt idx="0">
                  <c:v>802.64249999999993</c:v>
                </c:pt>
                <c:pt idx="1">
                  <c:v>643.9425</c:v>
                </c:pt>
                <c:pt idx="2">
                  <c:v>481.96499999999997</c:v>
                </c:pt>
                <c:pt idx="3">
                  <c:v>1821.3674999999998</c:v>
                </c:pt>
                <c:pt idx="4">
                  <c:v>162.83999999999997</c:v>
                </c:pt>
                <c:pt idx="5">
                  <c:v>1098.6524999999999</c:v>
                </c:pt>
                <c:pt idx="6">
                  <c:v>936.50249999999994</c:v>
                </c:pt>
                <c:pt idx="7">
                  <c:v>2273.6624999999999</c:v>
                </c:pt>
                <c:pt idx="8">
                  <c:v>608.40749999999991</c:v>
                </c:pt>
                <c:pt idx="9">
                  <c:v>449.01749999999998</c:v>
                </c:pt>
                <c:pt idx="10">
                  <c:v>291.52499999999998</c:v>
                </c:pt>
                <c:pt idx="11">
                  <c:v>2275.7325000000001</c:v>
                </c:pt>
                <c:pt idx="12">
                  <c:v>612.71999999999991</c:v>
                </c:pt>
                <c:pt idx="13">
                  <c:v>1094.3399999999999</c:v>
                </c:pt>
                <c:pt idx="14">
                  <c:v>932.01749999999993</c:v>
                </c:pt>
                <c:pt idx="15">
                  <c:v>2270.04</c:v>
                </c:pt>
                <c:pt idx="16">
                  <c:v>604.78499999999997</c:v>
                </c:pt>
                <c:pt idx="17">
                  <c:v>439.18499999999995</c:v>
                </c:pt>
                <c:pt idx="18">
                  <c:v>272.72249999999997</c:v>
                </c:pt>
                <c:pt idx="19">
                  <c:v>2258.6549999999997</c:v>
                </c:pt>
                <c:pt idx="20">
                  <c:v>600.29999999999995</c:v>
                </c:pt>
                <c:pt idx="21">
                  <c:v>1072.26</c:v>
                </c:pt>
                <c:pt idx="22">
                  <c:v>866.29499999999996</c:v>
                </c:pt>
                <c:pt idx="23">
                  <c:v>2171.1975000000002</c:v>
                </c:pt>
                <c:pt idx="24">
                  <c:v>463.16249999999997</c:v>
                </c:pt>
                <c:pt idx="25">
                  <c:v>235.46249999999998</c:v>
                </c:pt>
                <c:pt idx="26">
                  <c:v>1165.2375</c:v>
                </c:pt>
                <c:pt idx="27">
                  <c:v>2461.5149999999999</c:v>
                </c:pt>
                <c:pt idx="28">
                  <c:v>763.4849999999999</c:v>
                </c:pt>
                <c:pt idx="29">
                  <c:v>555.62249999999995</c:v>
                </c:pt>
                <c:pt idx="30">
                  <c:v>1212.33</c:v>
                </c:pt>
                <c:pt idx="31">
                  <c:v>2504.4674999999997</c:v>
                </c:pt>
                <c:pt idx="32">
                  <c:v>794.70749999999998</c:v>
                </c:pt>
                <c:pt idx="33">
                  <c:v>1406.0474999999999</c:v>
                </c:pt>
                <c:pt idx="34">
                  <c:v>1181.9699999999998</c:v>
                </c:pt>
                <c:pt idx="35">
                  <c:v>2474.625</c:v>
                </c:pt>
                <c:pt idx="36">
                  <c:v>771.42</c:v>
                </c:pt>
                <c:pt idx="37">
                  <c:v>554.58749999999998</c:v>
                </c:pt>
                <c:pt idx="38">
                  <c:v>332.23499999999996</c:v>
                </c:pt>
                <c:pt idx="39">
                  <c:v>2476.0050000000001</c:v>
                </c:pt>
                <c:pt idx="40">
                  <c:v>771.59249999999997</c:v>
                </c:pt>
                <c:pt idx="41">
                  <c:v>572.3549999999999</c:v>
                </c:pt>
                <c:pt idx="42">
                  <c:v>1231.6499999999999</c:v>
                </c:pt>
                <c:pt idx="43">
                  <c:v>2523.4425000000001</c:v>
                </c:pt>
                <c:pt idx="44">
                  <c:v>809.02499999999998</c:v>
                </c:pt>
                <c:pt idx="45">
                  <c:v>586.84499999999991</c:v>
                </c:pt>
                <c:pt idx="46">
                  <c:v>1205.6025</c:v>
                </c:pt>
                <c:pt idx="47">
                  <c:v>1043.625</c:v>
                </c:pt>
                <c:pt idx="48">
                  <c:v>878.88749999999993</c:v>
                </c:pt>
                <c:pt idx="49">
                  <c:v>712.77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4C-4BBE-B931-0751CE3DDB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0499839"/>
        <c:axId val="580487359"/>
      </c:lineChart>
      <c:catAx>
        <c:axId val="580499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0487359"/>
        <c:crosses val="autoZero"/>
        <c:auto val="1"/>
        <c:lblAlgn val="ctr"/>
        <c:lblOffset val="100"/>
        <c:noMultiLvlLbl val="0"/>
      </c:catAx>
      <c:valAx>
        <c:axId val="580487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0499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Quantidade Encomendada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yVal>
            <c:numRef>
              <c:f>Simulação!$L$2:$L$51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3178.8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1875.8000000000002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1867.8000000000002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1881.8000000000002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1905.8000000000002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3345.45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2501.4499999999998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2410.4499999999998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2478.4499999999998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2481.4499999999998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2362.4499999999998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49-47D9-AE95-EF6C2E9DD5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0522719"/>
        <c:axId val="580514399"/>
      </c:scatterChart>
      <c:valAx>
        <c:axId val="580522719"/>
        <c:scaling>
          <c:orientation val="minMax"/>
          <c:max val="5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0514399"/>
        <c:crosses val="autoZero"/>
        <c:crossBetween val="midCat"/>
      </c:valAx>
      <c:valAx>
        <c:axId val="580514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05227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59055</xdr:colOff>
      <xdr:row>2</xdr:row>
      <xdr:rowOff>63817</xdr:rowOff>
    </xdr:from>
    <xdr:to>
      <xdr:col>23</xdr:col>
      <xdr:colOff>363855</xdr:colOff>
      <xdr:row>17</xdr:row>
      <xdr:rowOff>88582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D7D29CC-405D-43BE-9E11-F7B15AB864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430530</xdr:colOff>
      <xdr:row>2</xdr:row>
      <xdr:rowOff>73342</xdr:rowOff>
    </xdr:from>
    <xdr:to>
      <xdr:col>31</xdr:col>
      <xdr:colOff>354330</xdr:colOff>
      <xdr:row>17</xdr:row>
      <xdr:rowOff>94297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C72195FD-A6FB-44C3-A523-9797168387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38100</xdr:colOff>
      <xdr:row>19</xdr:row>
      <xdr:rowOff>59055</xdr:rowOff>
    </xdr:from>
    <xdr:to>
      <xdr:col>23</xdr:col>
      <xdr:colOff>342900</xdr:colOff>
      <xdr:row>34</xdr:row>
      <xdr:rowOff>85725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1914BC07-9B5B-4979-A241-BFAF9D3659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396240</xdr:colOff>
      <xdr:row>19</xdr:row>
      <xdr:rowOff>78105</xdr:rowOff>
    </xdr:from>
    <xdr:to>
      <xdr:col>31</xdr:col>
      <xdr:colOff>320040</xdr:colOff>
      <xdr:row>34</xdr:row>
      <xdr:rowOff>95250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DB1CF2A1-B78D-4D0B-931E-14BAA4E6B0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45720</xdr:colOff>
      <xdr:row>36</xdr:row>
      <xdr:rowOff>64770</xdr:rowOff>
    </xdr:from>
    <xdr:to>
      <xdr:col>23</xdr:col>
      <xdr:colOff>350520</xdr:colOff>
      <xdr:row>51</xdr:row>
      <xdr:rowOff>91440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81EB7D2A-2895-43EF-ADEE-6D6C06D904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409575</xdr:colOff>
      <xdr:row>36</xdr:row>
      <xdr:rowOff>76200</xdr:rowOff>
    </xdr:from>
    <xdr:to>
      <xdr:col>31</xdr:col>
      <xdr:colOff>333375</xdr:colOff>
      <xdr:row>51</xdr:row>
      <xdr:rowOff>100965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B4B5C3D5-7ACE-4835-B7C5-63A4B71F69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25400</xdr:colOff>
      <xdr:row>32</xdr:row>
      <xdr:rowOff>18732</xdr:rowOff>
    </xdr:from>
    <xdr:to>
      <xdr:col>25</xdr:col>
      <xdr:colOff>381000</xdr:colOff>
      <xdr:row>48</xdr:row>
      <xdr:rowOff>152399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B358563-3937-4DFA-A5A1-5DB987AB35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594359</xdr:colOff>
      <xdr:row>1</xdr:row>
      <xdr:rowOff>167005</xdr:rowOff>
    </xdr:from>
    <xdr:to>
      <xdr:col>33</xdr:col>
      <xdr:colOff>139064</xdr:colOff>
      <xdr:row>17</xdr:row>
      <xdr:rowOff>69215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C6B3CCC-B35B-448D-B20C-AF3AC1D783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4444</xdr:colOff>
      <xdr:row>18</xdr:row>
      <xdr:rowOff>165100</xdr:rowOff>
    </xdr:from>
    <xdr:to>
      <xdr:col>33</xdr:col>
      <xdr:colOff>162559</xdr:colOff>
      <xdr:row>34</xdr:row>
      <xdr:rowOff>63500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C407CF2-2239-4A2E-B237-D7C2020FAA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4444</xdr:colOff>
      <xdr:row>35</xdr:row>
      <xdr:rowOff>165100</xdr:rowOff>
    </xdr:from>
    <xdr:to>
      <xdr:col>33</xdr:col>
      <xdr:colOff>162559</xdr:colOff>
      <xdr:row>51</xdr:row>
      <xdr:rowOff>63500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BE3B97E-EF29-406A-9011-DF41267609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D9895-98BD-48A6-8880-2F14F20BD672}">
  <dimension ref="A1:AH50"/>
  <sheetViews>
    <sheetView workbookViewId="0">
      <selection activeCell="O6" sqref="O6"/>
    </sheetView>
  </sheetViews>
  <sheetFormatPr defaultRowHeight="14.4" x14ac:dyDescent="0.3"/>
  <cols>
    <col min="1" max="1" width="14.77734375" customWidth="1"/>
    <col min="4" max="4" width="16.6640625" customWidth="1"/>
    <col min="9" max="9" width="15.88671875" customWidth="1"/>
    <col min="14" max="14" width="16.5546875" customWidth="1"/>
    <col min="17" max="17" width="12.21875" customWidth="1"/>
    <col min="33" max="33" width="18.21875" customWidth="1"/>
  </cols>
  <sheetData>
    <row r="1" spans="1:34" ht="16.2" customHeight="1" x14ac:dyDescent="0.3">
      <c r="A1" s="6"/>
      <c r="B1" s="2">
        <v>429</v>
      </c>
      <c r="C1" s="2"/>
      <c r="D1" s="5" t="s">
        <v>2</v>
      </c>
      <c r="E1" s="2"/>
      <c r="F1" s="2"/>
      <c r="G1" s="2">
        <v>364</v>
      </c>
      <c r="H1" s="2"/>
      <c r="I1" s="5" t="s">
        <v>3</v>
      </c>
      <c r="J1" s="2"/>
      <c r="K1" s="2"/>
      <c r="L1" s="2">
        <v>280</v>
      </c>
      <c r="M1" s="2"/>
      <c r="N1" s="5" t="s">
        <v>4</v>
      </c>
      <c r="O1" s="2"/>
      <c r="P1" s="2"/>
    </row>
    <row r="2" spans="1:34" ht="15.6" customHeight="1" x14ac:dyDescent="0.4">
      <c r="A2" s="6"/>
      <c r="B2" s="2">
        <v>402</v>
      </c>
      <c r="C2" s="2"/>
      <c r="D2" s="7" t="s">
        <v>1</v>
      </c>
      <c r="E2" s="2">
        <f>AVERAGE(B1:B50)</f>
        <v>480.14</v>
      </c>
      <c r="F2" s="2"/>
      <c r="G2" s="2">
        <v>342</v>
      </c>
      <c r="H2" s="2"/>
      <c r="I2" s="7" t="s">
        <v>1</v>
      </c>
      <c r="J2" s="2">
        <f>AVERAGE(G1:G50)</f>
        <v>413.5</v>
      </c>
      <c r="K2" s="2"/>
      <c r="L2" s="2">
        <v>308</v>
      </c>
      <c r="M2" s="2"/>
      <c r="N2" s="7" t="s">
        <v>1</v>
      </c>
      <c r="O2" s="2">
        <f>AVERAGE(L1:L50)</f>
        <v>353.96</v>
      </c>
      <c r="P2" s="2"/>
      <c r="Q2" s="52" t="s">
        <v>14</v>
      </c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G2" s="54">
        <v>2021</v>
      </c>
      <c r="AH2" s="54"/>
    </row>
    <row r="3" spans="1:34" x14ac:dyDescent="0.3">
      <c r="A3" s="6"/>
      <c r="B3" s="2">
        <v>433</v>
      </c>
      <c r="C3" s="2"/>
      <c r="D3" s="7" t="s">
        <v>0</v>
      </c>
      <c r="E3" s="2">
        <f>_xlfn.STDEV.P(B1:B50)</f>
        <v>65.558526524015164</v>
      </c>
      <c r="F3" s="2"/>
      <c r="G3" s="2">
        <v>332</v>
      </c>
      <c r="H3" s="2"/>
      <c r="I3" s="7" t="s">
        <v>0</v>
      </c>
      <c r="J3" s="2">
        <f>_xlfn.STDEV.S(G1:G50)</f>
        <v>62.322810054274868</v>
      </c>
      <c r="K3" s="2"/>
      <c r="L3" s="2">
        <v>294</v>
      </c>
      <c r="M3" s="2"/>
      <c r="N3" s="7" t="s">
        <v>5</v>
      </c>
      <c r="O3" s="2">
        <f>_xlfn.STDEV.P(L1:L50)</f>
        <v>51.24722821772901</v>
      </c>
      <c r="P3" s="2"/>
      <c r="AG3" s="1"/>
    </row>
    <row r="4" spans="1:34" x14ac:dyDescent="0.3">
      <c r="A4" s="6"/>
      <c r="B4" s="2">
        <v>413</v>
      </c>
      <c r="C4" s="2"/>
      <c r="D4" s="2"/>
      <c r="E4" s="2"/>
      <c r="F4" s="2"/>
      <c r="G4" s="2">
        <v>349</v>
      </c>
      <c r="H4" s="2"/>
      <c r="I4" s="2"/>
      <c r="J4" s="2"/>
      <c r="K4" s="2"/>
      <c r="L4" s="2">
        <v>301</v>
      </c>
      <c r="M4" s="2"/>
      <c r="N4" s="2"/>
      <c r="O4" s="2"/>
      <c r="P4" s="2"/>
      <c r="AG4" s="4" t="s">
        <v>7</v>
      </c>
    </row>
    <row r="5" spans="1:34" x14ac:dyDescent="0.3">
      <c r="A5" s="6"/>
      <c r="B5" s="2">
        <v>396</v>
      </c>
      <c r="C5" s="2"/>
      <c r="D5" s="5" t="s">
        <v>8</v>
      </c>
      <c r="E5" s="2"/>
      <c r="F5" s="2"/>
      <c r="G5" s="2">
        <v>383</v>
      </c>
      <c r="H5" s="2"/>
      <c r="I5" s="5" t="s">
        <v>10</v>
      </c>
      <c r="J5" s="2"/>
      <c r="K5" s="2"/>
      <c r="L5" s="2">
        <v>305</v>
      </c>
      <c r="M5" s="2"/>
      <c r="N5" s="5" t="s">
        <v>12</v>
      </c>
      <c r="O5" s="2"/>
      <c r="P5" s="2"/>
      <c r="AG5" s="3" t="s">
        <v>1</v>
      </c>
      <c r="AH5">
        <f>63.09*2021-126963</f>
        <v>541.89000000001397</v>
      </c>
    </row>
    <row r="6" spans="1:34" x14ac:dyDescent="0.3">
      <c r="A6" s="6"/>
      <c r="B6" s="2">
        <v>388</v>
      </c>
      <c r="C6" s="2"/>
      <c r="D6" s="7" t="s">
        <v>1</v>
      </c>
      <c r="E6" s="2">
        <f>AVERAGE(B22:B46)</f>
        <v>541.24</v>
      </c>
      <c r="F6" s="2"/>
      <c r="G6" s="2">
        <v>350</v>
      </c>
      <c r="H6" s="2"/>
      <c r="I6" s="7" t="s">
        <v>1</v>
      </c>
      <c r="J6" s="2">
        <f>AVERAGE(G22:G46)</f>
        <v>470.72</v>
      </c>
      <c r="K6" s="2"/>
      <c r="L6" s="2">
        <v>298</v>
      </c>
      <c r="M6" s="2"/>
      <c r="N6" s="7" t="s">
        <v>1</v>
      </c>
      <c r="O6" s="2">
        <f>AVERAGE(L22:L46)</f>
        <v>401.6</v>
      </c>
      <c r="P6" s="2"/>
      <c r="AG6" s="3" t="s">
        <v>6</v>
      </c>
      <c r="AH6">
        <f>7.1556*2021-14388</f>
        <v>73.467599999999948</v>
      </c>
    </row>
    <row r="7" spans="1:34" x14ac:dyDescent="0.3">
      <c r="A7" s="6"/>
      <c r="B7" s="2">
        <v>417</v>
      </c>
      <c r="C7" s="2"/>
      <c r="D7" s="7" t="s">
        <v>0</v>
      </c>
      <c r="E7" s="2">
        <f>_xlfn.STDEV.P(B22:B46)</f>
        <v>29.358855563526316</v>
      </c>
      <c r="F7" s="2"/>
      <c r="G7" s="2">
        <v>365</v>
      </c>
      <c r="H7" s="2"/>
      <c r="I7" s="7" t="s">
        <v>0</v>
      </c>
      <c r="J7" s="2">
        <f>_xlfn.STDEV.P(G22:G46)</f>
        <v>25.895976521459858</v>
      </c>
      <c r="K7" s="2"/>
      <c r="L7" s="2">
        <v>343</v>
      </c>
      <c r="M7" s="2"/>
      <c r="N7" s="7" t="s">
        <v>0</v>
      </c>
      <c r="O7" s="2">
        <f>_xlfn.STDEV.P(L22:L46)</f>
        <v>19.563230817019971</v>
      </c>
      <c r="P7" s="2"/>
      <c r="AG7" s="1"/>
    </row>
    <row r="8" spans="1:34" x14ac:dyDescent="0.3">
      <c r="A8" s="6"/>
      <c r="B8" s="2">
        <v>410</v>
      </c>
      <c r="C8" s="2"/>
      <c r="D8" s="2"/>
      <c r="E8" s="2"/>
      <c r="F8" s="2"/>
      <c r="G8" s="2">
        <v>347</v>
      </c>
      <c r="H8" s="2"/>
      <c r="I8" s="2"/>
      <c r="J8" s="2"/>
      <c r="K8" s="2"/>
      <c r="L8" s="2">
        <v>288</v>
      </c>
      <c r="M8" s="2"/>
      <c r="N8" s="2"/>
      <c r="O8" s="2"/>
      <c r="P8" s="2"/>
      <c r="AG8" s="1"/>
    </row>
    <row r="9" spans="1:34" x14ac:dyDescent="0.3">
      <c r="A9" s="6"/>
      <c r="B9" s="2">
        <v>456</v>
      </c>
      <c r="C9" s="2"/>
      <c r="D9" s="5" t="s">
        <v>9</v>
      </c>
      <c r="E9" s="2"/>
      <c r="F9" s="2"/>
      <c r="G9" s="2">
        <v>343</v>
      </c>
      <c r="H9" s="2"/>
      <c r="I9" s="5" t="s">
        <v>11</v>
      </c>
      <c r="J9" s="2"/>
      <c r="K9" s="2"/>
      <c r="L9" s="2">
        <v>303</v>
      </c>
      <c r="M9" s="2"/>
      <c r="N9" s="5" t="s">
        <v>13</v>
      </c>
      <c r="O9" s="2"/>
      <c r="P9" s="2"/>
      <c r="AG9" s="1"/>
    </row>
    <row r="10" spans="1:34" x14ac:dyDescent="0.3">
      <c r="A10" s="6"/>
      <c r="B10" s="2">
        <v>436</v>
      </c>
      <c r="C10" s="2"/>
      <c r="D10" s="7" t="s">
        <v>1</v>
      </c>
      <c r="E10" s="2">
        <f>AVERAGE(B1:B21,B47:B50)</f>
        <v>419.04</v>
      </c>
      <c r="F10" s="2"/>
      <c r="G10" s="2">
        <v>348</v>
      </c>
      <c r="H10" s="2"/>
      <c r="I10" s="7" t="s">
        <v>1</v>
      </c>
      <c r="J10" s="2">
        <f>AVERAGE(G1:G21,G47:G50)</f>
        <v>356.28</v>
      </c>
      <c r="K10" s="2"/>
      <c r="L10" s="2">
        <v>313</v>
      </c>
      <c r="M10" s="2"/>
      <c r="N10" s="7" t="s">
        <v>1</v>
      </c>
      <c r="O10" s="2">
        <f>AVERAGE(L1:L21,L47:L50)</f>
        <v>306.32</v>
      </c>
      <c r="P10" s="2"/>
      <c r="AG10" s="1"/>
    </row>
    <row r="11" spans="1:34" x14ac:dyDescent="0.3">
      <c r="A11" s="6"/>
      <c r="B11" s="2">
        <v>403</v>
      </c>
      <c r="C11" s="2"/>
      <c r="D11" s="7" t="s">
        <v>0</v>
      </c>
      <c r="E11" s="2">
        <f>_xlfn.STDEV.P(B1:B21,B47:B50)</f>
        <v>16.35476688919778</v>
      </c>
      <c r="F11" s="2"/>
      <c r="G11" s="2">
        <v>331</v>
      </c>
      <c r="H11" s="2"/>
      <c r="I11" s="7" t="s">
        <v>0</v>
      </c>
      <c r="J11" s="2">
        <f>_xlfn.STDEV.P(G1:G21,G47:G50)</f>
        <v>19.850481102482128</v>
      </c>
      <c r="K11" s="2"/>
      <c r="L11" s="2">
        <v>320</v>
      </c>
      <c r="M11" s="2"/>
      <c r="N11" s="7" t="s">
        <v>0</v>
      </c>
      <c r="O11" s="2">
        <f>_xlfn.STDEV.P(L1:L21,L47:L50)</f>
        <v>18.185092796023891</v>
      </c>
      <c r="P11" s="2"/>
      <c r="AG11" s="1"/>
    </row>
    <row r="12" spans="1:34" x14ac:dyDescent="0.3">
      <c r="A12" s="6"/>
      <c r="B12" s="2">
        <v>405</v>
      </c>
      <c r="C12" s="2"/>
      <c r="D12" s="2"/>
      <c r="E12" s="2"/>
      <c r="F12" s="2"/>
      <c r="G12" s="2">
        <v>373</v>
      </c>
      <c r="H12" s="2"/>
      <c r="I12" s="2"/>
      <c r="J12" s="2"/>
      <c r="K12" s="2"/>
      <c r="L12" s="2">
        <v>277</v>
      </c>
      <c r="M12" s="2"/>
      <c r="N12" s="2"/>
      <c r="O12" s="2"/>
      <c r="P12" s="2"/>
      <c r="AG12" s="1"/>
    </row>
    <row r="13" spans="1:34" x14ac:dyDescent="0.3">
      <c r="A13" s="6"/>
      <c r="B13" s="2">
        <v>448</v>
      </c>
      <c r="C13" s="2"/>
      <c r="D13" s="2"/>
      <c r="E13" s="2"/>
      <c r="F13" s="2"/>
      <c r="G13" s="2">
        <v>376</v>
      </c>
      <c r="H13" s="2"/>
      <c r="I13" s="2"/>
      <c r="J13" s="2"/>
      <c r="K13" s="2"/>
      <c r="L13" s="2">
        <v>267</v>
      </c>
      <c r="M13" s="2"/>
      <c r="N13" s="2"/>
      <c r="O13" s="2"/>
      <c r="P13" s="2"/>
      <c r="AG13" s="1"/>
    </row>
    <row r="14" spans="1:34" x14ac:dyDescent="0.3">
      <c r="A14" s="6"/>
      <c r="B14" s="2">
        <v>405</v>
      </c>
      <c r="C14" s="2"/>
      <c r="D14" s="2"/>
      <c r="E14" s="2"/>
      <c r="F14" s="2"/>
      <c r="G14" s="2">
        <v>362</v>
      </c>
      <c r="H14" s="2"/>
      <c r="I14" s="2"/>
      <c r="J14" s="2"/>
      <c r="K14" s="2"/>
      <c r="L14" s="2">
        <v>301</v>
      </c>
      <c r="M14" s="2"/>
      <c r="N14" s="2"/>
      <c r="O14" s="2"/>
      <c r="P14" s="2"/>
    </row>
    <row r="15" spans="1:34" x14ac:dyDescent="0.3">
      <c r="A15" s="6"/>
      <c r="B15" s="2">
        <v>445</v>
      </c>
      <c r="C15" s="2"/>
      <c r="D15" s="2"/>
      <c r="E15" s="2"/>
      <c r="F15" s="2"/>
      <c r="G15" s="2">
        <v>352</v>
      </c>
      <c r="H15" s="2"/>
      <c r="I15" s="2"/>
      <c r="J15" s="2"/>
      <c r="K15" s="2"/>
      <c r="L15" s="2">
        <v>321</v>
      </c>
      <c r="M15" s="2"/>
      <c r="N15" s="2"/>
      <c r="O15" s="2"/>
      <c r="P15" s="2"/>
    </row>
    <row r="16" spans="1:34" x14ac:dyDescent="0.3">
      <c r="A16" s="6"/>
      <c r="B16" s="2">
        <v>416</v>
      </c>
      <c r="C16" s="2"/>
      <c r="D16" s="2"/>
      <c r="E16" s="2"/>
      <c r="F16" s="2"/>
      <c r="G16" s="2">
        <v>360</v>
      </c>
      <c r="H16" s="2"/>
      <c r="I16" s="2"/>
      <c r="J16" s="2"/>
      <c r="K16" s="2"/>
      <c r="L16" s="2">
        <v>318</v>
      </c>
      <c r="M16" s="2"/>
      <c r="N16" s="2"/>
      <c r="O16" s="2"/>
      <c r="P16" s="2"/>
    </row>
    <row r="17" spans="1:34" x14ac:dyDescent="0.3">
      <c r="A17" s="8"/>
      <c r="B17" s="2">
        <v>417</v>
      </c>
      <c r="C17" s="2"/>
      <c r="D17" s="9"/>
      <c r="E17" s="2"/>
      <c r="F17" s="2"/>
      <c r="G17" s="2">
        <v>413</v>
      </c>
      <c r="H17" s="2"/>
      <c r="I17" s="2"/>
      <c r="J17" s="2"/>
      <c r="K17" s="2"/>
      <c r="L17" s="2">
        <v>297</v>
      </c>
      <c r="M17" s="2"/>
      <c r="N17" s="2"/>
      <c r="O17" s="2"/>
      <c r="P17" s="2"/>
    </row>
    <row r="18" spans="1:34" x14ac:dyDescent="0.3">
      <c r="A18" s="6"/>
      <c r="B18" s="2">
        <v>432</v>
      </c>
      <c r="C18" s="2"/>
      <c r="D18" s="2"/>
      <c r="E18" s="2"/>
      <c r="F18" s="2"/>
      <c r="G18" s="2">
        <v>351</v>
      </c>
      <c r="H18" s="2"/>
      <c r="I18" s="2"/>
      <c r="J18" s="2"/>
      <c r="K18" s="2"/>
      <c r="L18" s="2">
        <v>330</v>
      </c>
      <c r="M18" s="2"/>
      <c r="N18" s="2"/>
      <c r="O18" s="2"/>
      <c r="P18" s="2"/>
    </row>
    <row r="19" spans="1:34" ht="18" x14ac:dyDescent="0.35">
      <c r="A19" s="6"/>
      <c r="B19" s="2">
        <v>425</v>
      </c>
      <c r="C19" s="2"/>
      <c r="D19" s="2"/>
      <c r="E19" s="2"/>
      <c r="F19" s="2"/>
      <c r="G19" s="2">
        <v>361</v>
      </c>
      <c r="H19" s="2"/>
      <c r="I19" s="2"/>
      <c r="J19" s="2"/>
      <c r="K19" s="2"/>
      <c r="L19" s="2">
        <v>299</v>
      </c>
      <c r="M19" s="2"/>
      <c r="N19" s="2"/>
      <c r="O19" s="2"/>
      <c r="P19" s="2"/>
      <c r="Q19" s="53" t="s">
        <v>15</v>
      </c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</row>
    <row r="20" spans="1:34" x14ac:dyDescent="0.3">
      <c r="A20" s="6"/>
      <c r="B20" s="2">
        <v>416</v>
      </c>
      <c r="C20" s="2"/>
      <c r="D20" s="2"/>
      <c r="E20" s="2"/>
      <c r="F20" s="2"/>
      <c r="G20" s="2">
        <v>345</v>
      </c>
      <c r="H20" s="2"/>
      <c r="I20" s="2"/>
      <c r="J20" s="2"/>
      <c r="K20" s="2"/>
      <c r="L20" s="2">
        <v>331</v>
      </c>
      <c r="M20" s="2"/>
      <c r="N20" s="2"/>
      <c r="O20" s="2"/>
      <c r="P20" s="2"/>
    </row>
    <row r="21" spans="1:34" x14ac:dyDescent="0.3">
      <c r="A21" s="6"/>
      <c r="B21" s="2">
        <v>413</v>
      </c>
      <c r="C21" s="2"/>
      <c r="D21" s="2"/>
      <c r="E21" s="2"/>
      <c r="F21" s="2"/>
      <c r="G21" s="2">
        <v>314</v>
      </c>
      <c r="H21" s="2"/>
      <c r="I21" s="2"/>
      <c r="J21" s="2"/>
      <c r="K21" s="2"/>
      <c r="L21" s="2">
        <v>299</v>
      </c>
      <c r="M21" s="2"/>
      <c r="N21" s="2"/>
      <c r="O21" s="2"/>
      <c r="P21" s="2"/>
      <c r="AG21" s="10" t="s">
        <v>16</v>
      </c>
      <c r="AH21" s="11"/>
    </row>
    <row r="22" spans="1:34" x14ac:dyDescent="0.3">
      <c r="A22" s="6"/>
      <c r="B22" s="2">
        <v>415</v>
      </c>
      <c r="C22" s="2"/>
      <c r="D22" s="2"/>
      <c r="E22" s="2"/>
      <c r="F22" s="2"/>
      <c r="G22" s="2">
        <v>383</v>
      </c>
      <c r="H22" s="2"/>
      <c r="I22" s="2"/>
      <c r="J22" s="2"/>
      <c r="K22" s="2"/>
      <c r="L22" s="2">
        <v>340</v>
      </c>
      <c r="M22" s="2"/>
      <c r="N22" s="2"/>
      <c r="O22" s="2"/>
      <c r="P22" s="2"/>
      <c r="AG22" s="12" t="s">
        <v>1</v>
      </c>
      <c r="AH22" s="11">
        <f>69.82*2021-140495</f>
        <v>611.21999999997206</v>
      </c>
    </row>
    <row r="23" spans="1:34" x14ac:dyDescent="0.3">
      <c r="A23" s="6"/>
      <c r="B23" s="2">
        <v>537</v>
      </c>
      <c r="C23" s="2"/>
      <c r="D23" s="2"/>
      <c r="E23" s="2"/>
      <c r="F23" s="2"/>
      <c r="G23" s="2">
        <v>500</v>
      </c>
      <c r="H23" s="2"/>
      <c r="I23" s="2"/>
      <c r="J23" s="2"/>
      <c r="K23" s="2"/>
      <c r="L23" s="2">
        <v>400</v>
      </c>
      <c r="M23" s="2"/>
      <c r="N23" s="2"/>
      <c r="O23" s="2"/>
      <c r="P23" s="2"/>
      <c r="AG23" s="12" t="s">
        <v>6</v>
      </c>
      <c r="AH23" s="11">
        <f>4.8978*2021-9863.7</f>
        <v>34.75380000000041</v>
      </c>
    </row>
    <row r="24" spans="1:34" x14ac:dyDescent="0.3">
      <c r="A24" s="6"/>
      <c r="B24" s="2">
        <v>521</v>
      </c>
      <c r="C24" s="2"/>
      <c r="D24" s="2"/>
      <c r="E24" s="2"/>
      <c r="F24" s="2"/>
      <c r="G24" s="2">
        <v>447</v>
      </c>
      <c r="H24" s="2"/>
      <c r="I24" s="2"/>
      <c r="J24" s="2"/>
      <c r="K24" s="2"/>
      <c r="L24" s="2">
        <v>422</v>
      </c>
      <c r="M24" s="2"/>
      <c r="N24" s="2"/>
      <c r="O24" s="2"/>
      <c r="P24" s="2"/>
    </row>
    <row r="25" spans="1:34" x14ac:dyDescent="0.3">
      <c r="A25" s="6"/>
      <c r="B25" s="2">
        <v>555</v>
      </c>
      <c r="C25" s="2"/>
      <c r="D25" s="2"/>
      <c r="E25" s="2"/>
      <c r="F25" s="2"/>
      <c r="G25" s="2">
        <v>471</v>
      </c>
      <c r="H25" s="2"/>
      <c r="I25" s="2"/>
      <c r="J25" s="2"/>
      <c r="K25" s="2"/>
      <c r="L25" s="2">
        <v>409</v>
      </c>
      <c r="M25" s="2"/>
      <c r="N25" s="2"/>
      <c r="O25" s="2"/>
      <c r="P25" s="2"/>
    </row>
    <row r="26" spans="1:34" x14ac:dyDescent="0.3">
      <c r="A26" s="6"/>
      <c r="B26" s="2">
        <v>543</v>
      </c>
      <c r="C26" s="2"/>
      <c r="D26" s="2"/>
      <c r="E26" s="2"/>
      <c r="F26" s="2"/>
      <c r="G26" s="2">
        <v>484</v>
      </c>
      <c r="H26" s="2"/>
      <c r="I26" s="2"/>
      <c r="J26" s="2"/>
      <c r="K26" s="2"/>
      <c r="L26" s="2">
        <v>402</v>
      </c>
      <c r="M26" s="2"/>
      <c r="N26" s="2"/>
      <c r="O26" s="2"/>
      <c r="P26" s="2"/>
    </row>
    <row r="27" spans="1:34" x14ac:dyDescent="0.3">
      <c r="A27" s="6"/>
      <c r="B27" s="2">
        <v>551</v>
      </c>
      <c r="C27" s="2"/>
      <c r="D27" s="2"/>
      <c r="E27" s="2"/>
      <c r="F27" s="2"/>
      <c r="G27" s="2">
        <v>497</v>
      </c>
      <c r="H27" s="2"/>
      <c r="I27" s="2"/>
      <c r="J27" s="2"/>
      <c r="K27" s="2"/>
      <c r="L27" s="2">
        <v>387</v>
      </c>
      <c r="M27" s="2"/>
      <c r="N27" s="2"/>
      <c r="O27" s="2"/>
      <c r="P27" s="2"/>
    </row>
    <row r="28" spans="1:34" x14ac:dyDescent="0.3">
      <c r="A28" s="6"/>
      <c r="B28" s="2">
        <v>546</v>
      </c>
      <c r="C28" s="2"/>
      <c r="D28" s="2"/>
      <c r="E28" s="2"/>
      <c r="F28" s="2"/>
      <c r="G28" s="2">
        <v>465</v>
      </c>
      <c r="H28" s="2"/>
      <c r="I28" s="2"/>
      <c r="J28" s="2"/>
      <c r="K28" s="2"/>
      <c r="L28" s="2">
        <v>389</v>
      </c>
      <c r="M28" s="2"/>
      <c r="N28" s="2"/>
      <c r="O28" s="2"/>
      <c r="P28" s="2"/>
    </row>
    <row r="29" spans="1:34" x14ac:dyDescent="0.3">
      <c r="A29" s="6"/>
      <c r="B29" s="2">
        <v>552</v>
      </c>
      <c r="C29" s="2"/>
      <c r="D29" s="2"/>
      <c r="E29" s="2"/>
      <c r="F29" s="2"/>
      <c r="G29" s="2">
        <v>474</v>
      </c>
      <c r="H29" s="2"/>
      <c r="I29" s="2"/>
      <c r="J29" s="2"/>
      <c r="K29" s="2"/>
      <c r="L29" s="2">
        <v>437</v>
      </c>
      <c r="M29" s="2"/>
      <c r="N29" s="2"/>
      <c r="O29" s="2"/>
      <c r="P29" s="2"/>
    </row>
    <row r="30" spans="1:34" x14ac:dyDescent="0.3">
      <c r="A30" s="6"/>
      <c r="B30" s="2">
        <v>564</v>
      </c>
      <c r="C30" s="2"/>
      <c r="D30" s="2"/>
      <c r="E30" s="2"/>
      <c r="F30" s="2"/>
      <c r="G30" s="2">
        <v>467</v>
      </c>
      <c r="H30" s="2"/>
      <c r="I30" s="2"/>
      <c r="J30" s="2"/>
      <c r="K30" s="2"/>
      <c r="L30" s="2">
        <v>411</v>
      </c>
      <c r="M30" s="2"/>
      <c r="N30" s="2"/>
      <c r="O30" s="2"/>
      <c r="P30" s="2"/>
    </row>
    <row r="31" spans="1:34" x14ac:dyDescent="0.3">
      <c r="A31" s="6"/>
      <c r="B31" s="2">
        <v>571</v>
      </c>
      <c r="C31" s="2"/>
      <c r="D31" s="2"/>
      <c r="E31" s="2"/>
      <c r="F31" s="2"/>
      <c r="G31" s="2">
        <v>465</v>
      </c>
      <c r="H31" s="2"/>
      <c r="I31" s="2"/>
      <c r="J31" s="2"/>
      <c r="K31" s="2"/>
      <c r="L31" s="2">
        <v>385</v>
      </c>
      <c r="M31" s="2"/>
      <c r="N31" s="2"/>
      <c r="O31" s="2"/>
      <c r="P31" s="2"/>
    </row>
    <row r="32" spans="1:34" x14ac:dyDescent="0.3">
      <c r="A32" s="6"/>
      <c r="B32" s="2">
        <v>541</v>
      </c>
      <c r="C32" s="2"/>
      <c r="D32" s="2"/>
      <c r="E32" s="2"/>
      <c r="F32" s="2"/>
      <c r="G32" s="2">
        <v>429</v>
      </c>
      <c r="H32" s="2"/>
      <c r="I32" s="2"/>
      <c r="J32" s="2"/>
      <c r="K32" s="2"/>
      <c r="L32" s="2">
        <v>390</v>
      </c>
      <c r="M32" s="2"/>
      <c r="N32" s="2"/>
      <c r="O32" s="2"/>
      <c r="P32" s="2"/>
    </row>
    <row r="33" spans="1:34" x14ac:dyDescent="0.3">
      <c r="A33" s="6"/>
      <c r="B33" s="2">
        <v>550</v>
      </c>
      <c r="C33" s="2"/>
      <c r="D33" s="2"/>
      <c r="E33" s="2"/>
      <c r="F33" s="2"/>
      <c r="G33" s="2">
        <v>478</v>
      </c>
      <c r="H33" s="2"/>
      <c r="I33" s="2"/>
      <c r="J33" s="2"/>
      <c r="K33" s="2"/>
      <c r="L33" s="2">
        <v>401</v>
      </c>
      <c r="M33" s="2"/>
      <c r="N33" s="2"/>
      <c r="O33" s="2"/>
      <c r="P33" s="2"/>
    </row>
    <row r="34" spans="1:34" x14ac:dyDescent="0.3">
      <c r="A34" s="6"/>
      <c r="B34" s="2">
        <v>545</v>
      </c>
      <c r="C34" s="2"/>
      <c r="D34" s="2"/>
      <c r="E34" s="2"/>
      <c r="F34" s="2"/>
      <c r="G34" s="2">
        <v>450</v>
      </c>
      <c r="H34" s="2"/>
      <c r="I34" s="2"/>
      <c r="J34" s="2"/>
      <c r="K34" s="2"/>
      <c r="L34" s="2">
        <v>394</v>
      </c>
      <c r="M34" s="2"/>
      <c r="N34" s="2"/>
      <c r="O34" s="2"/>
      <c r="P34" s="2"/>
    </row>
    <row r="35" spans="1:34" x14ac:dyDescent="0.3">
      <c r="A35" s="6"/>
      <c r="B35" s="2">
        <v>540</v>
      </c>
      <c r="C35" s="2"/>
      <c r="D35" s="2"/>
      <c r="E35" s="2"/>
      <c r="F35" s="2"/>
      <c r="G35" s="2">
        <v>491</v>
      </c>
      <c r="H35" s="2"/>
      <c r="I35" s="2"/>
      <c r="J35" s="2"/>
      <c r="K35" s="2"/>
      <c r="L35" s="2">
        <v>397</v>
      </c>
      <c r="M35" s="2"/>
      <c r="N35" s="2"/>
      <c r="O35" s="2"/>
      <c r="P35" s="2"/>
    </row>
    <row r="36" spans="1:34" ht="18" x14ac:dyDescent="0.35">
      <c r="A36" s="6"/>
      <c r="B36" s="2">
        <v>536</v>
      </c>
      <c r="C36" s="2"/>
      <c r="D36" s="2"/>
      <c r="E36" s="2"/>
      <c r="F36" s="2"/>
      <c r="G36" s="2">
        <v>471</v>
      </c>
      <c r="H36" s="2"/>
      <c r="I36" s="2"/>
      <c r="J36" s="2"/>
      <c r="K36" s="2"/>
      <c r="L36" s="2">
        <v>408</v>
      </c>
      <c r="M36" s="2"/>
      <c r="N36" s="2"/>
      <c r="O36" s="2"/>
      <c r="P36" s="2"/>
      <c r="Q36" s="53" t="s">
        <v>17</v>
      </c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</row>
    <row r="37" spans="1:34" x14ac:dyDescent="0.3">
      <c r="A37" s="6"/>
      <c r="B37" s="2">
        <v>536</v>
      </c>
      <c r="C37" s="2"/>
      <c r="D37" s="2"/>
      <c r="E37" s="2"/>
      <c r="F37" s="2"/>
      <c r="G37" s="2">
        <v>492</v>
      </c>
      <c r="H37" s="2"/>
      <c r="I37" s="2"/>
      <c r="J37" s="2"/>
      <c r="K37" s="2"/>
      <c r="L37" s="2">
        <v>418</v>
      </c>
      <c r="M37" s="2"/>
      <c r="N37" s="2"/>
      <c r="O37" s="2"/>
      <c r="P37" s="2"/>
    </row>
    <row r="38" spans="1:34" x14ac:dyDescent="0.3">
      <c r="A38" s="6"/>
      <c r="B38" s="2">
        <v>548</v>
      </c>
      <c r="C38" s="2"/>
      <c r="D38" s="2"/>
      <c r="E38" s="2"/>
      <c r="F38" s="2"/>
      <c r="G38" s="2">
        <v>485</v>
      </c>
      <c r="H38" s="2"/>
      <c r="I38" s="2"/>
      <c r="J38" s="2"/>
      <c r="K38" s="2"/>
      <c r="L38" s="2">
        <v>424</v>
      </c>
      <c r="M38" s="2"/>
      <c r="N38" s="2"/>
      <c r="O38" s="2"/>
      <c r="P38" s="2"/>
    </row>
    <row r="39" spans="1:34" x14ac:dyDescent="0.3">
      <c r="A39" s="6"/>
      <c r="B39" s="2">
        <v>557</v>
      </c>
      <c r="C39" s="2"/>
      <c r="D39" s="2"/>
      <c r="E39" s="2"/>
      <c r="F39" s="2"/>
      <c r="G39" s="2">
        <v>501</v>
      </c>
      <c r="H39" s="2"/>
      <c r="I39" s="2"/>
      <c r="J39" s="2"/>
      <c r="K39" s="2"/>
      <c r="L39" s="2">
        <v>391</v>
      </c>
      <c r="M39" s="2"/>
      <c r="N39" s="2"/>
      <c r="O39" s="2"/>
      <c r="P39" s="2"/>
      <c r="AG39" s="4" t="s">
        <v>18</v>
      </c>
    </row>
    <row r="40" spans="1:34" x14ac:dyDescent="0.3">
      <c r="A40" s="6"/>
      <c r="B40" s="2">
        <v>587</v>
      </c>
      <c r="C40" s="2"/>
      <c r="D40" s="2"/>
      <c r="E40" s="2"/>
      <c r="F40" s="2"/>
      <c r="G40" s="2">
        <v>454</v>
      </c>
      <c r="H40" s="2"/>
      <c r="I40" s="2"/>
      <c r="J40" s="2"/>
      <c r="K40" s="2"/>
      <c r="L40" s="2">
        <v>394</v>
      </c>
      <c r="M40" s="2"/>
      <c r="N40" s="2"/>
      <c r="O40" s="2"/>
      <c r="P40" s="2"/>
      <c r="AG40" s="3" t="s">
        <v>1</v>
      </c>
      <c r="AH40">
        <f>56.36*2021-113430</f>
        <v>473.55999999999767</v>
      </c>
    </row>
    <row r="41" spans="1:34" x14ac:dyDescent="0.3">
      <c r="A41" s="6"/>
      <c r="B41" s="2">
        <v>539</v>
      </c>
      <c r="C41" s="2"/>
      <c r="D41" s="2"/>
      <c r="E41" s="2"/>
      <c r="F41" s="2"/>
      <c r="G41" s="2">
        <v>478</v>
      </c>
      <c r="H41" s="2"/>
      <c r="I41" s="2"/>
      <c r="J41" s="2"/>
      <c r="K41" s="2"/>
      <c r="L41" s="2">
        <v>407</v>
      </c>
      <c r="M41" s="2"/>
      <c r="N41" s="2"/>
      <c r="O41" s="2"/>
      <c r="P41" s="2"/>
      <c r="AG41" s="3" t="s">
        <v>6</v>
      </c>
      <c r="AH41">
        <f>-0.9152*2021+1865.8</f>
        <v>16.180799999999863</v>
      </c>
    </row>
    <row r="42" spans="1:34" x14ac:dyDescent="0.3">
      <c r="A42" s="6"/>
      <c r="B42" s="2">
        <v>545</v>
      </c>
      <c r="C42" s="2"/>
      <c r="D42" s="2"/>
      <c r="E42" s="2"/>
      <c r="F42" s="2"/>
      <c r="G42" s="2">
        <v>475</v>
      </c>
      <c r="H42" s="2"/>
      <c r="I42" s="2"/>
      <c r="J42" s="2"/>
      <c r="K42" s="2"/>
      <c r="L42" s="2">
        <v>380</v>
      </c>
      <c r="M42" s="2"/>
      <c r="N42" s="2"/>
      <c r="O42" s="2"/>
      <c r="P42" s="2"/>
    </row>
    <row r="43" spans="1:34" x14ac:dyDescent="0.3">
      <c r="A43" s="6"/>
      <c r="B43" s="2">
        <v>541</v>
      </c>
      <c r="C43" s="2"/>
      <c r="D43" s="2"/>
      <c r="E43" s="2"/>
      <c r="F43" s="2"/>
      <c r="G43" s="2">
        <v>476</v>
      </c>
      <c r="H43" s="2"/>
      <c r="I43" s="2"/>
      <c r="J43" s="2"/>
      <c r="K43" s="2"/>
      <c r="L43" s="2">
        <v>419</v>
      </c>
      <c r="M43" s="2"/>
      <c r="N43" s="2"/>
      <c r="O43" s="2"/>
      <c r="P43" s="2"/>
    </row>
    <row r="44" spans="1:34" x14ac:dyDescent="0.3">
      <c r="A44" s="6"/>
      <c r="B44" s="2">
        <v>558</v>
      </c>
      <c r="C44" s="2"/>
      <c r="D44" s="2"/>
      <c r="E44" s="2"/>
      <c r="F44" s="2"/>
      <c r="G44" s="2">
        <v>446</v>
      </c>
      <c r="H44" s="2"/>
      <c r="I44" s="2"/>
      <c r="J44" s="2"/>
      <c r="K44" s="2"/>
      <c r="L44" s="2">
        <v>412</v>
      </c>
      <c r="M44" s="2"/>
      <c r="N44" s="2"/>
      <c r="O44" s="2"/>
      <c r="P44" s="2"/>
    </row>
    <row r="45" spans="1:34" x14ac:dyDescent="0.3">
      <c r="A45" s="6"/>
      <c r="B45" s="2">
        <v>533</v>
      </c>
      <c r="C45" s="2"/>
      <c r="D45" s="2"/>
      <c r="E45" s="2"/>
      <c r="F45" s="2"/>
      <c r="G45" s="2">
        <v>508</v>
      </c>
      <c r="H45" s="2"/>
      <c r="I45" s="2"/>
      <c r="J45" s="2"/>
      <c r="K45" s="2"/>
      <c r="L45" s="2">
        <v>434</v>
      </c>
      <c r="M45" s="2"/>
      <c r="N45" s="2"/>
      <c r="O45" s="2"/>
      <c r="P45" s="2"/>
    </row>
    <row r="46" spans="1:34" x14ac:dyDescent="0.3">
      <c r="A46" s="6"/>
      <c r="B46" s="2">
        <v>520</v>
      </c>
      <c r="C46" s="2"/>
      <c r="D46" s="2"/>
      <c r="E46" s="2"/>
      <c r="F46" s="2"/>
      <c r="G46" s="2">
        <v>481</v>
      </c>
      <c r="H46" s="2"/>
      <c r="I46" s="2"/>
      <c r="J46" s="2"/>
      <c r="K46" s="2"/>
      <c r="L46" s="2">
        <v>389</v>
      </c>
      <c r="M46" s="2"/>
      <c r="N46" s="2"/>
      <c r="O46" s="2"/>
      <c r="P46" s="2"/>
    </row>
    <row r="47" spans="1:34" x14ac:dyDescent="0.3">
      <c r="A47" s="6"/>
      <c r="B47" s="2">
        <v>420</v>
      </c>
      <c r="C47" s="2"/>
      <c r="D47" s="2"/>
      <c r="E47" s="2"/>
      <c r="F47" s="2"/>
      <c r="G47" s="2">
        <v>365</v>
      </c>
      <c r="H47" s="2"/>
      <c r="I47" s="2"/>
      <c r="J47" s="2"/>
      <c r="K47" s="2"/>
      <c r="L47" s="2">
        <v>320</v>
      </c>
      <c r="M47" s="2"/>
      <c r="N47" s="2"/>
      <c r="O47" s="2"/>
      <c r="P47" s="2"/>
    </row>
    <row r="48" spans="1:34" x14ac:dyDescent="0.3">
      <c r="A48" s="6"/>
      <c r="B48" s="2">
        <v>427</v>
      </c>
      <c r="C48" s="2"/>
      <c r="D48" s="2"/>
      <c r="E48" s="2"/>
      <c r="F48" s="2"/>
      <c r="G48" s="2">
        <v>337</v>
      </c>
      <c r="H48" s="2"/>
      <c r="I48" s="2"/>
      <c r="J48" s="2"/>
      <c r="K48" s="2"/>
      <c r="L48" s="2">
        <v>292</v>
      </c>
      <c r="M48" s="2"/>
      <c r="N48" s="2"/>
      <c r="O48" s="2"/>
      <c r="P48" s="2"/>
    </row>
    <row r="49" spans="1:16" x14ac:dyDescent="0.3">
      <c r="A49" s="6"/>
      <c r="B49" s="2">
        <v>401</v>
      </c>
      <c r="C49" s="2"/>
      <c r="D49" s="2"/>
      <c r="E49" s="2"/>
      <c r="F49" s="2"/>
      <c r="G49" s="2">
        <v>360</v>
      </c>
      <c r="H49" s="2"/>
      <c r="I49" s="2"/>
      <c r="J49" s="2"/>
      <c r="K49" s="2"/>
      <c r="L49" s="2">
        <v>331</v>
      </c>
      <c r="M49" s="2"/>
      <c r="N49" s="2"/>
      <c r="O49" s="2"/>
      <c r="P49" s="2"/>
    </row>
    <row r="50" spans="1:16" x14ac:dyDescent="0.3">
      <c r="A50" s="6"/>
      <c r="B50" s="2">
        <v>423</v>
      </c>
      <c r="C50" s="2"/>
      <c r="D50" s="2"/>
      <c r="E50" s="2"/>
      <c r="F50" s="2"/>
      <c r="G50" s="2">
        <v>384</v>
      </c>
      <c r="H50" s="2"/>
      <c r="I50" s="2"/>
      <c r="J50" s="2"/>
      <c r="K50" s="2"/>
      <c r="L50" s="2">
        <v>322</v>
      </c>
      <c r="M50" s="2"/>
      <c r="N50" s="2"/>
      <c r="O50" s="2"/>
      <c r="P50" s="2"/>
    </row>
  </sheetData>
  <sortState xmlns:xlrd2="http://schemas.microsoft.com/office/spreadsheetml/2017/richdata2" ref="A1:B50">
    <sortCondition ref="B1:B50"/>
  </sortState>
  <mergeCells count="4">
    <mergeCell ref="Q2:AE2"/>
    <mergeCell ref="Q19:AE19"/>
    <mergeCell ref="Q36:AE36"/>
    <mergeCell ref="AG2:AH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36EA4-B816-4F0A-A8EF-B4E20A7743EB}">
  <dimension ref="A1:AV71"/>
  <sheetViews>
    <sheetView tabSelected="1" zoomScale="80" zoomScaleNormal="80" workbookViewId="0">
      <selection activeCell="H23" sqref="H23"/>
    </sheetView>
  </sheetViews>
  <sheetFormatPr defaultRowHeight="14.4" x14ac:dyDescent="0.3"/>
  <cols>
    <col min="3" max="3" width="12.33203125" customWidth="1"/>
    <col min="4" max="4" width="13" customWidth="1"/>
    <col min="5" max="5" width="18" bestFit="1" customWidth="1"/>
    <col min="6" max="6" width="18" customWidth="1"/>
    <col min="7" max="7" width="11.5546875" bestFit="1" customWidth="1"/>
    <col min="9" max="9" width="15.44140625" customWidth="1"/>
    <col min="10" max="10" width="5.6640625" bestFit="1" customWidth="1"/>
    <col min="11" max="11" width="11" bestFit="1" customWidth="1"/>
    <col min="12" max="12" width="13.33203125" bestFit="1" customWidth="1"/>
    <col min="13" max="13" width="8.77734375" customWidth="1"/>
    <col min="14" max="14" width="15.109375" bestFit="1" customWidth="1"/>
    <col min="15" max="15" width="12.109375" bestFit="1" customWidth="1"/>
    <col min="16" max="16" width="12.6640625" customWidth="1"/>
    <col min="17" max="17" width="11.6640625" bestFit="1" customWidth="1"/>
    <col min="18" max="18" width="13.77734375" customWidth="1"/>
    <col min="19" max="19" width="12.6640625" customWidth="1"/>
    <col min="20" max="20" width="10" customWidth="1"/>
    <col min="21" max="21" width="26.109375" bestFit="1" customWidth="1"/>
    <col min="22" max="22" width="16.88671875" bestFit="1" customWidth="1"/>
    <col min="23" max="23" width="17.6640625" bestFit="1" customWidth="1"/>
    <col min="24" max="24" width="26.109375" bestFit="1" customWidth="1"/>
    <col min="25" max="25" width="12.21875" bestFit="1" customWidth="1"/>
    <col min="31" max="31" width="15.44140625" customWidth="1"/>
    <col min="32" max="32" width="10.77734375" customWidth="1"/>
    <col min="33" max="33" width="11.44140625" customWidth="1"/>
    <col min="34" max="34" width="11.77734375" customWidth="1"/>
  </cols>
  <sheetData>
    <row r="1" spans="1:48" ht="32.4" customHeight="1" x14ac:dyDescent="0.3">
      <c r="A1" s="2"/>
      <c r="B1" s="25" t="s">
        <v>19</v>
      </c>
      <c r="C1" s="25" t="s">
        <v>23</v>
      </c>
      <c r="D1" s="25" t="s">
        <v>26</v>
      </c>
      <c r="E1" s="26" t="s">
        <v>67</v>
      </c>
      <c r="F1" s="26" t="s">
        <v>68</v>
      </c>
      <c r="G1" s="26" t="s">
        <v>44</v>
      </c>
      <c r="H1" s="25" t="s">
        <v>27</v>
      </c>
      <c r="I1" s="25" t="s">
        <v>39</v>
      </c>
      <c r="J1" s="25" t="s">
        <v>38</v>
      </c>
      <c r="K1" s="25" t="s">
        <v>28</v>
      </c>
      <c r="L1" s="26" t="s">
        <v>29</v>
      </c>
      <c r="M1" s="26" t="s">
        <v>30</v>
      </c>
      <c r="N1" s="26" t="s">
        <v>45</v>
      </c>
      <c r="O1" s="26" t="s">
        <v>57</v>
      </c>
      <c r="P1" s="26" t="s">
        <v>52</v>
      </c>
      <c r="Q1" s="26" t="s">
        <v>53</v>
      </c>
      <c r="R1" s="26" t="s">
        <v>54</v>
      </c>
      <c r="S1" s="26" t="s">
        <v>55</v>
      </c>
      <c r="T1" s="31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1:48" ht="14.4" customHeight="1" x14ac:dyDescent="0.3">
      <c r="A2" s="2"/>
      <c r="B2" s="14">
        <v>1</v>
      </c>
      <c r="C2" s="20">
        <f ca="1">INT(W8+(V8-W8)*RAND())</f>
        <v>2550</v>
      </c>
      <c r="D2" s="21">
        <f t="shared" ref="D2:D33" ca="1" si="0">C2-M2</f>
        <v>2103</v>
      </c>
      <c r="E2" s="14">
        <f ca="1">IF(N2=0,0,C2-M2-INT(N2*V$21))</f>
        <v>0</v>
      </c>
      <c r="F2" s="14">
        <f t="shared" ref="F2:F51" ca="1" si="1">IF(N2&gt;0,INT(N2*W$21),0)</f>
        <v>0</v>
      </c>
      <c r="G2" s="14">
        <f t="shared" ref="G2:G33" ca="1" si="2">(C2+D2)/2</f>
        <v>2326.5</v>
      </c>
      <c r="H2" s="14">
        <f ca="1">INT(NORMINV(RAND(),$V$13,$V$14))</f>
        <v>447</v>
      </c>
      <c r="I2" s="14">
        <f>0</f>
        <v>0</v>
      </c>
      <c r="J2" s="14"/>
      <c r="K2" s="14">
        <f t="shared" ref="K2:K21" si="3">IF(MOD(B2,$V$10)=0,IF(D2&lt;$W$8,1,0),0)</f>
        <v>0</v>
      </c>
      <c r="L2" s="14">
        <f t="shared" ref="L2:L22" ca="1" si="4">K2*($V$8-D2)</f>
        <v>0</v>
      </c>
      <c r="M2" s="14">
        <f t="shared" ref="M2:M33" ca="1" si="5">IF(C2&gt;H2,H2,IF(C2&gt;0,C2,0))</f>
        <v>447</v>
      </c>
      <c r="N2" s="14">
        <f t="shared" ref="N2:N33" ca="1" si="6">IF(C2&lt;H2,H2-C2,0)</f>
        <v>0</v>
      </c>
      <c r="O2" s="14">
        <f ca="1">IF(N2&gt;0,1,0)</f>
        <v>0</v>
      </c>
      <c r="P2" s="37">
        <f t="shared" ref="P2:P33" si="7">K2*V$19</f>
        <v>0</v>
      </c>
      <c r="Q2" s="37">
        <f t="shared" ref="Q2:Q33" ca="1" si="8">V$18*N2</f>
        <v>0</v>
      </c>
      <c r="R2" s="38">
        <f t="shared" ref="R2:R33" ca="1" si="9">V$17*G2</f>
        <v>802.64249999999993</v>
      </c>
      <c r="S2" s="39">
        <f t="shared" ref="S2:S33" ca="1" si="10">P2+Q2+R2</f>
        <v>802.64249999999993</v>
      </c>
      <c r="T2" s="32"/>
      <c r="U2" s="2"/>
      <c r="V2" s="55"/>
      <c r="W2" s="55"/>
      <c r="X2" s="55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</row>
    <row r="3" spans="1:48" x14ac:dyDescent="0.3">
      <c r="A3" s="2"/>
      <c r="B3" s="14">
        <v>2</v>
      </c>
      <c r="C3" s="19">
        <f t="shared" ref="C3:C51" ca="1" si="11">IF(D2+I3+E2&lt;0,0,INT(D2+I3+E2))</f>
        <v>2103</v>
      </c>
      <c r="D3" s="21">
        <f t="shared" ca="1" si="0"/>
        <v>1630</v>
      </c>
      <c r="E3" s="14">
        <f t="shared" ref="E3:E51" ca="1" si="12">IF(N3=0,0,C3-M3-INT(N3*V$21)+E2)</f>
        <v>0</v>
      </c>
      <c r="F3" s="14">
        <f t="shared" ca="1" si="1"/>
        <v>0</v>
      </c>
      <c r="G3" s="14">
        <f t="shared" ca="1" si="2"/>
        <v>1866.5</v>
      </c>
      <c r="H3" s="14">
        <f t="shared" ref="H3:H22" ca="1" si="13">INT(NORMINV(RAND(),$V$13,$V$14))</f>
        <v>473</v>
      </c>
      <c r="I3" s="14" cm="1">
        <f t="array" aca="1" ref="I3" ca="1">IF(J3=0,IF(MOD(B3,4)=0,INDEX(L$2:L$51,B3-4,),INDEX(L$2:L$51,B3-MOD(B3,4),)),0)</f>
        <v>0</v>
      </c>
      <c r="J3" s="14" t="str">
        <f t="shared" ref="J3:J34" ca="1" si="14">IF(AND(ISNUMBER(J2),J2&gt;0),J2-1,IF(K2&gt;0,INDEX(V$4:X$4,MATCH(RAND(),V$5:X$5)),""))</f>
        <v/>
      </c>
      <c r="K3" s="14">
        <f t="shared" si="3"/>
        <v>0</v>
      </c>
      <c r="L3" s="14">
        <f t="shared" ca="1" si="4"/>
        <v>0</v>
      </c>
      <c r="M3" s="14">
        <f t="shared" ca="1" si="5"/>
        <v>473</v>
      </c>
      <c r="N3" s="14">
        <f t="shared" ca="1" si="6"/>
        <v>0</v>
      </c>
      <c r="O3" s="14">
        <f t="shared" ref="O3:O51" ca="1" si="15">IF(N3&gt;0,1,0)</f>
        <v>0</v>
      </c>
      <c r="P3" s="37">
        <f t="shared" si="7"/>
        <v>0</v>
      </c>
      <c r="Q3" s="37">
        <f t="shared" ca="1" si="8"/>
        <v>0</v>
      </c>
      <c r="R3" s="38">
        <f t="shared" ca="1" si="9"/>
        <v>643.9425</v>
      </c>
      <c r="S3" s="39">
        <f t="shared" ca="1" si="10"/>
        <v>643.9425</v>
      </c>
      <c r="T3" s="33"/>
      <c r="U3" s="15" t="s">
        <v>41</v>
      </c>
      <c r="V3" s="34" t="s">
        <v>20</v>
      </c>
      <c r="W3" s="18" t="s">
        <v>21</v>
      </c>
      <c r="X3" s="18" t="s">
        <v>22</v>
      </c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</row>
    <row r="4" spans="1:48" x14ac:dyDescent="0.3">
      <c r="A4" s="2"/>
      <c r="B4" s="14">
        <v>3</v>
      </c>
      <c r="C4" s="19">
        <f t="shared" ca="1" si="11"/>
        <v>1630</v>
      </c>
      <c r="D4" s="21">
        <f t="shared" ca="1" si="0"/>
        <v>1164</v>
      </c>
      <c r="E4" s="14">
        <f t="shared" ca="1" si="12"/>
        <v>0</v>
      </c>
      <c r="F4" s="14">
        <f t="shared" ca="1" si="1"/>
        <v>0</v>
      </c>
      <c r="G4" s="14">
        <f t="shared" ca="1" si="2"/>
        <v>1397</v>
      </c>
      <c r="H4" s="14">
        <f t="shared" ca="1" si="13"/>
        <v>466</v>
      </c>
      <c r="I4" s="14" cm="1">
        <f t="array" aca="1" ref="I4" ca="1">IF(J4=0,IF(MOD(B4,4)=0,INDEX(L$2:L$51,B4-4,),INDEX(L$2:L$51,B4-MOD(B4,4),)),0)</f>
        <v>0</v>
      </c>
      <c r="J4" s="14" t="str">
        <f t="shared" ca="1" si="14"/>
        <v/>
      </c>
      <c r="K4" s="14">
        <f t="shared" si="3"/>
        <v>0</v>
      </c>
      <c r="L4" s="14">
        <f t="shared" ca="1" si="4"/>
        <v>0</v>
      </c>
      <c r="M4" s="14">
        <f t="shared" ca="1" si="5"/>
        <v>466</v>
      </c>
      <c r="N4" s="14">
        <f t="shared" ca="1" si="6"/>
        <v>0</v>
      </c>
      <c r="O4" s="14">
        <f t="shared" ca="1" si="15"/>
        <v>0</v>
      </c>
      <c r="P4" s="37">
        <f t="shared" si="7"/>
        <v>0</v>
      </c>
      <c r="Q4" s="37">
        <f t="shared" ca="1" si="8"/>
        <v>0</v>
      </c>
      <c r="R4" s="38">
        <f t="shared" ca="1" si="9"/>
        <v>481.96499999999997</v>
      </c>
      <c r="S4" s="39">
        <f t="shared" ca="1" si="10"/>
        <v>481.96499999999997</v>
      </c>
      <c r="T4" s="33"/>
      <c r="U4" s="15" t="s">
        <v>24</v>
      </c>
      <c r="V4" s="35">
        <v>1</v>
      </c>
      <c r="W4" s="16">
        <v>2</v>
      </c>
      <c r="X4" s="16">
        <v>3</v>
      </c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</row>
    <row r="5" spans="1:48" x14ac:dyDescent="0.3">
      <c r="A5" s="2"/>
      <c r="B5" s="14">
        <v>4</v>
      </c>
      <c r="C5" s="19">
        <f t="shared" ca="1" si="11"/>
        <v>1164</v>
      </c>
      <c r="D5" s="21">
        <f t="shared" ca="1" si="0"/>
        <v>699</v>
      </c>
      <c r="E5" s="14">
        <f t="shared" ca="1" si="12"/>
        <v>0</v>
      </c>
      <c r="F5" s="14">
        <f t="shared" ca="1" si="1"/>
        <v>0</v>
      </c>
      <c r="G5" s="14">
        <f t="shared" ca="1" si="2"/>
        <v>931.5</v>
      </c>
      <c r="H5" s="14">
        <f t="shared" ca="1" si="13"/>
        <v>465</v>
      </c>
      <c r="I5" s="14" cm="1">
        <f t="array" aca="1" ref="I5" ca="1">IF(J5=0,IF(MOD(B5,4)=0,INDEX(L$2:L$51,B5-4,),INDEX(L$2:L$51,B5-MOD(B5,4),)),0)</f>
        <v>0</v>
      </c>
      <c r="J5" s="14" t="str">
        <f t="shared" ca="1" si="14"/>
        <v/>
      </c>
      <c r="K5" s="14">
        <f t="shared" ca="1" si="3"/>
        <v>1</v>
      </c>
      <c r="L5" s="14">
        <f t="shared" ca="1" si="4"/>
        <v>3178.8</v>
      </c>
      <c r="M5" s="14">
        <f t="shared" ca="1" si="5"/>
        <v>465</v>
      </c>
      <c r="N5" s="14">
        <f t="shared" ca="1" si="6"/>
        <v>0</v>
      </c>
      <c r="O5" s="14">
        <f t="shared" ca="1" si="15"/>
        <v>0</v>
      </c>
      <c r="P5" s="37">
        <f t="shared" ca="1" si="7"/>
        <v>1500</v>
      </c>
      <c r="Q5" s="37">
        <f t="shared" ca="1" si="8"/>
        <v>0</v>
      </c>
      <c r="R5" s="38">
        <f t="shared" ca="1" si="9"/>
        <v>321.36749999999995</v>
      </c>
      <c r="S5" s="39">
        <f t="shared" ca="1" si="10"/>
        <v>1821.3674999999998</v>
      </c>
      <c r="T5" s="33"/>
      <c r="U5" s="15" t="s">
        <v>40</v>
      </c>
      <c r="V5" s="36">
        <v>0</v>
      </c>
      <c r="W5" s="14">
        <v>0.27</v>
      </c>
      <c r="X5" s="14">
        <v>0.8</v>
      </c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</row>
    <row r="6" spans="1:48" x14ac:dyDescent="0.3">
      <c r="A6" s="2"/>
      <c r="B6" s="14">
        <v>5</v>
      </c>
      <c r="C6" s="19">
        <f t="shared" ca="1" si="11"/>
        <v>699</v>
      </c>
      <c r="D6" s="21">
        <f t="shared" ca="1" si="0"/>
        <v>245</v>
      </c>
      <c r="E6" s="14">
        <f t="shared" ca="1" si="12"/>
        <v>0</v>
      </c>
      <c r="F6" s="14">
        <f t="shared" ca="1" si="1"/>
        <v>0</v>
      </c>
      <c r="G6" s="14">
        <f t="shared" ca="1" si="2"/>
        <v>472</v>
      </c>
      <c r="H6" s="14">
        <f t="shared" ca="1" si="13"/>
        <v>454</v>
      </c>
      <c r="I6" s="14" cm="1">
        <f t="array" aca="1" ref="I6" ca="1">IF(J6=0,IF(MOD(B6,4)=0,INDEX(L$2:L$51,B6-4,),INDEX(L$2:L$51,B6-MOD(B6,4),)),0)</f>
        <v>0</v>
      </c>
      <c r="J6" s="14">
        <f t="shared" ca="1" si="14"/>
        <v>1</v>
      </c>
      <c r="K6" s="14">
        <f t="shared" si="3"/>
        <v>0</v>
      </c>
      <c r="L6" s="14">
        <f t="shared" ca="1" si="4"/>
        <v>0</v>
      </c>
      <c r="M6" s="14">
        <f t="shared" ca="1" si="5"/>
        <v>454</v>
      </c>
      <c r="N6" s="14">
        <f t="shared" ca="1" si="6"/>
        <v>0</v>
      </c>
      <c r="O6" s="14">
        <f t="shared" ca="1" si="15"/>
        <v>0</v>
      </c>
      <c r="P6" s="37">
        <f t="shared" si="7"/>
        <v>0</v>
      </c>
      <c r="Q6" s="37">
        <f t="shared" ca="1" si="8"/>
        <v>0</v>
      </c>
      <c r="R6" s="38">
        <f t="shared" ca="1" si="9"/>
        <v>162.83999999999997</v>
      </c>
      <c r="S6" s="39">
        <f t="shared" ca="1" si="10"/>
        <v>162.83999999999997</v>
      </c>
      <c r="T6" s="33"/>
      <c r="U6" s="51"/>
      <c r="V6" s="51"/>
      <c r="W6" s="51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</row>
    <row r="7" spans="1:48" x14ac:dyDescent="0.3">
      <c r="A7" s="2"/>
      <c r="B7" s="14">
        <v>6</v>
      </c>
      <c r="C7" s="19">
        <f t="shared" ca="1" si="11"/>
        <v>3423</v>
      </c>
      <c r="D7" s="21">
        <f t="shared" ca="1" si="0"/>
        <v>2946</v>
      </c>
      <c r="E7" s="14">
        <f ca="1">IF(N7=0,0,C7-M7-INT(N7*V$21)+E6)</f>
        <v>0</v>
      </c>
      <c r="F7" s="14">
        <f t="shared" ca="1" si="1"/>
        <v>0</v>
      </c>
      <c r="G7" s="14">
        <f t="shared" ca="1" si="2"/>
        <v>3184.5</v>
      </c>
      <c r="H7" s="14">
        <f t="shared" ca="1" si="13"/>
        <v>477</v>
      </c>
      <c r="I7" s="14" cm="1">
        <f t="array" aca="1" ref="I7" ca="1">IF(J7=0,IF(MOD(B7,4)=0,INDEX(L$2:L$51,B7-4,),INDEX(L$2:L$51,B7-MOD(B7,4),)),0)</f>
        <v>3178.8</v>
      </c>
      <c r="J7" s="14">
        <f t="shared" ca="1" si="14"/>
        <v>0</v>
      </c>
      <c r="K7" s="14">
        <f t="shared" si="3"/>
        <v>0</v>
      </c>
      <c r="L7" s="14">
        <f t="shared" ca="1" si="4"/>
        <v>0</v>
      </c>
      <c r="M7" s="14">
        <f t="shared" ca="1" si="5"/>
        <v>477</v>
      </c>
      <c r="N7" s="14">
        <f t="shared" ca="1" si="6"/>
        <v>0</v>
      </c>
      <c r="O7" s="14">
        <f t="shared" ca="1" si="15"/>
        <v>0</v>
      </c>
      <c r="P7" s="37">
        <f t="shared" si="7"/>
        <v>0</v>
      </c>
      <c r="Q7" s="37">
        <f t="shared" ca="1" si="8"/>
        <v>0</v>
      </c>
      <c r="R7" s="38">
        <f t="shared" ca="1" si="9"/>
        <v>1098.6524999999999</v>
      </c>
      <c r="S7" s="39">
        <f t="shared" ca="1" si="10"/>
        <v>1098.6524999999999</v>
      </c>
      <c r="T7" s="33"/>
      <c r="U7" s="56" t="s">
        <v>25</v>
      </c>
      <c r="V7" s="17" t="s">
        <v>65</v>
      </c>
      <c r="W7" s="17" t="s">
        <v>64</v>
      </c>
      <c r="X7" s="17" t="s">
        <v>63</v>
      </c>
      <c r="Y7" s="17" t="s">
        <v>66</v>
      </c>
      <c r="Z7" s="47"/>
      <c r="AA7" s="47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</row>
    <row r="8" spans="1:48" x14ac:dyDescent="0.3">
      <c r="A8" s="2"/>
      <c r="B8" s="14">
        <v>7</v>
      </c>
      <c r="C8" s="19">
        <f t="shared" ca="1" si="11"/>
        <v>2946</v>
      </c>
      <c r="D8" s="21">
        <f t="shared" ca="1" si="0"/>
        <v>2483</v>
      </c>
      <c r="E8" s="14">
        <f t="shared" ca="1" si="12"/>
        <v>0</v>
      </c>
      <c r="F8" s="14">
        <f t="shared" ca="1" si="1"/>
        <v>0</v>
      </c>
      <c r="G8" s="14">
        <f t="shared" ca="1" si="2"/>
        <v>2714.5</v>
      </c>
      <c r="H8" s="14">
        <f t="shared" ca="1" si="13"/>
        <v>463</v>
      </c>
      <c r="I8" s="14" cm="1">
        <f t="array" aca="1" ref="I8" ca="1">IF(J8=0,IF(MOD(B8,4)=0,INDEX(L$2:L$51,B8-4,),INDEX(L$2:L$51,B8-MOD(B8,4),)),0)</f>
        <v>0</v>
      </c>
      <c r="J8" s="14" t="str">
        <f t="shared" ca="1" si="14"/>
        <v/>
      </c>
      <c r="K8" s="14">
        <f t="shared" si="3"/>
        <v>0</v>
      </c>
      <c r="L8" s="14">
        <f t="shared" ca="1" si="4"/>
        <v>0</v>
      </c>
      <c r="M8" s="14">
        <f t="shared" ca="1" si="5"/>
        <v>463</v>
      </c>
      <c r="N8" s="14">
        <f t="shared" ca="1" si="6"/>
        <v>0</v>
      </c>
      <c r="O8" s="14">
        <f t="shared" ca="1" si="15"/>
        <v>0</v>
      </c>
      <c r="P8" s="37">
        <f t="shared" si="7"/>
        <v>0</v>
      </c>
      <c r="Q8" s="37">
        <f t="shared" ca="1" si="8"/>
        <v>0</v>
      </c>
      <c r="R8" s="38">
        <f t="shared" ca="1" si="9"/>
        <v>936.50249999999994</v>
      </c>
      <c r="S8" s="39">
        <f t="shared" ca="1" si="10"/>
        <v>936.50249999999994</v>
      </c>
      <c r="T8" s="33"/>
      <c r="U8" s="56"/>
      <c r="V8" s="19">
        <f>3372+ 0.15*3372</f>
        <v>3877.8</v>
      </c>
      <c r="W8" s="19">
        <f>2290+2290*0.05</f>
        <v>2404.5</v>
      </c>
      <c r="X8" s="14">
        <f>4363+0.15*4363</f>
        <v>5017.45</v>
      </c>
      <c r="Y8" s="14">
        <f>3280+3280*0.05</f>
        <v>3444</v>
      </c>
      <c r="Z8" s="28"/>
      <c r="AA8" s="28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</row>
    <row r="9" spans="1:48" x14ac:dyDescent="0.3">
      <c r="A9" s="2"/>
      <c r="B9" s="14">
        <v>8</v>
      </c>
      <c r="C9" s="19">
        <f ca="1">IF(D8+I9+E8&lt;0,0,INT(D8+I9+E8))</f>
        <v>2483</v>
      </c>
      <c r="D9" s="21">
        <f t="shared" ca="1" si="0"/>
        <v>2002</v>
      </c>
      <c r="E9" s="14">
        <f t="shared" ca="1" si="12"/>
        <v>0</v>
      </c>
      <c r="F9" s="14">
        <f t="shared" ca="1" si="1"/>
        <v>0</v>
      </c>
      <c r="G9" s="14">
        <f t="shared" ca="1" si="2"/>
        <v>2242.5</v>
      </c>
      <c r="H9" s="14">
        <f t="shared" ca="1" si="13"/>
        <v>481</v>
      </c>
      <c r="I9" s="14" cm="1">
        <f t="array" aca="1" ref="I9" ca="1">IF(J9=0,IF(MOD(B9,4)=0,INDEX(L$2:L$51,B9-4,),INDEX(L$2:L$51,B9-MOD(B9,4),)),0)</f>
        <v>0</v>
      </c>
      <c r="J9" s="14" t="str">
        <f t="shared" ca="1" si="14"/>
        <v/>
      </c>
      <c r="K9" s="14">
        <f t="shared" ca="1" si="3"/>
        <v>1</v>
      </c>
      <c r="L9" s="14">
        <f t="shared" ca="1" si="4"/>
        <v>1875.8000000000002</v>
      </c>
      <c r="M9" s="14">
        <f t="shared" ca="1" si="5"/>
        <v>481</v>
      </c>
      <c r="N9" s="14">
        <f t="shared" ca="1" si="6"/>
        <v>0</v>
      </c>
      <c r="O9" s="14">
        <f t="shared" ca="1" si="15"/>
        <v>0</v>
      </c>
      <c r="P9" s="37">
        <f t="shared" ca="1" si="7"/>
        <v>1500</v>
      </c>
      <c r="Q9" s="37">
        <f t="shared" ca="1" si="8"/>
        <v>0</v>
      </c>
      <c r="R9" s="38">
        <f t="shared" ca="1" si="9"/>
        <v>773.66249999999991</v>
      </c>
      <c r="S9" s="39">
        <f t="shared" ca="1" si="10"/>
        <v>2273.6624999999999</v>
      </c>
      <c r="T9" s="33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</row>
    <row r="10" spans="1:48" x14ac:dyDescent="0.3">
      <c r="A10" s="2"/>
      <c r="B10" s="14">
        <v>9</v>
      </c>
      <c r="C10" s="19">
        <f t="shared" ca="1" si="11"/>
        <v>2002</v>
      </c>
      <c r="D10" s="21">
        <f t="shared" ca="1" si="0"/>
        <v>1525</v>
      </c>
      <c r="E10" s="14">
        <f t="shared" ca="1" si="12"/>
        <v>0</v>
      </c>
      <c r="F10" s="14">
        <f t="shared" ca="1" si="1"/>
        <v>0</v>
      </c>
      <c r="G10" s="14">
        <f t="shared" ca="1" si="2"/>
        <v>1763.5</v>
      </c>
      <c r="H10" s="14">
        <f t="shared" ca="1" si="13"/>
        <v>477</v>
      </c>
      <c r="I10" s="14" cm="1">
        <f t="array" aca="1" ref="I10" ca="1">IF(J10=0,IF(MOD(B10,4)=0,INDEX(L$2:L$51,B10-4,),INDEX(L$2:L$51,B10-MOD(B10,4),)),0)</f>
        <v>0</v>
      </c>
      <c r="J10" s="14">
        <f t="shared" ca="1" si="14"/>
        <v>3</v>
      </c>
      <c r="K10" s="14">
        <f t="shared" si="3"/>
        <v>0</v>
      </c>
      <c r="L10" s="14">
        <f t="shared" ca="1" si="4"/>
        <v>0</v>
      </c>
      <c r="M10" s="14">
        <f t="shared" ca="1" si="5"/>
        <v>477</v>
      </c>
      <c r="N10" s="14">
        <f t="shared" ca="1" si="6"/>
        <v>0</v>
      </c>
      <c r="O10" s="14">
        <f t="shared" ca="1" si="15"/>
        <v>0</v>
      </c>
      <c r="P10" s="37">
        <f t="shared" si="7"/>
        <v>0</v>
      </c>
      <c r="Q10" s="37">
        <f t="shared" ca="1" si="8"/>
        <v>0</v>
      </c>
      <c r="R10" s="38">
        <f t="shared" ca="1" si="9"/>
        <v>608.40749999999991</v>
      </c>
      <c r="S10" s="39">
        <f t="shared" ca="1" si="10"/>
        <v>608.40749999999991</v>
      </c>
      <c r="T10" s="33"/>
      <c r="U10" s="15" t="s">
        <v>37</v>
      </c>
      <c r="V10" s="14">
        <v>4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</row>
    <row r="11" spans="1:48" x14ac:dyDescent="0.3">
      <c r="A11" s="2"/>
      <c r="B11" s="14">
        <v>10</v>
      </c>
      <c r="C11" s="19">
        <f t="shared" ca="1" si="11"/>
        <v>1525</v>
      </c>
      <c r="D11" s="21">
        <f t="shared" ca="1" si="0"/>
        <v>1078</v>
      </c>
      <c r="E11" s="14">
        <f t="shared" ca="1" si="12"/>
        <v>0</v>
      </c>
      <c r="F11" s="14">
        <f t="shared" ca="1" si="1"/>
        <v>0</v>
      </c>
      <c r="G11" s="14">
        <f t="shared" ca="1" si="2"/>
        <v>1301.5</v>
      </c>
      <c r="H11" s="14">
        <f t="shared" ca="1" si="13"/>
        <v>447</v>
      </c>
      <c r="I11" s="14" cm="1">
        <f t="array" aca="1" ref="I11" ca="1">IF(J11=0,IF(MOD(B11,4)=0,INDEX(L$2:L$51,B11-4,),INDEX(L$2:L$51,B11-MOD(B11,4),)),0)</f>
        <v>0</v>
      </c>
      <c r="J11" s="14">
        <f t="shared" ca="1" si="14"/>
        <v>2</v>
      </c>
      <c r="K11" s="14">
        <f t="shared" si="3"/>
        <v>0</v>
      </c>
      <c r="L11" s="14">
        <f t="shared" ca="1" si="4"/>
        <v>0</v>
      </c>
      <c r="M11" s="14">
        <f t="shared" ca="1" si="5"/>
        <v>447</v>
      </c>
      <c r="N11" s="14">
        <f t="shared" ca="1" si="6"/>
        <v>0</v>
      </c>
      <c r="O11" s="14">
        <f t="shared" ca="1" si="15"/>
        <v>0</v>
      </c>
      <c r="P11" s="37">
        <f t="shared" si="7"/>
        <v>0</v>
      </c>
      <c r="Q11" s="37">
        <f t="shared" ca="1" si="8"/>
        <v>0</v>
      </c>
      <c r="R11" s="38">
        <f t="shared" ca="1" si="9"/>
        <v>449.01749999999998</v>
      </c>
      <c r="S11" s="39">
        <f t="shared" ca="1" si="10"/>
        <v>449.01749999999998</v>
      </c>
      <c r="T11" s="33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</row>
    <row r="12" spans="1:48" x14ac:dyDescent="0.3">
      <c r="A12" s="2"/>
      <c r="B12" s="14">
        <v>11</v>
      </c>
      <c r="C12" s="19">
        <f t="shared" ca="1" si="11"/>
        <v>1078</v>
      </c>
      <c r="D12" s="21">
        <f t="shared" ca="1" si="0"/>
        <v>612</v>
      </c>
      <c r="E12" s="14">
        <f t="shared" ca="1" si="12"/>
        <v>0</v>
      </c>
      <c r="F12" s="14">
        <f t="shared" ca="1" si="1"/>
        <v>0</v>
      </c>
      <c r="G12" s="14">
        <f t="shared" ca="1" si="2"/>
        <v>845</v>
      </c>
      <c r="H12" s="14">
        <f t="shared" ca="1" si="13"/>
        <v>466</v>
      </c>
      <c r="I12" s="14" cm="1">
        <f t="array" aca="1" ref="I12" ca="1">IF(J12=0,IF(MOD(B12,4)=0,INDEX(L$2:L$51,B12-4,),INDEX(L$2:L$51,B12-MOD(B12,4),)),0)</f>
        <v>0</v>
      </c>
      <c r="J12" s="14">
        <f t="shared" ca="1" si="14"/>
        <v>1</v>
      </c>
      <c r="K12" s="14">
        <f t="shared" si="3"/>
        <v>0</v>
      </c>
      <c r="L12" s="14">
        <f t="shared" ca="1" si="4"/>
        <v>0</v>
      </c>
      <c r="M12" s="14">
        <f t="shared" ca="1" si="5"/>
        <v>466</v>
      </c>
      <c r="N12" s="14">
        <f t="shared" ca="1" si="6"/>
        <v>0</v>
      </c>
      <c r="O12" s="14">
        <f t="shared" ca="1" si="15"/>
        <v>0</v>
      </c>
      <c r="P12" s="37">
        <f t="shared" si="7"/>
        <v>0</v>
      </c>
      <c r="Q12" s="37">
        <f t="shared" ca="1" si="8"/>
        <v>0</v>
      </c>
      <c r="R12" s="38">
        <f t="shared" ca="1" si="9"/>
        <v>291.52499999999998</v>
      </c>
      <c r="S12" s="39">
        <f t="shared" ca="1" si="10"/>
        <v>291.52499999999998</v>
      </c>
      <c r="T12" s="33"/>
      <c r="U12" s="15" t="s">
        <v>42</v>
      </c>
      <c r="V12" s="24"/>
      <c r="X12" s="23" t="s">
        <v>43</v>
      </c>
      <c r="Y12" s="24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</row>
    <row r="13" spans="1:48" x14ac:dyDescent="0.3">
      <c r="A13" s="2"/>
      <c r="B13" s="14">
        <v>12</v>
      </c>
      <c r="C13" s="19">
        <f t="shared" ca="1" si="11"/>
        <v>2487</v>
      </c>
      <c r="D13" s="21">
        <f t="shared" ca="1" si="0"/>
        <v>2010</v>
      </c>
      <c r="E13" s="14">
        <f t="shared" ca="1" si="12"/>
        <v>0</v>
      </c>
      <c r="F13" s="14">
        <f t="shared" ca="1" si="1"/>
        <v>0</v>
      </c>
      <c r="G13" s="14">
        <f t="shared" ca="1" si="2"/>
        <v>2248.5</v>
      </c>
      <c r="H13" s="14">
        <f t="shared" ca="1" si="13"/>
        <v>477</v>
      </c>
      <c r="I13" s="14" cm="1">
        <f t="array" aca="1" ref="I13" ca="1">IF(J13=0,IF(MOD(B13,4)=0,INDEX(L$2:L$51,B13-4,),INDEX(L$2:L$51,B13-MOD(B13,4),)),0)</f>
        <v>1875.8000000000002</v>
      </c>
      <c r="J13" s="14">
        <f t="shared" ca="1" si="14"/>
        <v>0</v>
      </c>
      <c r="K13" s="14">
        <f t="shared" ca="1" si="3"/>
        <v>1</v>
      </c>
      <c r="L13" s="14">
        <f t="shared" ca="1" si="4"/>
        <v>1867.8000000000002</v>
      </c>
      <c r="M13" s="14">
        <f t="shared" ca="1" si="5"/>
        <v>477</v>
      </c>
      <c r="N13" s="14">
        <f t="shared" ca="1" si="6"/>
        <v>0</v>
      </c>
      <c r="O13" s="14">
        <f t="shared" ca="1" si="15"/>
        <v>0</v>
      </c>
      <c r="P13" s="37">
        <f t="shared" ca="1" si="7"/>
        <v>1500</v>
      </c>
      <c r="Q13" s="37">
        <f t="shared" ca="1" si="8"/>
        <v>0</v>
      </c>
      <c r="R13" s="38">
        <f t="shared" ca="1" si="9"/>
        <v>775.73249999999996</v>
      </c>
      <c r="S13" s="39">
        <f t="shared" ca="1" si="10"/>
        <v>2275.7325000000001</v>
      </c>
      <c r="T13" s="33"/>
      <c r="U13" s="22" t="s">
        <v>32</v>
      </c>
      <c r="V13" s="13">
        <f>56.36*2021-113430</f>
        <v>473.55999999999767</v>
      </c>
      <c r="X13" s="22" t="s">
        <v>32</v>
      </c>
      <c r="Y13" s="13">
        <f>69.82*2021-140495</f>
        <v>611.21999999997206</v>
      </c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</row>
    <row r="14" spans="1:48" x14ac:dyDescent="0.3">
      <c r="A14" s="2"/>
      <c r="B14" s="14">
        <v>13</v>
      </c>
      <c r="C14" s="19">
        <f t="shared" ca="1" si="11"/>
        <v>2010</v>
      </c>
      <c r="D14" s="21">
        <f t="shared" ca="1" si="0"/>
        <v>1542</v>
      </c>
      <c r="E14" s="14">
        <f t="shared" ca="1" si="12"/>
        <v>0</v>
      </c>
      <c r="F14" s="14">
        <f t="shared" ca="1" si="1"/>
        <v>0</v>
      </c>
      <c r="G14" s="14">
        <f t="shared" ca="1" si="2"/>
        <v>1776</v>
      </c>
      <c r="H14" s="14">
        <f t="shared" ca="1" si="13"/>
        <v>468</v>
      </c>
      <c r="I14" s="14" cm="1">
        <f t="array" aca="1" ref="I14" ca="1">IF(J14=0,IF(MOD(B14,4)=0,INDEX(L$2:L$51,B14-4,),INDEX(L$2:L$51,B14-MOD(B14,4),)),0)</f>
        <v>0</v>
      </c>
      <c r="J14" s="14">
        <f t="shared" ca="1" si="14"/>
        <v>1</v>
      </c>
      <c r="K14" s="14">
        <f t="shared" si="3"/>
        <v>0</v>
      </c>
      <c r="L14" s="14">
        <f t="shared" ca="1" si="4"/>
        <v>0</v>
      </c>
      <c r="M14" s="14">
        <f t="shared" ca="1" si="5"/>
        <v>468</v>
      </c>
      <c r="N14" s="14">
        <f t="shared" ca="1" si="6"/>
        <v>0</v>
      </c>
      <c r="O14" s="14">
        <f t="shared" ca="1" si="15"/>
        <v>0</v>
      </c>
      <c r="P14" s="37">
        <f t="shared" si="7"/>
        <v>0</v>
      </c>
      <c r="Q14" s="37">
        <f t="shared" ca="1" si="8"/>
        <v>0</v>
      </c>
      <c r="R14" s="38">
        <f t="shared" ca="1" si="9"/>
        <v>612.71999999999991</v>
      </c>
      <c r="S14" s="39">
        <f t="shared" ca="1" si="10"/>
        <v>612.71999999999991</v>
      </c>
      <c r="T14" s="33"/>
      <c r="U14" s="22" t="s">
        <v>31</v>
      </c>
      <c r="V14" s="13">
        <f>-0.9152*2021+1865.8</f>
        <v>16.180799999999863</v>
      </c>
      <c r="W14" s="2"/>
      <c r="X14" s="22" t="s">
        <v>31</v>
      </c>
      <c r="Y14" s="13">
        <f>4.8978*2021-9863.7</f>
        <v>34.75380000000041</v>
      </c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</row>
    <row r="15" spans="1:48" x14ac:dyDescent="0.3">
      <c r="A15" s="2"/>
      <c r="B15" s="14">
        <v>14</v>
      </c>
      <c r="C15" s="19">
        <f t="shared" ca="1" si="11"/>
        <v>3409</v>
      </c>
      <c r="D15" s="21">
        <f t="shared" ca="1" si="0"/>
        <v>2935</v>
      </c>
      <c r="E15" s="14">
        <f t="shared" ca="1" si="12"/>
        <v>0</v>
      </c>
      <c r="F15" s="14">
        <f t="shared" ca="1" si="1"/>
        <v>0</v>
      </c>
      <c r="G15" s="14">
        <f t="shared" ca="1" si="2"/>
        <v>3172</v>
      </c>
      <c r="H15" s="14">
        <f t="shared" ca="1" si="13"/>
        <v>474</v>
      </c>
      <c r="I15" s="14" cm="1">
        <f t="array" aca="1" ref="I15" ca="1">IF(J15=0,IF(MOD(B15,4)=0,INDEX(L$2:L$51,B15-4,),INDEX(L$2:L$51,B15-MOD(B15,4),)),0)</f>
        <v>1867.8000000000002</v>
      </c>
      <c r="J15" s="14">
        <f t="shared" ca="1" si="14"/>
        <v>0</v>
      </c>
      <c r="K15" s="14">
        <f t="shared" si="3"/>
        <v>0</v>
      </c>
      <c r="L15" s="14">
        <f t="shared" ca="1" si="4"/>
        <v>0</v>
      </c>
      <c r="M15" s="14">
        <f t="shared" ca="1" si="5"/>
        <v>474</v>
      </c>
      <c r="N15" s="14">
        <f t="shared" ca="1" si="6"/>
        <v>0</v>
      </c>
      <c r="O15" s="14">
        <f t="shared" ca="1" si="15"/>
        <v>0</v>
      </c>
      <c r="P15" s="37">
        <f t="shared" si="7"/>
        <v>0</v>
      </c>
      <c r="Q15" s="37">
        <f t="shared" ca="1" si="8"/>
        <v>0</v>
      </c>
      <c r="R15" s="38">
        <f t="shared" ca="1" si="9"/>
        <v>1094.3399999999999</v>
      </c>
      <c r="S15" s="39">
        <f t="shared" ca="1" si="10"/>
        <v>1094.3399999999999</v>
      </c>
      <c r="T15" s="33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</row>
    <row r="16" spans="1:48" x14ac:dyDescent="0.3">
      <c r="A16" s="2"/>
      <c r="B16" s="14">
        <v>15</v>
      </c>
      <c r="C16" s="19">
        <f t="shared" ca="1" si="11"/>
        <v>2935</v>
      </c>
      <c r="D16" s="21">
        <f t="shared" ca="1" si="0"/>
        <v>2468</v>
      </c>
      <c r="E16" s="14">
        <f t="shared" ca="1" si="12"/>
        <v>0</v>
      </c>
      <c r="F16" s="14">
        <f t="shared" ca="1" si="1"/>
        <v>0</v>
      </c>
      <c r="G16" s="14">
        <f t="shared" ca="1" si="2"/>
        <v>2701.5</v>
      </c>
      <c r="H16" s="14">
        <f t="shared" ca="1" si="13"/>
        <v>467</v>
      </c>
      <c r="I16" s="14" cm="1">
        <f t="array" aca="1" ref="I16" ca="1">IF(J16=0,IF(MOD(B16,4)=0,INDEX(L$2:L$51,B16-4,),INDEX(L$2:L$51,B16-MOD(B16,4),)),0)</f>
        <v>0</v>
      </c>
      <c r="J16" s="14" t="str">
        <f t="shared" ca="1" si="14"/>
        <v/>
      </c>
      <c r="K16" s="14">
        <f t="shared" si="3"/>
        <v>0</v>
      </c>
      <c r="L16" s="14">
        <f t="shared" ca="1" si="4"/>
        <v>0</v>
      </c>
      <c r="M16" s="14">
        <f t="shared" ca="1" si="5"/>
        <v>467</v>
      </c>
      <c r="N16" s="14">
        <f t="shared" ca="1" si="6"/>
        <v>0</v>
      </c>
      <c r="O16" s="14">
        <f t="shared" ca="1" si="15"/>
        <v>0</v>
      </c>
      <c r="P16" s="37">
        <f t="shared" si="7"/>
        <v>0</v>
      </c>
      <c r="Q16" s="37">
        <f t="shared" ca="1" si="8"/>
        <v>0</v>
      </c>
      <c r="R16" s="38">
        <f t="shared" ca="1" si="9"/>
        <v>932.01749999999993</v>
      </c>
      <c r="S16" s="39">
        <f t="shared" ca="1" si="10"/>
        <v>932.01749999999993</v>
      </c>
      <c r="T16" s="33"/>
      <c r="U16" s="15" t="s">
        <v>36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</row>
    <row r="17" spans="1:48" x14ac:dyDescent="0.3">
      <c r="A17" s="2"/>
      <c r="B17" s="14">
        <v>16</v>
      </c>
      <c r="C17" s="19">
        <f t="shared" ca="1" si="11"/>
        <v>2468</v>
      </c>
      <c r="D17" s="21">
        <f t="shared" ca="1" si="0"/>
        <v>1996</v>
      </c>
      <c r="E17" s="14">
        <f t="shared" ca="1" si="12"/>
        <v>0</v>
      </c>
      <c r="F17" s="14">
        <f t="shared" ca="1" si="1"/>
        <v>0</v>
      </c>
      <c r="G17" s="14">
        <f t="shared" ca="1" si="2"/>
        <v>2232</v>
      </c>
      <c r="H17" s="14">
        <f t="shared" ca="1" si="13"/>
        <v>472</v>
      </c>
      <c r="I17" s="14" cm="1">
        <f t="array" aca="1" ref="I17" ca="1">IF(J17=0,IF(MOD(B17,4)=0,INDEX(L$2:L$51,B17-4,),INDEX(L$2:L$51,B17-MOD(B17,4),)),0)</f>
        <v>0</v>
      </c>
      <c r="J17" s="14" t="str">
        <f t="shared" ca="1" si="14"/>
        <v/>
      </c>
      <c r="K17" s="14">
        <f t="shared" ca="1" si="3"/>
        <v>1</v>
      </c>
      <c r="L17" s="14">
        <f t="shared" ca="1" si="4"/>
        <v>1881.8000000000002</v>
      </c>
      <c r="M17" s="14">
        <f t="shared" ca="1" si="5"/>
        <v>472</v>
      </c>
      <c r="N17" s="14">
        <f t="shared" ca="1" si="6"/>
        <v>0</v>
      </c>
      <c r="O17" s="14">
        <f t="shared" ca="1" si="15"/>
        <v>0</v>
      </c>
      <c r="P17" s="37">
        <f t="shared" ca="1" si="7"/>
        <v>1500</v>
      </c>
      <c r="Q17" s="37">
        <f t="shared" ca="1" si="8"/>
        <v>0</v>
      </c>
      <c r="R17" s="38">
        <f t="shared" ca="1" si="9"/>
        <v>770.04</v>
      </c>
      <c r="S17" s="39">
        <f t="shared" ca="1" si="10"/>
        <v>2270.04</v>
      </c>
      <c r="T17" s="33"/>
      <c r="U17" s="20" t="s">
        <v>33</v>
      </c>
      <c r="V17" s="14">
        <v>0.34499999999999997</v>
      </c>
      <c r="W17" s="2"/>
      <c r="X17" s="48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</row>
    <row r="18" spans="1:48" x14ac:dyDescent="0.3">
      <c r="A18" s="2"/>
      <c r="B18" s="14">
        <v>17</v>
      </c>
      <c r="C18" s="19">
        <f t="shared" ca="1" si="11"/>
        <v>1996</v>
      </c>
      <c r="D18" s="21">
        <f t="shared" ca="1" si="0"/>
        <v>1510</v>
      </c>
      <c r="E18" s="14">
        <f t="shared" ca="1" si="12"/>
        <v>0</v>
      </c>
      <c r="F18" s="14">
        <f t="shared" ca="1" si="1"/>
        <v>0</v>
      </c>
      <c r="G18" s="14">
        <f t="shared" ca="1" si="2"/>
        <v>1753</v>
      </c>
      <c r="H18" s="14">
        <f t="shared" ca="1" si="13"/>
        <v>486</v>
      </c>
      <c r="I18" s="14" cm="1">
        <f t="array" aca="1" ref="I18" ca="1">IF(J18=0,IF(MOD(B18,4)=0,INDEX(L$2:L$51,B18-4,),INDEX(L$2:L$51,B18-MOD(B18,4),)),0)</f>
        <v>0</v>
      </c>
      <c r="J18" s="14">
        <f t="shared" ca="1" si="14"/>
        <v>3</v>
      </c>
      <c r="K18" s="14">
        <f t="shared" si="3"/>
        <v>0</v>
      </c>
      <c r="L18" s="14">
        <f t="shared" ca="1" si="4"/>
        <v>0</v>
      </c>
      <c r="M18" s="14">
        <f t="shared" ca="1" si="5"/>
        <v>486</v>
      </c>
      <c r="N18" s="14">
        <f t="shared" ca="1" si="6"/>
        <v>0</v>
      </c>
      <c r="O18" s="14">
        <f t="shared" ca="1" si="15"/>
        <v>0</v>
      </c>
      <c r="P18" s="37">
        <f t="shared" si="7"/>
        <v>0</v>
      </c>
      <c r="Q18" s="37">
        <f t="shared" ca="1" si="8"/>
        <v>0</v>
      </c>
      <c r="R18" s="38">
        <f t="shared" ca="1" si="9"/>
        <v>604.78499999999997</v>
      </c>
      <c r="S18" s="39">
        <f t="shared" ca="1" si="10"/>
        <v>604.78499999999997</v>
      </c>
      <c r="T18" s="33"/>
      <c r="U18" s="20" t="s">
        <v>35</v>
      </c>
      <c r="V18" s="14">
        <v>24</v>
      </c>
      <c r="W18" s="2"/>
      <c r="X18" s="48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</row>
    <row r="19" spans="1:48" x14ac:dyDescent="0.3">
      <c r="A19" s="2"/>
      <c r="B19" s="14">
        <v>18</v>
      </c>
      <c r="C19" s="19">
        <f t="shared" ca="1" si="11"/>
        <v>1510</v>
      </c>
      <c r="D19" s="21">
        <f t="shared" ca="1" si="0"/>
        <v>1036</v>
      </c>
      <c r="E19" s="14">
        <f t="shared" ca="1" si="12"/>
        <v>0</v>
      </c>
      <c r="F19" s="14">
        <f t="shared" ca="1" si="1"/>
        <v>0</v>
      </c>
      <c r="G19" s="14">
        <f t="shared" ca="1" si="2"/>
        <v>1273</v>
      </c>
      <c r="H19" s="14">
        <f t="shared" ca="1" si="13"/>
        <v>474</v>
      </c>
      <c r="I19" s="14" cm="1">
        <f t="array" aca="1" ref="I19" ca="1">IF(J19=0,IF(MOD(B19,4)=0,INDEX(L$2:L$51,B19-4,),INDEX(L$2:L$51,B19-MOD(B19,4),)),0)</f>
        <v>0</v>
      </c>
      <c r="J19" s="14">
        <f t="shared" ca="1" si="14"/>
        <v>2</v>
      </c>
      <c r="K19" s="14">
        <f t="shared" si="3"/>
        <v>0</v>
      </c>
      <c r="L19" s="14">
        <f t="shared" ca="1" si="4"/>
        <v>0</v>
      </c>
      <c r="M19" s="14">
        <f t="shared" ca="1" si="5"/>
        <v>474</v>
      </c>
      <c r="N19" s="14">
        <f t="shared" ca="1" si="6"/>
        <v>0</v>
      </c>
      <c r="O19" s="14">
        <f t="shared" ca="1" si="15"/>
        <v>0</v>
      </c>
      <c r="P19" s="37">
        <f t="shared" si="7"/>
        <v>0</v>
      </c>
      <c r="Q19" s="37">
        <f t="shared" ca="1" si="8"/>
        <v>0</v>
      </c>
      <c r="R19" s="38">
        <f t="shared" ca="1" si="9"/>
        <v>439.18499999999995</v>
      </c>
      <c r="S19" s="39">
        <f t="shared" ca="1" si="10"/>
        <v>439.18499999999995</v>
      </c>
      <c r="T19" s="33"/>
      <c r="U19" s="20" t="s">
        <v>34</v>
      </c>
      <c r="V19" s="14">
        <v>1500</v>
      </c>
      <c r="W19" s="2"/>
      <c r="X19" s="49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</row>
    <row r="20" spans="1:48" x14ac:dyDescent="0.3">
      <c r="A20" s="2"/>
      <c r="B20" s="14">
        <v>19</v>
      </c>
      <c r="C20" s="19">
        <f t="shared" ca="1" si="11"/>
        <v>1036</v>
      </c>
      <c r="D20" s="21">
        <f t="shared" ca="1" si="0"/>
        <v>545</v>
      </c>
      <c r="E20" s="14">
        <f t="shared" ca="1" si="12"/>
        <v>0</v>
      </c>
      <c r="F20" s="14">
        <f t="shared" ca="1" si="1"/>
        <v>0</v>
      </c>
      <c r="G20" s="14">
        <f t="shared" ca="1" si="2"/>
        <v>790.5</v>
      </c>
      <c r="H20" s="14">
        <f t="shared" ca="1" si="13"/>
        <v>491</v>
      </c>
      <c r="I20" s="14" cm="1">
        <f t="array" aca="1" ref="I20" ca="1">IF(J20=0,IF(MOD(B20,4)=0,INDEX(L$2:L$51,B20-4,),INDEX(L$2:L$51,B20-MOD(B20,4),)),0)</f>
        <v>0</v>
      </c>
      <c r="J20" s="14">
        <f t="shared" ca="1" si="14"/>
        <v>1</v>
      </c>
      <c r="K20" s="14">
        <f t="shared" si="3"/>
        <v>0</v>
      </c>
      <c r="L20" s="14">
        <f t="shared" ca="1" si="4"/>
        <v>0</v>
      </c>
      <c r="M20" s="14">
        <f t="shared" ca="1" si="5"/>
        <v>491</v>
      </c>
      <c r="N20" s="14">
        <f t="shared" ca="1" si="6"/>
        <v>0</v>
      </c>
      <c r="O20" s="14">
        <f t="shared" ca="1" si="15"/>
        <v>0</v>
      </c>
      <c r="P20" s="37">
        <f t="shared" si="7"/>
        <v>0</v>
      </c>
      <c r="Q20" s="37">
        <f t="shared" ca="1" si="8"/>
        <v>0</v>
      </c>
      <c r="R20" s="38">
        <f t="shared" ca="1" si="9"/>
        <v>272.72249999999997</v>
      </c>
      <c r="S20" s="39">
        <f t="shared" ca="1" si="10"/>
        <v>272.72249999999997</v>
      </c>
      <c r="T20" s="33"/>
      <c r="U20" s="2"/>
      <c r="V20" s="2"/>
      <c r="W20" s="2"/>
      <c r="X20" s="48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</row>
    <row r="21" spans="1:48" x14ac:dyDescent="0.3">
      <c r="A21" s="2"/>
      <c r="B21" s="14">
        <v>20</v>
      </c>
      <c r="C21" s="19">
        <f t="shared" ca="1" si="11"/>
        <v>2426</v>
      </c>
      <c r="D21" s="21">
        <f t="shared" ca="1" si="0"/>
        <v>1972</v>
      </c>
      <c r="E21" s="14">
        <f t="shared" ca="1" si="12"/>
        <v>0</v>
      </c>
      <c r="F21" s="14">
        <f t="shared" ca="1" si="1"/>
        <v>0</v>
      </c>
      <c r="G21" s="14">
        <f t="shared" ca="1" si="2"/>
        <v>2199</v>
      </c>
      <c r="H21" s="14">
        <f t="shared" ca="1" si="13"/>
        <v>454</v>
      </c>
      <c r="I21" s="14" cm="1">
        <f t="array" aca="1" ref="I21" ca="1">IF(J21=0,IF(MOD(B21,4)=0,INDEX(L$2:L$51,B21-4,),INDEX(L$2:L$51,B21-MOD(B21,4),)),0)</f>
        <v>1881.8000000000002</v>
      </c>
      <c r="J21" s="14">
        <f t="shared" ca="1" si="14"/>
        <v>0</v>
      </c>
      <c r="K21" s="14">
        <f t="shared" ca="1" si="3"/>
        <v>1</v>
      </c>
      <c r="L21" s="14">
        <f t="shared" ca="1" si="4"/>
        <v>1905.8000000000002</v>
      </c>
      <c r="M21" s="14">
        <f t="shared" ca="1" si="5"/>
        <v>454</v>
      </c>
      <c r="N21" s="14">
        <f t="shared" ca="1" si="6"/>
        <v>0</v>
      </c>
      <c r="O21" s="14">
        <f t="shared" ca="1" si="15"/>
        <v>0</v>
      </c>
      <c r="P21" s="37">
        <f t="shared" ca="1" si="7"/>
        <v>1500</v>
      </c>
      <c r="Q21" s="37">
        <f t="shared" ca="1" si="8"/>
        <v>0</v>
      </c>
      <c r="R21" s="38">
        <f t="shared" ca="1" si="9"/>
        <v>758.65499999999997</v>
      </c>
      <c r="S21" s="39">
        <f t="shared" ca="1" si="10"/>
        <v>2258.6549999999997</v>
      </c>
      <c r="T21" s="33"/>
      <c r="U21" s="15" t="s">
        <v>41</v>
      </c>
      <c r="V21" s="14">
        <v>0.6</v>
      </c>
      <c r="W21" s="14">
        <v>0.4</v>
      </c>
      <c r="X21" s="2"/>
      <c r="Y21" s="2"/>
      <c r="Z21" s="50"/>
      <c r="AA21" s="2"/>
      <c r="AB21" s="2"/>
      <c r="AC21" s="2"/>
      <c r="AD21" s="50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</row>
    <row r="22" spans="1:48" x14ac:dyDescent="0.3">
      <c r="A22" s="2"/>
      <c r="B22" s="14">
        <v>21</v>
      </c>
      <c r="C22" s="19">
        <f t="shared" ca="1" si="11"/>
        <v>1972</v>
      </c>
      <c r="D22" s="21">
        <f t="shared" ca="1" si="0"/>
        <v>1508</v>
      </c>
      <c r="E22" s="14">
        <f t="shared" ca="1" si="12"/>
        <v>0</v>
      </c>
      <c r="F22" s="14">
        <f t="shared" ca="1" si="1"/>
        <v>0</v>
      </c>
      <c r="G22" s="14">
        <f t="shared" ca="1" si="2"/>
        <v>1740</v>
      </c>
      <c r="H22" s="14">
        <f t="shared" ca="1" si="13"/>
        <v>464</v>
      </c>
      <c r="I22" s="14" cm="1">
        <f t="array" aca="1" ref="I22" ca="1">IF(J22=0,IF(MOD(B22,4)=0,INDEX(L$2:L$51,B22-4,),INDEX(L$2:L$51,B22-MOD(B22,4),)),0)</f>
        <v>0</v>
      </c>
      <c r="J22" s="14">
        <f t="shared" ca="1" si="14"/>
        <v>1</v>
      </c>
      <c r="K22" s="14">
        <f>IF(MOD(B22,$V$10)=0,IF(D22&lt;$W$8,1,0),0)</f>
        <v>0</v>
      </c>
      <c r="L22" s="14">
        <f t="shared" ca="1" si="4"/>
        <v>0</v>
      </c>
      <c r="M22" s="14">
        <f t="shared" ca="1" si="5"/>
        <v>464</v>
      </c>
      <c r="N22" s="14">
        <f t="shared" ca="1" si="6"/>
        <v>0</v>
      </c>
      <c r="O22" s="14">
        <f t="shared" ca="1" si="15"/>
        <v>0</v>
      </c>
      <c r="P22" s="37">
        <f t="shared" si="7"/>
        <v>0</v>
      </c>
      <c r="Q22" s="37">
        <f t="shared" ca="1" si="8"/>
        <v>0</v>
      </c>
      <c r="R22" s="38">
        <f t="shared" ca="1" si="9"/>
        <v>600.29999999999995</v>
      </c>
      <c r="S22" s="39">
        <f t="shared" ca="1" si="10"/>
        <v>600.29999999999995</v>
      </c>
      <c r="T22" s="33"/>
      <c r="U22" s="20" t="s">
        <v>48</v>
      </c>
      <c r="V22" s="14" t="s">
        <v>47</v>
      </c>
      <c r="W22" s="14" t="s">
        <v>46</v>
      </c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</row>
    <row r="23" spans="1:48" x14ac:dyDescent="0.3">
      <c r="A23" s="2"/>
      <c r="B23" s="14">
        <v>22</v>
      </c>
      <c r="C23" s="19">
        <f t="shared" ca="1" si="11"/>
        <v>3413</v>
      </c>
      <c r="D23" s="21">
        <f t="shared" ca="1" si="0"/>
        <v>2803</v>
      </c>
      <c r="E23" s="14">
        <f t="shared" ca="1" si="12"/>
        <v>0</v>
      </c>
      <c r="F23" s="14">
        <f t="shared" ca="1" si="1"/>
        <v>0</v>
      </c>
      <c r="G23" s="14">
        <f t="shared" ca="1" si="2"/>
        <v>3108</v>
      </c>
      <c r="H23" s="14">
        <f ca="1">INT(NORMINV(RAND(),Y$13,Y$14))</f>
        <v>610</v>
      </c>
      <c r="I23" s="14" cm="1">
        <f t="array" aca="1" ref="I23" ca="1">IF(J23=0,IF(MOD(B23,4)=0,INDEX(L$2:L$51,B23-4,),INDEX(L$2:L$51,B23-MOD(B23,4),)),0)</f>
        <v>1905.8000000000002</v>
      </c>
      <c r="J23" s="14">
        <f t="shared" ca="1" si="14"/>
        <v>0</v>
      </c>
      <c r="K23" s="14">
        <f t="shared" ref="K23:K47" si="16">IF(MOD(B23,V$10)=0,IF(D23&lt;Y$8,1,0),0)</f>
        <v>0</v>
      </c>
      <c r="L23" s="14">
        <f t="shared" ref="L23:L47" ca="1" si="17">K23*(X$8-D23)</f>
        <v>0</v>
      </c>
      <c r="M23" s="14">
        <f t="shared" ca="1" si="5"/>
        <v>610</v>
      </c>
      <c r="N23" s="14">
        <f t="shared" ca="1" si="6"/>
        <v>0</v>
      </c>
      <c r="O23" s="14">
        <f t="shared" ca="1" si="15"/>
        <v>0</v>
      </c>
      <c r="P23" s="37">
        <f t="shared" si="7"/>
        <v>0</v>
      </c>
      <c r="Q23" s="37">
        <f t="shared" ca="1" si="8"/>
        <v>0</v>
      </c>
      <c r="R23" s="38">
        <f t="shared" ca="1" si="9"/>
        <v>1072.26</v>
      </c>
      <c r="S23" s="39">
        <f t="shared" ca="1" si="10"/>
        <v>1072.26</v>
      </c>
      <c r="T23" s="33"/>
      <c r="U23" s="27"/>
      <c r="V23" s="28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</row>
    <row r="24" spans="1:48" x14ac:dyDescent="0.3">
      <c r="A24" s="2"/>
      <c r="B24" s="14">
        <v>23</v>
      </c>
      <c r="C24" s="19">
        <f t="shared" ca="1" si="11"/>
        <v>2803</v>
      </c>
      <c r="D24" s="21">
        <f t="shared" ca="1" si="0"/>
        <v>2219</v>
      </c>
      <c r="E24" s="14">
        <f t="shared" ca="1" si="12"/>
        <v>0</v>
      </c>
      <c r="F24" s="14">
        <f ca="1">IF(N24&gt;0,INT(N24*W$21),0)</f>
        <v>0</v>
      </c>
      <c r="G24" s="14">
        <f t="shared" ca="1" si="2"/>
        <v>2511</v>
      </c>
      <c r="H24" s="14">
        <f t="shared" ref="H24:H46" ca="1" si="18">INT(NORMINV(RAND(),Y$13,Y$14))</f>
        <v>584</v>
      </c>
      <c r="I24" s="14" cm="1">
        <f t="array" aca="1" ref="I24" ca="1">IF(J24=0,IF(MOD(B24,4)=0,INDEX(L$2:L$51,B24-4,),INDEX(L$2:L$51,B24-MOD(B24,4),)),0)</f>
        <v>0</v>
      </c>
      <c r="J24" s="14" t="str">
        <f t="shared" ca="1" si="14"/>
        <v/>
      </c>
      <c r="K24" s="14">
        <f t="shared" si="16"/>
        <v>0</v>
      </c>
      <c r="L24" s="14">
        <f t="shared" ca="1" si="17"/>
        <v>0</v>
      </c>
      <c r="M24" s="14">
        <f t="shared" ca="1" si="5"/>
        <v>584</v>
      </c>
      <c r="N24" s="14">
        <f t="shared" ca="1" si="6"/>
        <v>0</v>
      </c>
      <c r="O24" s="14">
        <f t="shared" ca="1" si="15"/>
        <v>0</v>
      </c>
      <c r="P24" s="37">
        <f t="shared" si="7"/>
        <v>0</v>
      </c>
      <c r="Q24" s="37">
        <f t="shared" ca="1" si="8"/>
        <v>0</v>
      </c>
      <c r="R24" s="38">
        <f t="shared" ca="1" si="9"/>
        <v>866.29499999999996</v>
      </c>
      <c r="S24" s="39">
        <f t="shared" ca="1" si="10"/>
        <v>866.29499999999996</v>
      </c>
      <c r="T24" s="33"/>
      <c r="U24" s="30" t="s">
        <v>49</v>
      </c>
      <c r="V24" s="29" t="s">
        <v>50</v>
      </c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</row>
    <row r="25" spans="1:48" x14ac:dyDescent="0.3">
      <c r="A25" s="2"/>
      <c r="B25" s="14">
        <v>24</v>
      </c>
      <c r="C25" s="19">
        <f t="shared" ca="1" si="11"/>
        <v>2219</v>
      </c>
      <c r="D25" s="21">
        <f t="shared" ca="1" si="0"/>
        <v>1672</v>
      </c>
      <c r="E25" s="14">
        <f t="shared" ca="1" si="12"/>
        <v>0</v>
      </c>
      <c r="F25" s="14">
        <f t="shared" ca="1" si="1"/>
        <v>0</v>
      </c>
      <c r="G25" s="14">
        <f t="shared" ca="1" si="2"/>
        <v>1945.5</v>
      </c>
      <c r="H25" s="14">
        <f t="shared" ca="1" si="18"/>
        <v>547</v>
      </c>
      <c r="I25" s="14" cm="1">
        <f t="array" aca="1" ref="I25" ca="1">IF(J25=0,IF(MOD(B25,4)=0,INDEX(L$2:L$51,B25-4,),INDEX(L$2:L$51,B25-MOD(B25,4),)),0)</f>
        <v>0</v>
      </c>
      <c r="J25" s="14" t="str">
        <f t="shared" ca="1" si="14"/>
        <v/>
      </c>
      <c r="K25" s="14">
        <f t="shared" ca="1" si="16"/>
        <v>1</v>
      </c>
      <c r="L25" s="14">
        <f t="shared" ca="1" si="17"/>
        <v>3345.45</v>
      </c>
      <c r="M25" s="14">
        <f t="shared" ca="1" si="5"/>
        <v>547</v>
      </c>
      <c r="N25" s="14">
        <f t="shared" ca="1" si="6"/>
        <v>0</v>
      </c>
      <c r="O25" s="14">
        <f t="shared" ca="1" si="15"/>
        <v>0</v>
      </c>
      <c r="P25" s="37">
        <f t="shared" ca="1" si="7"/>
        <v>1500</v>
      </c>
      <c r="Q25" s="37">
        <f t="shared" ca="1" si="8"/>
        <v>0</v>
      </c>
      <c r="R25" s="38">
        <f t="shared" ca="1" si="9"/>
        <v>671.19749999999999</v>
      </c>
      <c r="S25" s="39">
        <f t="shared" ca="1" si="10"/>
        <v>2171.1975000000002</v>
      </c>
      <c r="T25" s="33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</row>
    <row r="26" spans="1:48" x14ac:dyDescent="0.3">
      <c r="A26" s="2"/>
      <c r="B26" s="14">
        <v>25</v>
      </c>
      <c r="C26" s="19">
        <f t="shared" ca="1" si="11"/>
        <v>1672</v>
      </c>
      <c r="D26" s="21">
        <f t="shared" ca="1" si="0"/>
        <v>1013</v>
      </c>
      <c r="E26" s="14">
        <f t="shared" ca="1" si="12"/>
        <v>0</v>
      </c>
      <c r="F26" s="14">
        <f t="shared" ca="1" si="1"/>
        <v>0</v>
      </c>
      <c r="G26" s="14">
        <f t="shared" ca="1" si="2"/>
        <v>1342.5</v>
      </c>
      <c r="H26" s="14">
        <f t="shared" ca="1" si="18"/>
        <v>659</v>
      </c>
      <c r="I26" s="14" cm="1">
        <f t="array" aca="1" ref="I26" ca="1">IF(J26=0,IF(MOD(B26,4)=0,INDEX(L$2:L$51,B26-4,),INDEX(L$2:L$51,B26-MOD(B26,4),)),0)</f>
        <v>0</v>
      </c>
      <c r="J26" s="14">
        <f t="shared" ca="1" si="14"/>
        <v>2</v>
      </c>
      <c r="K26" s="14">
        <f t="shared" si="16"/>
        <v>0</v>
      </c>
      <c r="L26" s="14">
        <f t="shared" ca="1" si="17"/>
        <v>0</v>
      </c>
      <c r="M26" s="14">
        <f t="shared" ca="1" si="5"/>
        <v>659</v>
      </c>
      <c r="N26" s="14">
        <f t="shared" ca="1" si="6"/>
        <v>0</v>
      </c>
      <c r="O26" s="14">
        <f t="shared" ca="1" si="15"/>
        <v>0</v>
      </c>
      <c r="P26" s="37">
        <f t="shared" si="7"/>
        <v>0</v>
      </c>
      <c r="Q26" s="37">
        <f t="shared" ca="1" si="8"/>
        <v>0</v>
      </c>
      <c r="R26" s="38">
        <f t="shared" ca="1" si="9"/>
        <v>463.16249999999997</v>
      </c>
      <c r="S26" s="39">
        <f t="shared" ca="1" si="10"/>
        <v>463.16249999999997</v>
      </c>
      <c r="T26" s="33"/>
      <c r="U26" s="57" t="s">
        <v>51</v>
      </c>
      <c r="V26" s="58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</row>
    <row r="27" spans="1:48" x14ac:dyDescent="0.3">
      <c r="A27" s="2"/>
      <c r="B27" s="14">
        <v>26</v>
      </c>
      <c r="C27" s="19">
        <f t="shared" ca="1" si="11"/>
        <v>1013</v>
      </c>
      <c r="D27" s="21">
        <f t="shared" ca="1" si="0"/>
        <v>352</v>
      </c>
      <c r="E27" s="14">
        <f ca="1">IF(N27=0,0,C27-M27-INT(N27*V$21)+E26)</f>
        <v>0</v>
      </c>
      <c r="F27" s="14">
        <f t="shared" ca="1" si="1"/>
        <v>0</v>
      </c>
      <c r="G27" s="14">
        <f t="shared" ca="1" si="2"/>
        <v>682.5</v>
      </c>
      <c r="H27" s="14">
        <f t="shared" ca="1" si="18"/>
        <v>661</v>
      </c>
      <c r="I27" s="14" cm="1">
        <f t="array" aca="1" ref="I27" ca="1">IF(J27=0,IF(MOD(B27,4)=0,INDEX(L$2:L$51,B27-4,),INDEX(L$2:L$51,B27-MOD(B27,4),)),0)</f>
        <v>0</v>
      </c>
      <c r="J27" s="14">
        <f t="shared" ca="1" si="14"/>
        <v>1</v>
      </c>
      <c r="K27" s="14">
        <f t="shared" si="16"/>
        <v>0</v>
      </c>
      <c r="L27" s="14">
        <f t="shared" ca="1" si="17"/>
        <v>0</v>
      </c>
      <c r="M27" s="14">
        <f t="shared" ca="1" si="5"/>
        <v>661</v>
      </c>
      <c r="N27" s="14">
        <f t="shared" ca="1" si="6"/>
        <v>0</v>
      </c>
      <c r="O27" s="14">
        <f t="shared" ca="1" si="15"/>
        <v>0</v>
      </c>
      <c r="P27" s="37">
        <f t="shared" si="7"/>
        <v>0</v>
      </c>
      <c r="Q27" s="37">
        <f t="shared" ca="1" si="8"/>
        <v>0</v>
      </c>
      <c r="R27" s="38">
        <f t="shared" ca="1" si="9"/>
        <v>235.46249999999998</v>
      </c>
      <c r="S27" s="39">
        <f t="shared" ca="1" si="10"/>
        <v>235.46249999999998</v>
      </c>
      <c r="T27" s="28"/>
      <c r="U27" s="14" t="s">
        <v>60</v>
      </c>
      <c r="V27" s="42">
        <f ca="1">AVERAGE(S2:S51)</f>
        <v>1094.5889999999997</v>
      </c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</row>
    <row r="28" spans="1:48" x14ac:dyDescent="0.3">
      <c r="A28" s="2"/>
      <c r="B28" s="14">
        <v>27</v>
      </c>
      <c r="C28" s="19">
        <f t="shared" ca="1" si="11"/>
        <v>3697</v>
      </c>
      <c r="D28" s="21">
        <f t="shared" ca="1" si="0"/>
        <v>3058</v>
      </c>
      <c r="E28" s="14">
        <f t="shared" ca="1" si="12"/>
        <v>0</v>
      </c>
      <c r="F28" s="14">
        <f t="shared" ca="1" si="1"/>
        <v>0</v>
      </c>
      <c r="G28" s="14">
        <f t="shared" ca="1" si="2"/>
        <v>3377.5</v>
      </c>
      <c r="H28" s="14">
        <f t="shared" ca="1" si="18"/>
        <v>639</v>
      </c>
      <c r="I28" s="14" cm="1">
        <f t="array" aca="1" ref="I28" ca="1">IF(J28=0,IF(MOD(B28,4)=0,INDEX(L$2:L$51,B28-4,),INDEX(L$2:L$51,B28-MOD(B28,4),)),0)</f>
        <v>3345.45</v>
      </c>
      <c r="J28" s="14">
        <f t="shared" ca="1" si="14"/>
        <v>0</v>
      </c>
      <c r="K28" s="14">
        <f t="shared" si="16"/>
        <v>0</v>
      </c>
      <c r="L28" s="14">
        <f t="shared" ca="1" si="17"/>
        <v>0</v>
      </c>
      <c r="M28" s="14">
        <f t="shared" ca="1" si="5"/>
        <v>639</v>
      </c>
      <c r="N28" s="14">
        <f t="shared" ca="1" si="6"/>
        <v>0</v>
      </c>
      <c r="O28" s="14">
        <f t="shared" ca="1" si="15"/>
        <v>0</v>
      </c>
      <c r="P28" s="37">
        <f t="shared" si="7"/>
        <v>0</v>
      </c>
      <c r="Q28" s="37">
        <f t="shared" ca="1" si="8"/>
        <v>0</v>
      </c>
      <c r="R28" s="38">
        <f t="shared" ca="1" si="9"/>
        <v>1165.2375</v>
      </c>
      <c r="S28" s="39">
        <f t="shared" ca="1" si="10"/>
        <v>1165.2375</v>
      </c>
      <c r="T28" s="28"/>
      <c r="U28" s="14" t="s">
        <v>56</v>
      </c>
      <c r="V28" s="14">
        <f ca="1">O52/50</f>
        <v>0</v>
      </c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</row>
    <row r="29" spans="1:48" x14ac:dyDescent="0.3">
      <c r="A29" s="2"/>
      <c r="B29" s="14">
        <v>28</v>
      </c>
      <c r="C29" s="19">
        <f t="shared" ca="1" si="11"/>
        <v>3058</v>
      </c>
      <c r="D29" s="21">
        <f t="shared" ca="1" si="0"/>
        <v>2516</v>
      </c>
      <c r="E29" s="14">
        <f t="shared" ca="1" si="12"/>
        <v>0</v>
      </c>
      <c r="F29" s="14">
        <f t="shared" ca="1" si="1"/>
        <v>0</v>
      </c>
      <c r="G29" s="14">
        <f t="shared" ca="1" si="2"/>
        <v>2787</v>
      </c>
      <c r="H29" s="14">
        <f t="shared" ca="1" si="18"/>
        <v>542</v>
      </c>
      <c r="I29" s="14" cm="1">
        <f t="array" aca="1" ref="I29" ca="1">IF(J29=0,IF(MOD(B29,4)=0,INDEX(L$2:L$51,B29-4,),INDEX(L$2:L$51,B29-MOD(B29,4),)),0)</f>
        <v>0</v>
      </c>
      <c r="J29" s="14" t="str">
        <f t="shared" ca="1" si="14"/>
        <v/>
      </c>
      <c r="K29" s="14">
        <f t="shared" ca="1" si="16"/>
        <v>1</v>
      </c>
      <c r="L29" s="14">
        <f t="shared" ca="1" si="17"/>
        <v>2501.4499999999998</v>
      </c>
      <c r="M29" s="14">
        <f t="shared" ca="1" si="5"/>
        <v>542</v>
      </c>
      <c r="N29" s="14">
        <f t="shared" ca="1" si="6"/>
        <v>0</v>
      </c>
      <c r="O29" s="14">
        <f t="shared" ca="1" si="15"/>
        <v>0</v>
      </c>
      <c r="P29" s="37">
        <f t="shared" ca="1" si="7"/>
        <v>1500</v>
      </c>
      <c r="Q29" s="37">
        <f t="shared" ca="1" si="8"/>
        <v>0</v>
      </c>
      <c r="R29" s="38">
        <f t="shared" ca="1" si="9"/>
        <v>961.51499999999987</v>
      </c>
      <c r="S29" s="39">
        <f t="shared" ca="1" si="10"/>
        <v>2461.5149999999999</v>
      </c>
      <c r="T29" s="28"/>
      <c r="U29" s="14" t="s">
        <v>59</v>
      </c>
      <c r="V29" s="43">
        <f ca="1">(1-V28)</f>
        <v>1</v>
      </c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</row>
    <row r="30" spans="1:48" x14ac:dyDescent="0.3">
      <c r="A30" s="2"/>
      <c r="B30" s="14">
        <v>29</v>
      </c>
      <c r="C30" s="19">
        <f t="shared" ca="1" si="11"/>
        <v>2516</v>
      </c>
      <c r="D30" s="21">
        <f t="shared" ca="1" si="0"/>
        <v>1910</v>
      </c>
      <c r="E30" s="14">
        <f t="shared" ca="1" si="12"/>
        <v>0</v>
      </c>
      <c r="F30" s="14">
        <f t="shared" ca="1" si="1"/>
        <v>0</v>
      </c>
      <c r="G30" s="14">
        <f t="shared" ca="1" si="2"/>
        <v>2213</v>
      </c>
      <c r="H30" s="14">
        <f t="shared" ca="1" si="18"/>
        <v>606</v>
      </c>
      <c r="I30" s="14" cm="1">
        <f t="array" aca="1" ref="I30" ca="1">IF(J30=0,IF(MOD(B30,4)=0,INDEX(L$2:L$51,B30-4,),INDEX(L$2:L$51,B30-MOD(B30,4),)),0)</f>
        <v>0</v>
      </c>
      <c r="J30" s="14">
        <f t="shared" ca="1" si="14"/>
        <v>2</v>
      </c>
      <c r="K30" s="14">
        <f t="shared" si="16"/>
        <v>0</v>
      </c>
      <c r="L30" s="14">
        <f t="shared" ca="1" si="17"/>
        <v>0</v>
      </c>
      <c r="M30" s="14">
        <f t="shared" ca="1" si="5"/>
        <v>606</v>
      </c>
      <c r="N30" s="14">
        <f t="shared" ca="1" si="6"/>
        <v>0</v>
      </c>
      <c r="O30" s="14">
        <f t="shared" ca="1" si="15"/>
        <v>0</v>
      </c>
      <c r="P30" s="37">
        <f t="shared" si="7"/>
        <v>0</v>
      </c>
      <c r="Q30" s="37">
        <f t="shared" ca="1" si="8"/>
        <v>0</v>
      </c>
      <c r="R30" s="38">
        <f t="shared" ca="1" si="9"/>
        <v>763.4849999999999</v>
      </c>
      <c r="S30" s="39">
        <f t="shared" ca="1" si="10"/>
        <v>763.4849999999999</v>
      </c>
      <c r="T30" s="28"/>
      <c r="U30" s="14" t="s">
        <v>62</v>
      </c>
      <c r="V30" s="14">
        <f ca="1">AVERAGE(H2:H51)</f>
        <v>540.12</v>
      </c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</row>
    <row r="31" spans="1:48" x14ac:dyDescent="0.3">
      <c r="A31" s="2"/>
      <c r="B31" s="14">
        <v>30</v>
      </c>
      <c r="C31" s="19">
        <f t="shared" ca="1" si="11"/>
        <v>1910</v>
      </c>
      <c r="D31" s="21">
        <f t="shared" ca="1" si="0"/>
        <v>1311</v>
      </c>
      <c r="E31" s="14">
        <f t="shared" ca="1" si="12"/>
        <v>0</v>
      </c>
      <c r="F31" s="14">
        <f t="shared" ca="1" si="1"/>
        <v>0</v>
      </c>
      <c r="G31" s="14">
        <f t="shared" ca="1" si="2"/>
        <v>1610.5</v>
      </c>
      <c r="H31" s="14">
        <f t="shared" ca="1" si="18"/>
        <v>599</v>
      </c>
      <c r="I31" s="14" cm="1">
        <f t="array" aca="1" ref="I31" ca="1">IF(J31=0,IF(MOD(B31,4)=0,INDEX(L$2:L$51,B31-4,),INDEX(L$2:L$51,B31-MOD(B31,4),)),0)</f>
        <v>0</v>
      </c>
      <c r="J31" s="14">
        <f t="shared" ca="1" si="14"/>
        <v>1</v>
      </c>
      <c r="K31" s="14">
        <f t="shared" si="16"/>
        <v>0</v>
      </c>
      <c r="L31" s="14">
        <f t="shared" ca="1" si="17"/>
        <v>0</v>
      </c>
      <c r="M31" s="14">
        <f t="shared" ca="1" si="5"/>
        <v>599</v>
      </c>
      <c r="N31" s="14">
        <f t="shared" ca="1" si="6"/>
        <v>0</v>
      </c>
      <c r="O31" s="14">
        <f t="shared" ca="1" si="15"/>
        <v>0</v>
      </c>
      <c r="P31" s="37">
        <f t="shared" si="7"/>
        <v>0</v>
      </c>
      <c r="Q31" s="37">
        <f t="shared" ca="1" si="8"/>
        <v>0</v>
      </c>
      <c r="R31" s="38">
        <f t="shared" ca="1" si="9"/>
        <v>555.62249999999995</v>
      </c>
      <c r="S31" s="39">
        <f t="shared" ca="1" si="10"/>
        <v>555.62249999999995</v>
      </c>
      <c r="T31" s="28"/>
      <c r="U31" s="14" t="s">
        <v>61</v>
      </c>
      <c r="V31" s="14">
        <f ca="1">AVERAGE(N2:N51)</f>
        <v>0</v>
      </c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</row>
    <row r="32" spans="1:48" x14ac:dyDescent="0.3">
      <c r="A32" s="2"/>
      <c r="B32" s="14">
        <v>31</v>
      </c>
      <c r="C32" s="19">
        <f t="shared" ca="1" si="11"/>
        <v>3812</v>
      </c>
      <c r="D32" s="21">
        <f t="shared" ca="1" si="0"/>
        <v>3216</v>
      </c>
      <c r="E32" s="14">
        <f t="shared" ca="1" si="12"/>
        <v>0</v>
      </c>
      <c r="F32" s="14">
        <f t="shared" ca="1" si="1"/>
        <v>0</v>
      </c>
      <c r="G32" s="14">
        <f t="shared" ca="1" si="2"/>
        <v>3514</v>
      </c>
      <c r="H32" s="14">
        <f t="shared" ca="1" si="18"/>
        <v>596</v>
      </c>
      <c r="I32" s="14" cm="1">
        <f t="array" aca="1" ref="I32" ca="1">IF(J32=0,IF(MOD(B32,4)=0,INDEX(L$2:L$51,B32-4,),INDEX(L$2:L$51,B32-MOD(B32,4),)),0)</f>
        <v>2501.4499999999998</v>
      </c>
      <c r="J32" s="14">
        <f t="shared" ca="1" si="14"/>
        <v>0</v>
      </c>
      <c r="K32" s="14">
        <f t="shared" si="16"/>
        <v>0</v>
      </c>
      <c r="L32" s="14">
        <f t="shared" ca="1" si="17"/>
        <v>0</v>
      </c>
      <c r="M32" s="14">
        <f t="shared" ca="1" si="5"/>
        <v>596</v>
      </c>
      <c r="N32" s="14">
        <f t="shared" ca="1" si="6"/>
        <v>0</v>
      </c>
      <c r="O32" s="14">
        <f t="shared" ca="1" si="15"/>
        <v>0</v>
      </c>
      <c r="P32" s="37">
        <f t="shared" si="7"/>
        <v>0</v>
      </c>
      <c r="Q32" s="37">
        <f t="shared" ca="1" si="8"/>
        <v>0</v>
      </c>
      <c r="R32" s="38">
        <f t="shared" ca="1" si="9"/>
        <v>1212.33</v>
      </c>
      <c r="S32" s="39">
        <f t="shared" ca="1" si="10"/>
        <v>1212.33</v>
      </c>
      <c r="T32" s="28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</row>
    <row r="33" spans="1:48" x14ac:dyDescent="0.3">
      <c r="A33" s="2"/>
      <c r="B33" s="14">
        <v>32</v>
      </c>
      <c r="C33" s="19">
        <f t="shared" ca="1" si="11"/>
        <v>3216</v>
      </c>
      <c r="D33" s="21">
        <f t="shared" ca="1" si="0"/>
        <v>2607</v>
      </c>
      <c r="E33" s="14">
        <f t="shared" ca="1" si="12"/>
        <v>0</v>
      </c>
      <c r="F33" s="14">
        <f t="shared" ca="1" si="1"/>
        <v>0</v>
      </c>
      <c r="G33" s="14">
        <f t="shared" ca="1" si="2"/>
        <v>2911.5</v>
      </c>
      <c r="H33" s="14">
        <f t="shared" ca="1" si="18"/>
        <v>609</v>
      </c>
      <c r="I33" s="14" cm="1">
        <f t="array" aca="1" ref="I33" ca="1">IF(J33=0,IF(MOD(B33,4)=0,INDEX(L$2:L$51,B33-4,),INDEX(L$2:L$51,B33-MOD(B33,4),)),0)</f>
        <v>0</v>
      </c>
      <c r="J33" s="14" t="str">
        <f t="shared" ca="1" si="14"/>
        <v/>
      </c>
      <c r="K33" s="14">
        <f t="shared" ca="1" si="16"/>
        <v>1</v>
      </c>
      <c r="L33" s="14">
        <f t="shared" ca="1" si="17"/>
        <v>2410.4499999999998</v>
      </c>
      <c r="M33" s="14">
        <f t="shared" ca="1" si="5"/>
        <v>609</v>
      </c>
      <c r="N33" s="14">
        <f t="shared" ca="1" si="6"/>
        <v>0</v>
      </c>
      <c r="O33" s="14">
        <f t="shared" ca="1" si="15"/>
        <v>0</v>
      </c>
      <c r="P33" s="37">
        <f t="shared" ca="1" si="7"/>
        <v>1500</v>
      </c>
      <c r="Q33" s="37">
        <f t="shared" ca="1" si="8"/>
        <v>0</v>
      </c>
      <c r="R33" s="38">
        <f t="shared" ca="1" si="9"/>
        <v>1004.4675</v>
      </c>
      <c r="S33" s="39">
        <f t="shared" ca="1" si="10"/>
        <v>2504.4674999999997</v>
      </c>
      <c r="T33" s="28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</row>
    <row r="34" spans="1:48" x14ac:dyDescent="0.3">
      <c r="A34" s="2"/>
      <c r="B34" s="14">
        <v>33</v>
      </c>
      <c r="C34" s="19">
        <f t="shared" ca="1" si="11"/>
        <v>2607</v>
      </c>
      <c r="D34" s="21">
        <f t="shared" ref="D34:D51" ca="1" si="19">C34-M34</f>
        <v>2000</v>
      </c>
      <c r="E34" s="14">
        <f t="shared" ca="1" si="12"/>
        <v>0</v>
      </c>
      <c r="F34" s="14">
        <f t="shared" ca="1" si="1"/>
        <v>0</v>
      </c>
      <c r="G34" s="14">
        <f t="shared" ref="G34:G51" ca="1" si="20">(C34+D34)/2</f>
        <v>2303.5</v>
      </c>
      <c r="H34" s="14">
        <f t="shared" ca="1" si="18"/>
        <v>607</v>
      </c>
      <c r="I34" s="14" cm="1">
        <f t="array" aca="1" ref="I34" ca="1">IF(J34=0,IF(MOD(B34,4)=0,INDEX(L$2:L$51,B34-4,),INDEX(L$2:L$51,B34-MOD(B34,4),)),0)</f>
        <v>0</v>
      </c>
      <c r="J34" s="14">
        <f t="shared" ca="1" si="14"/>
        <v>1</v>
      </c>
      <c r="K34" s="14">
        <f t="shared" si="16"/>
        <v>0</v>
      </c>
      <c r="L34" s="14">
        <f t="shared" ca="1" si="17"/>
        <v>0</v>
      </c>
      <c r="M34" s="14">
        <f t="shared" ref="M34:M51" ca="1" si="21">IF(C34&gt;H34,H34,IF(C34&gt;0,C34,0))</f>
        <v>607</v>
      </c>
      <c r="N34" s="14">
        <f t="shared" ref="N34:N51" ca="1" si="22">IF(C34&lt;H34,H34-C34,0)</f>
        <v>0</v>
      </c>
      <c r="O34" s="14">
        <f t="shared" ca="1" si="15"/>
        <v>0</v>
      </c>
      <c r="P34" s="37">
        <f t="shared" ref="P34:P51" si="23">K34*V$19</f>
        <v>0</v>
      </c>
      <c r="Q34" s="37">
        <f t="shared" ref="Q34:Q51" ca="1" si="24">V$18*N34</f>
        <v>0</v>
      </c>
      <c r="R34" s="38">
        <f t="shared" ref="R34:R51" ca="1" si="25">V$17*G34</f>
        <v>794.70749999999998</v>
      </c>
      <c r="S34" s="39">
        <f t="shared" ref="S34:S51" ca="1" si="26">P34+Q34+R34</f>
        <v>794.70749999999998</v>
      </c>
      <c r="T34" s="28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</row>
    <row r="35" spans="1:48" x14ac:dyDescent="0.3">
      <c r="A35" s="2"/>
      <c r="B35" s="14">
        <v>34</v>
      </c>
      <c r="C35" s="19">
        <f t="shared" ca="1" si="11"/>
        <v>4410</v>
      </c>
      <c r="D35" s="21">
        <f t="shared" ca="1" si="19"/>
        <v>3741</v>
      </c>
      <c r="E35" s="14">
        <f t="shared" ca="1" si="12"/>
        <v>0</v>
      </c>
      <c r="F35" s="14">
        <f t="shared" ca="1" si="1"/>
        <v>0</v>
      </c>
      <c r="G35" s="14">
        <f t="shared" ca="1" si="20"/>
        <v>4075.5</v>
      </c>
      <c r="H35" s="14">
        <f t="shared" ca="1" si="18"/>
        <v>669</v>
      </c>
      <c r="I35" s="14" cm="1">
        <f t="array" aca="1" ref="I35" ca="1">IF(J35=0,IF(MOD(B35,4)=0,INDEX(L$2:L$51,B35-4,),INDEX(L$2:L$51,B35-MOD(B35,4),)),0)</f>
        <v>2410.4499999999998</v>
      </c>
      <c r="J35" s="14">
        <f t="shared" ref="J35:J51" ca="1" si="27">IF(AND(ISNUMBER(J34),J34&gt;0),J34-1,IF(K34&gt;0,INDEX(V$4:X$4,MATCH(RAND(),V$5:X$5)),""))</f>
        <v>0</v>
      </c>
      <c r="K35" s="14">
        <f t="shared" si="16"/>
        <v>0</v>
      </c>
      <c r="L35" s="14">
        <f t="shared" ca="1" si="17"/>
        <v>0</v>
      </c>
      <c r="M35" s="14">
        <f t="shared" ca="1" si="21"/>
        <v>669</v>
      </c>
      <c r="N35" s="14">
        <f t="shared" ca="1" si="22"/>
        <v>0</v>
      </c>
      <c r="O35" s="14">
        <f t="shared" ca="1" si="15"/>
        <v>0</v>
      </c>
      <c r="P35" s="37">
        <f t="shared" si="23"/>
        <v>0</v>
      </c>
      <c r="Q35" s="37">
        <f t="shared" ca="1" si="24"/>
        <v>0</v>
      </c>
      <c r="R35" s="38">
        <f t="shared" ca="1" si="25"/>
        <v>1406.0474999999999</v>
      </c>
      <c r="S35" s="39">
        <f t="shared" ca="1" si="26"/>
        <v>1406.0474999999999</v>
      </c>
      <c r="T35" s="28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</row>
    <row r="36" spans="1:48" x14ac:dyDescent="0.3">
      <c r="A36" s="2"/>
      <c r="B36" s="14">
        <v>35</v>
      </c>
      <c r="C36" s="19">
        <f t="shared" ca="1" si="11"/>
        <v>3741</v>
      </c>
      <c r="D36" s="21">
        <f t="shared" ca="1" si="19"/>
        <v>3111</v>
      </c>
      <c r="E36" s="14">
        <f t="shared" ca="1" si="12"/>
        <v>0</v>
      </c>
      <c r="F36" s="14">
        <f t="shared" ca="1" si="1"/>
        <v>0</v>
      </c>
      <c r="G36" s="14">
        <f t="shared" ca="1" si="20"/>
        <v>3426</v>
      </c>
      <c r="H36" s="14">
        <f t="shared" ca="1" si="18"/>
        <v>630</v>
      </c>
      <c r="I36" s="14" cm="1">
        <f t="array" aca="1" ref="I36" ca="1">IF(J36=0,IF(MOD(B36,4)=0,INDEX(L$2:L$51,B36-4,),INDEX(L$2:L$51,B36-MOD(B36,4),)),0)</f>
        <v>0</v>
      </c>
      <c r="J36" s="14" t="str">
        <f t="shared" ca="1" si="27"/>
        <v/>
      </c>
      <c r="K36" s="14">
        <f t="shared" si="16"/>
        <v>0</v>
      </c>
      <c r="L36" s="14">
        <f t="shared" ca="1" si="17"/>
        <v>0</v>
      </c>
      <c r="M36" s="14">
        <f t="shared" ca="1" si="21"/>
        <v>630</v>
      </c>
      <c r="N36" s="14">
        <f t="shared" ca="1" si="22"/>
        <v>0</v>
      </c>
      <c r="O36" s="14">
        <f t="shared" ca="1" si="15"/>
        <v>0</v>
      </c>
      <c r="P36" s="37">
        <f t="shared" si="23"/>
        <v>0</v>
      </c>
      <c r="Q36" s="37">
        <f t="shared" ca="1" si="24"/>
        <v>0</v>
      </c>
      <c r="R36" s="38">
        <f t="shared" ca="1" si="25"/>
        <v>1181.9699999999998</v>
      </c>
      <c r="S36" s="39">
        <f t="shared" ca="1" si="26"/>
        <v>1181.9699999999998</v>
      </c>
      <c r="T36" s="28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</row>
    <row r="37" spans="1:48" x14ac:dyDescent="0.3">
      <c r="A37" s="2"/>
      <c r="B37" s="14">
        <v>36</v>
      </c>
      <c r="C37" s="19">
        <f t="shared" ca="1" si="11"/>
        <v>3111</v>
      </c>
      <c r="D37" s="21">
        <f t="shared" ca="1" si="19"/>
        <v>2539</v>
      </c>
      <c r="E37" s="14">
        <f t="shared" ca="1" si="12"/>
        <v>0</v>
      </c>
      <c r="F37" s="14">
        <f t="shared" ca="1" si="1"/>
        <v>0</v>
      </c>
      <c r="G37" s="14">
        <f t="shared" ca="1" si="20"/>
        <v>2825</v>
      </c>
      <c r="H37" s="14">
        <f t="shared" ca="1" si="18"/>
        <v>572</v>
      </c>
      <c r="I37" s="14" cm="1">
        <f t="array" aca="1" ref="I37" ca="1">IF(J37=0,IF(MOD(B37,4)=0,INDEX(L$2:L$51,B37-4,),INDEX(L$2:L$51,B37-MOD(B37,4),)),0)</f>
        <v>0</v>
      </c>
      <c r="J37" s="14" t="str">
        <f t="shared" ca="1" si="27"/>
        <v/>
      </c>
      <c r="K37" s="14">
        <f t="shared" ca="1" si="16"/>
        <v>1</v>
      </c>
      <c r="L37" s="14">
        <f t="shared" ca="1" si="17"/>
        <v>2478.4499999999998</v>
      </c>
      <c r="M37" s="14">
        <f t="shared" ca="1" si="21"/>
        <v>572</v>
      </c>
      <c r="N37" s="14">
        <f t="shared" ca="1" si="22"/>
        <v>0</v>
      </c>
      <c r="O37" s="14">
        <f t="shared" ca="1" si="15"/>
        <v>0</v>
      </c>
      <c r="P37" s="37">
        <f t="shared" ca="1" si="23"/>
        <v>1500</v>
      </c>
      <c r="Q37" s="37">
        <f t="shared" ca="1" si="24"/>
        <v>0</v>
      </c>
      <c r="R37" s="38">
        <f t="shared" ca="1" si="25"/>
        <v>974.62499999999989</v>
      </c>
      <c r="S37" s="39">
        <f t="shared" ca="1" si="26"/>
        <v>2474.625</v>
      </c>
      <c r="T37" s="28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</row>
    <row r="38" spans="1:48" x14ac:dyDescent="0.3">
      <c r="A38" s="2"/>
      <c r="B38" s="14">
        <v>37</v>
      </c>
      <c r="C38" s="19">
        <f t="shared" ca="1" si="11"/>
        <v>2539</v>
      </c>
      <c r="D38" s="21">
        <f t="shared" ca="1" si="19"/>
        <v>1933</v>
      </c>
      <c r="E38" s="14">
        <f t="shared" ca="1" si="12"/>
        <v>0</v>
      </c>
      <c r="F38" s="14">
        <f t="shared" ca="1" si="1"/>
        <v>0</v>
      </c>
      <c r="G38" s="14">
        <f t="shared" ca="1" si="20"/>
        <v>2236</v>
      </c>
      <c r="H38" s="14">
        <f t="shared" ca="1" si="18"/>
        <v>606</v>
      </c>
      <c r="I38" s="14" cm="1">
        <f t="array" aca="1" ref="I38" ca="1">IF(J38=0,IF(MOD(B38,4)=0,INDEX(L$2:L$51,B38-4,),INDEX(L$2:L$51,B38-MOD(B38,4),)),0)</f>
        <v>0</v>
      </c>
      <c r="J38" s="14">
        <f t="shared" ca="1" si="27"/>
        <v>3</v>
      </c>
      <c r="K38" s="14">
        <f t="shared" si="16"/>
        <v>0</v>
      </c>
      <c r="L38" s="14">
        <f t="shared" ca="1" si="17"/>
        <v>0</v>
      </c>
      <c r="M38" s="14">
        <f t="shared" ca="1" si="21"/>
        <v>606</v>
      </c>
      <c r="N38" s="14">
        <f t="shared" ca="1" si="22"/>
        <v>0</v>
      </c>
      <c r="O38" s="14">
        <f t="shared" ca="1" si="15"/>
        <v>0</v>
      </c>
      <c r="P38" s="37">
        <f t="shared" si="23"/>
        <v>0</v>
      </c>
      <c r="Q38" s="37">
        <f t="shared" ca="1" si="24"/>
        <v>0</v>
      </c>
      <c r="R38" s="38">
        <f t="shared" ca="1" si="25"/>
        <v>771.42</v>
      </c>
      <c r="S38" s="39">
        <f t="shared" ca="1" si="26"/>
        <v>771.42</v>
      </c>
      <c r="T38" s="28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</row>
    <row r="39" spans="1:48" x14ac:dyDescent="0.3">
      <c r="A39" s="2"/>
      <c r="B39" s="14">
        <v>38</v>
      </c>
      <c r="C39" s="19">
        <f t="shared" ca="1" si="11"/>
        <v>1933</v>
      </c>
      <c r="D39" s="21">
        <f t="shared" ca="1" si="19"/>
        <v>1282</v>
      </c>
      <c r="E39" s="14">
        <f t="shared" ca="1" si="12"/>
        <v>0</v>
      </c>
      <c r="F39" s="14">
        <f t="shared" ca="1" si="1"/>
        <v>0</v>
      </c>
      <c r="G39" s="14">
        <f t="shared" ca="1" si="20"/>
        <v>1607.5</v>
      </c>
      <c r="H39" s="14">
        <f t="shared" ca="1" si="18"/>
        <v>651</v>
      </c>
      <c r="I39" s="14" cm="1">
        <f t="array" aca="1" ref="I39" ca="1">IF(J39=0,IF(MOD(B39,4)=0,INDEX(L$2:L$51,B39-4,),INDEX(L$2:L$51,B39-MOD(B39,4),)),0)</f>
        <v>0</v>
      </c>
      <c r="J39" s="14">
        <f t="shared" ca="1" si="27"/>
        <v>2</v>
      </c>
      <c r="K39" s="14">
        <f t="shared" si="16"/>
        <v>0</v>
      </c>
      <c r="L39" s="14">
        <f t="shared" ca="1" si="17"/>
        <v>0</v>
      </c>
      <c r="M39" s="14">
        <f t="shared" ca="1" si="21"/>
        <v>651</v>
      </c>
      <c r="N39" s="14">
        <f t="shared" ca="1" si="22"/>
        <v>0</v>
      </c>
      <c r="O39" s="14">
        <f t="shared" ca="1" si="15"/>
        <v>0</v>
      </c>
      <c r="P39" s="37">
        <f t="shared" si="23"/>
        <v>0</v>
      </c>
      <c r="Q39" s="37">
        <f t="shared" ca="1" si="24"/>
        <v>0</v>
      </c>
      <c r="R39" s="38">
        <f t="shared" ca="1" si="25"/>
        <v>554.58749999999998</v>
      </c>
      <c r="S39" s="39">
        <f t="shared" ca="1" si="26"/>
        <v>554.58749999999998</v>
      </c>
      <c r="T39" s="28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</row>
    <row r="40" spans="1:48" x14ac:dyDescent="0.3">
      <c r="A40" s="2"/>
      <c r="B40" s="14">
        <v>39</v>
      </c>
      <c r="C40" s="19">
        <f t="shared" ca="1" si="11"/>
        <v>1282</v>
      </c>
      <c r="D40" s="21">
        <f t="shared" ca="1" si="19"/>
        <v>644</v>
      </c>
      <c r="E40" s="14">
        <f t="shared" ca="1" si="12"/>
        <v>0</v>
      </c>
      <c r="F40" s="14">
        <f t="shared" ca="1" si="1"/>
        <v>0</v>
      </c>
      <c r="G40" s="14">
        <f t="shared" ca="1" si="20"/>
        <v>963</v>
      </c>
      <c r="H40" s="14">
        <f t="shared" ca="1" si="18"/>
        <v>638</v>
      </c>
      <c r="I40" s="14" cm="1">
        <f t="array" aca="1" ref="I40" ca="1">IF(J40=0,IF(MOD(B40,4)=0,INDEX(L$2:L$51,B40-4,),INDEX(L$2:L$51,B40-MOD(B40,4),)),0)</f>
        <v>0</v>
      </c>
      <c r="J40" s="14">
        <f t="shared" ca="1" si="27"/>
        <v>1</v>
      </c>
      <c r="K40" s="14">
        <f t="shared" si="16"/>
        <v>0</v>
      </c>
      <c r="L40" s="14">
        <f t="shared" ca="1" si="17"/>
        <v>0</v>
      </c>
      <c r="M40" s="14">
        <f t="shared" ca="1" si="21"/>
        <v>638</v>
      </c>
      <c r="N40" s="14">
        <f t="shared" ca="1" si="22"/>
        <v>0</v>
      </c>
      <c r="O40" s="14">
        <f t="shared" ca="1" si="15"/>
        <v>0</v>
      </c>
      <c r="P40" s="37">
        <f t="shared" si="23"/>
        <v>0</v>
      </c>
      <c r="Q40" s="37">
        <f t="shared" ca="1" si="24"/>
        <v>0</v>
      </c>
      <c r="R40" s="38">
        <f t="shared" ca="1" si="25"/>
        <v>332.23499999999996</v>
      </c>
      <c r="S40" s="39">
        <f t="shared" ca="1" si="26"/>
        <v>332.23499999999996</v>
      </c>
      <c r="T40" s="28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</row>
    <row r="41" spans="1:48" x14ac:dyDescent="0.3">
      <c r="A41" s="2"/>
      <c r="B41" s="14">
        <v>40</v>
      </c>
      <c r="C41" s="19">
        <f t="shared" ca="1" si="11"/>
        <v>3122</v>
      </c>
      <c r="D41" s="21">
        <f t="shared" ca="1" si="19"/>
        <v>2536</v>
      </c>
      <c r="E41" s="14">
        <f t="shared" ca="1" si="12"/>
        <v>0</v>
      </c>
      <c r="F41" s="14">
        <f t="shared" ca="1" si="1"/>
        <v>0</v>
      </c>
      <c r="G41" s="14">
        <f t="shared" ca="1" si="20"/>
        <v>2829</v>
      </c>
      <c r="H41" s="14">
        <f t="shared" ca="1" si="18"/>
        <v>586</v>
      </c>
      <c r="I41" s="14" cm="1">
        <f t="array" aca="1" ref="I41" ca="1">IF(J41=0,IF(MOD(B41,4)=0,INDEX(L$2:L$51,B41-4,),INDEX(L$2:L$51,B41-MOD(B41,4),)),0)</f>
        <v>2478.4499999999998</v>
      </c>
      <c r="J41" s="14">
        <f t="shared" ca="1" si="27"/>
        <v>0</v>
      </c>
      <c r="K41" s="14">
        <f t="shared" ca="1" si="16"/>
        <v>1</v>
      </c>
      <c r="L41" s="14">
        <f t="shared" ca="1" si="17"/>
        <v>2481.4499999999998</v>
      </c>
      <c r="M41" s="14">
        <f t="shared" ca="1" si="21"/>
        <v>586</v>
      </c>
      <c r="N41" s="14">
        <f t="shared" ca="1" si="22"/>
        <v>0</v>
      </c>
      <c r="O41" s="14">
        <f t="shared" ca="1" si="15"/>
        <v>0</v>
      </c>
      <c r="P41" s="37">
        <f t="shared" ca="1" si="23"/>
        <v>1500</v>
      </c>
      <c r="Q41" s="37">
        <f t="shared" ca="1" si="24"/>
        <v>0</v>
      </c>
      <c r="R41" s="38">
        <f t="shared" ca="1" si="25"/>
        <v>976.00499999999988</v>
      </c>
      <c r="S41" s="39">
        <f t="shared" ca="1" si="26"/>
        <v>2476.0050000000001</v>
      </c>
      <c r="T41" s="28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</row>
    <row r="42" spans="1:48" x14ac:dyDescent="0.3">
      <c r="A42" s="2"/>
      <c r="B42" s="14">
        <v>41</v>
      </c>
      <c r="C42" s="19">
        <f t="shared" ca="1" si="11"/>
        <v>2536</v>
      </c>
      <c r="D42" s="21">
        <f t="shared" ca="1" si="19"/>
        <v>1937</v>
      </c>
      <c r="E42" s="14">
        <f t="shared" ca="1" si="12"/>
        <v>0</v>
      </c>
      <c r="F42" s="14">
        <f t="shared" ca="1" si="1"/>
        <v>0</v>
      </c>
      <c r="G42" s="14">
        <f t="shared" ca="1" si="20"/>
        <v>2236.5</v>
      </c>
      <c r="H42" s="14">
        <f t="shared" ca="1" si="18"/>
        <v>599</v>
      </c>
      <c r="I42" s="14" cm="1">
        <f t="array" aca="1" ref="I42" ca="1">IF(J42=0,IF(MOD(B42,4)=0,INDEX(L$2:L$51,B42-4,),INDEX(L$2:L$51,B42-MOD(B42,4),)),0)</f>
        <v>0</v>
      </c>
      <c r="J42" s="14">
        <f t="shared" ca="1" si="27"/>
        <v>2</v>
      </c>
      <c r="K42" s="14">
        <f t="shared" si="16"/>
        <v>0</v>
      </c>
      <c r="L42" s="14">
        <f t="shared" ca="1" si="17"/>
        <v>0</v>
      </c>
      <c r="M42" s="14">
        <f t="shared" ca="1" si="21"/>
        <v>599</v>
      </c>
      <c r="N42" s="14">
        <f t="shared" ca="1" si="22"/>
        <v>0</v>
      </c>
      <c r="O42" s="14">
        <f t="shared" ca="1" si="15"/>
        <v>0</v>
      </c>
      <c r="P42" s="37">
        <f t="shared" si="23"/>
        <v>0</v>
      </c>
      <c r="Q42" s="37">
        <f t="shared" ca="1" si="24"/>
        <v>0</v>
      </c>
      <c r="R42" s="38">
        <f t="shared" ca="1" si="25"/>
        <v>771.59249999999997</v>
      </c>
      <c r="S42" s="39">
        <f t="shared" ca="1" si="26"/>
        <v>771.59249999999997</v>
      </c>
      <c r="T42" s="28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</row>
    <row r="43" spans="1:48" x14ac:dyDescent="0.3">
      <c r="A43" s="2"/>
      <c r="B43" s="14">
        <v>42</v>
      </c>
      <c r="C43" s="19">
        <f t="shared" ca="1" si="11"/>
        <v>1937</v>
      </c>
      <c r="D43" s="21">
        <f t="shared" ca="1" si="19"/>
        <v>1381</v>
      </c>
      <c r="E43" s="14">
        <f t="shared" ca="1" si="12"/>
        <v>0</v>
      </c>
      <c r="F43" s="14">
        <f t="shared" ca="1" si="1"/>
        <v>0</v>
      </c>
      <c r="G43" s="14">
        <f t="shared" ca="1" si="20"/>
        <v>1659</v>
      </c>
      <c r="H43" s="14">
        <f t="shared" ca="1" si="18"/>
        <v>556</v>
      </c>
      <c r="I43" s="14" cm="1">
        <f t="array" aca="1" ref="I43" ca="1">IF(J43=0,IF(MOD(B43,4)=0,INDEX(L$2:L$51,B43-4,),INDEX(L$2:L$51,B43-MOD(B43,4),)),0)</f>
        <v>0</v>
      </c>
      <c r="J43" s="14">
        <f t="shared" ca="1" si="27"/>
        <v>1</v>
      </c>
      <c r="K43" s="14">
        <f t="shared" si="16"/>
        <v>0</v>
      </c>
      <c r="L43" s="14">
        <f t="shared" ca="1" si="17"/>
        <v>0</v>
      </c>
      <c r="M43" s="14">
        <f t="shared" ca="1" si="21"/>
        <v>556</v>
      </c>
      <c r="N43" s="14">
        <f t="shared" ca="1" si="22"/>
        <v>0</v>
      </c>
      <c r="O43" s="14">
        <f t="shared" ca="1" si="15"/>
        <v>0</v>
      </c>
      <c r="P43" s="37">
        <f t="shared" si="23"/>
        <v>0</v>
      </c>
      <c r="Q43" s="37">
        <f t="shared" ca="1" si="24"/>
        <v>0</v>
      </c>
      <c r="R43" s="38">
        <f t="shared" ca="1" si="25"/>
        <v>572.3549999999999</v>
      </c>
      <c r="S43" s="39">
        <f t="shared" ca="1" si="26"/>
        <v>572.3549999999999</v>
      </c>
      <c r="T43" s="28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</row>
    <row r="44" spans="1:48" x14ac:dyDescent="0.3">
      <c r="A44" s="2"/>
      <c r="B44" s="14">
        <v>43</v>
      </c>
      <c r="C44" s="19">
        <f t="shared" ca="1" si="11"/>
        <v>3862</v>
      </c>
      <c r="D44" s="21">
        <f t="shared" ca="1" si="19"/>
        <v>3278</v>
      </c>
      <c r="E44" s="14">
        <f t="shared" ca="1" si="12"/>
        <v>0</v>
      </c>
      <c r="F44" s="14">
        <f t="shared" ca="1" si="1"/>
        <v>0</v>
      </c>
      <c r="G44" s="14">
        <f t="shared" ca="1" si="20"/>
        <v>3570</v>
      </c>
      <c r="H44" s="14">
        <f t="shared" ca="1" si="18"/>
        <v>584</v>
      </c>
      <c r="I44" s="14" cm="1">
        <f t="array" aca="1" ref="I44" ca="1">IF(J44=0,IF(MOD(B44,4)=0,INDEX(L$2:L$51,B44-4,),INDEX(L$2:L$51,B44-MOD(B44,4),)),0)</f>
        <v>2481.4499999999998</v>
      </c>
      <c r="J44" s="14">
        <f t="shared" ca="1" si="27"/>
        <v>0</v>
      </c>
      <c r="K44" s="14">
        <f t="shared" si="16"/>
        <v>0</v>
      </c>
      <c r="L44" s="14">
        <f t="shared" ca="1" si="17"/>
        <v>0</v>
      </c>
      <c r="M44" s="14">
        <f t="shared" ca="1" si="21"/>
        <v>584</v>
      </c>
      <c r="N44" s="14">
        <f t="shared" ca="1" si="22"/>
        <v>0</v>
      </c>
      <c r="O44" s="14">
        <f t="shared" ca="1" si="15"/>
        <v>0</v>
      </c>
      <c r="P44" s="37">
        <f t="shared" si="23"/>
        <v>0</v>
      </c>
      <c r="Q44" s="37">
        <f t="shared" ca="1" si="24"/>
        <v>0</v>
      </c>
      <c r="R44" s="38">
        <f t="shared" ca="1" si="25"/>
        <v>1231.6499999999999</v>
      </c>
      <c r="S44" s="39">
        <f t="shared" ca="1" si="26"/>
        <v>1231.6499999999999</v>
      </c>
      <c r="T44" s="28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</row>
    <row r="45" spans="1:48" x14ac:dyDescent="0.3">
      <c r="A45" s="2"/>
      <c r="B45" s="14">
        <v>44</v>
      </c>
      <c r="C45" s="19">
        <f t="shared" ca="1" si="11"/>
        <v>3278</v>
      </c>
      <c r="D45" s="21">
        <f t="shared" ca="1" si="19"/>
        <v>2655</v>
      </c>
      <c r="E45" s="14">
        <f t="shared" ca="1" si="12"/>
        <v>0</v>
      </c>
      <c r="F45" s="14">
        <f t="shared" ca="1" si="1"/>
        <v>0</v>
      </c>
      <c r="G45" s="14">
        <f t="shared" ca="1" si="20"/>
        <v>2966.5</v>
      </c>
      <c r="H45" s="14">
        <f t="shared" ca="1" si="18"/>
        <v>623</v>
      </c>
      <c r="I45" s="14" cm="1">
        <f t="array" aca="1" ref="I45" ca="1">IF(J45=0,IF(MOD(B45,4)=0,INDEX(L$2:L$51,B45-4,),INDEX(L$2:L$51,B45-MOD(B45,4),)),0)</f>
        <v>0</v>
      </c>
      <c r="J45" s="14" t="str">
        <f t="shared" ca="1" si="27"/>
        <v/>
      </c>
      <c r="K45" s="14">
        <f t="shared" ca="1" si="16"/>
        <v>1</v>
      </c>
      <c r="L45" s="14">
        <f t="shared" ca="1" si="17"/>
        <v>2362.4499999999998</v>
      </c>
      <c r="M45" s="14">
        <f t="shared" ca="1" si="21"/>
        <v>623</v>
      </c>
      <c r="N45" s="14">
        <f t="shared" ca="1" si="22"/>
        <v>0</v>
      </c>
      <c r="O45" s="14">
        <f t="shared" ca="1" si="15"/>
        <v>0</v>
      </c>
      <c r="P45" s="37">
        <f t="shared" ca="1" si="23"/>
        <v>1500</v>
      </c>
      <c r="Q45" s="37">
        <f t="shared" ca="1" si="24"/>
        <v>0</v>
      </c>
      <c r="R45" s="38">
        <f t="shared" ca="1" si="25"/>
        <v>1023.4424999999999</v>
      </c>
      <c r="S45" s="39">
        <f t="shared" ca="1" si="26"/>
        <v>2523.4425000000001</v>
      </c>
      <c r="T45" s="28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</row>
    <row r="46" spans="1:48" x14ac:dyDescent="0.3">
      <c r="A46" s="2"/>
      <c r="B46" s="14">
        <v>45</v>
      </c>
      <c r="C46" s="19">
        <f t="shared" ca="1" si="11"/>
        <v>2655</v>
      </c>
      <c r="D46" s="21">
        <f t="shared" ca="1" si="19"/>
        <v>2035</v>
      </c>
      <c r="E46" s="14">
        <f t="shared" ca="1" si="12"/>
        <v>0</v>
      </c>
      <c r="F46" s="14">
        <f t="shared" ca="1" si="1"/>
        <v>0</v>
      </c>
      <c r="G46" s="14">
        <f t="shared" ca="1" si="20"/>
        <v>2345</v>
      </c>
      <c r="H46" s="14">
        <f t="shared" ca="1" si="18"/>
        <v>620</v>
      </c>
      <c r="I46" s="14" cm="1">
        <f t="array" aca="1" ref="I46" ca="1">IF(J46=0,IF(MOD(B46,4)=0,INDEX(L$2:L$51,B46-4,),INDEX(L$2:L$51,B46-MOD(B46,4),)),0)</f>
        <v>0</v>
      </c>
      <c r="J46" s="14">
        <f t="shared" ca="1" si="27"/>
        <v>2</v>
      </c>
      <c r="K46" s="14">
        <f t="shared" si="16"/>
        <v>0</v>
      </c>
      <c r="L46" s="14">
        <f t="shared" ca="1" si="17"/>
        <v>0</v>
      </c>
      <c r="M46" s="14">
        <f t="shared" ca="1" si="21"/>
        <v>620</v>
      </c>
      <c r="N46" s="14">
        <f t="shared" ca="1" si="22"/>
        <v>0</v>
      </c>
      <c r="O46" s="14">
        <f t="shared" ca="1" si="15"/>
        <v>0</v>
      </c>
      <c r="P46" s="37">
        <f t="shared" si="23"/>
        <v>0</v>
      </c>
      <c r="Q46" s="37">
        <f t="shared" ca="1" si="24"/>
        <v>0</v>
      </c>
      <c r="R46" s="38">
        <f t="shared" ca="1" si="25"/>
        <v>809.02499999999998</v>
      </c>
      <c r="S46" s="39">
        <f t="shared" ca="1" si="26"/>
        <v>809.02499999999998</v>
      </c>
      <c r="T46" s="28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</row>
    <row r="47" spans="1:48" x14ac:dyDescent="0.3">
      <c r="A47" s="2"/>
      <c r="B47" s="14">
        <v>46</v>
      </c>
      <c r="C47" s="19">
        <f t="shared" ca="1" si="11"/>
        <v>2035</v>
      </c>
      <c r="D47" s="21">
        <f t="shared" ca="1" si="19"/>
        <v>1367</v>
      </c>
      <c r="E47" s="14">
        <f t="shared" ca="1" si="12"/>
        <v>0</v>
      </c>
      <c r="F47" s="14">
        <f t="shared" ca="1" si="1"/>
        <v>0</v>
      </c>
      <c r="G47" s="14">
        <f t="shared" ca="1" si="20"/>
        <v>1701</v>
      </c>
      <c r="H47" s="14">
        <f ca="1">INT(NORMINV(RAND(),Y$13,Y$14))</f>
        <v>668</v>
      </c>
      <c r="I47" s="14" cm="1">
        <f t="array" aca="1" ref="I47" ca="1">IF(J47=0,IF(MOD(B47,4)=0,INDEX(L$2:L$51,B47-4,),INDEX(L$2:L$51,B47-MOD(B47,4),)),0)</f>
        <v>0</v>
      </c>
      <c r="J47" s="14">
        <f t="shared" ca="1" si="27"/>
        <v>1</v>
      </c>
      <c r="K47" s="14">
        <f t="shared" si="16"/>
        <v>0</v>
      </c>
      <c r="L47" s="14">
        <f t="shared" ca="1" si="17"/>
        <v>0</v>
      </c>
      <c r="M47" s="14">
        <f t="shared" ca="1" si="21"/>
        <v>668</v>
      </c>
      <c r="N47" s="14">
        <f t="shared" ca="1" si="22"/>
        <v>0</v>
      </c>
      <c r="O47" s="14">
        <f t="shared" ca="1" si="15"/>
        <v>0</v>
      </c>
      <c r="P47" s="37">
        <f t="shared" si="23"/>
        <v>0</v>
      </c>
      <c r="Q47" s="37">
        <f t="shared" ca="1" si="24"/>
        <v>0</v>
      </c>
      <c r="R47" s="38">
        <f t="shared" ca="1" si="25"/>
        <v>586.84499999999991</v>
      </c>
      <c r="S47" s="39">
        <f t="shared" ca="1" si="26"/>
        <v>586.84499999999991</v>
      </c>
      <c r="T47" s="28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</row>
    <row r="48" spans="1:48" x14ac:dyDescent="0.3">
      <c r="A48" s="2"/>
      <c r="B48" s="14">
        <v>47</v>
      </c>
      <c r="C48" s="19">
        <f t="shared" ca="1" si="11"/>
        <v>3729</v>
      </c>
      <c r="D48" s="21">
        <f t="shared" ca="1" si="19"/>
        <v>3260</v>
      </c>
      <c r="E48" s="14">
        <f t="shared" ca="1" si="12"/>
        <v>0</v>
      </c>
      <c r="F48" s="14">
        <f t="shared" ca="1" si="1"/>
        <v>0</v>
      </c>
      <c r="G48" s="14">
        <f t="shared" ca="1" si="20"/>
        <v>3494.5</v>
      </c>
      <c r="H48" s="14">
        <f ca="1">INT(NORMINV(RAND(),$V$13,$V$14))</f>
        <v>469</v>
      </c>
      <c r="I48" s="14" cm="1">
        <f t="array" aca="1" ref="I48" ca="1">IF(J48=0,IF(MOD(B48,4)=0,INDEX(L$2:L$51,B48-4,),INDEX(L$2:L$51,B48-MOD(B48,4),)),0)</f>
        <v>2362.4499999999998</v>
      </c>
      <c r="J48" s="14">
        <f t="shared" ca="1" si="27"/>
        <v>0</v>
      </c>
      <c r="K48" s="14">
        <f>IF(MOD(B48,$V$10)=0,IF(D48&lt;$W$8,1,0),0)</f>
        <v>0</v>
      </c>
      <c r="L48" s="14">
        <f ca="1">K48*($V$8-D48)</f>
        <v>0</v>
      </c>
      <c r="M48" s="14">
        <f t="shared" ca="1" si="21"/>
        <v>469</v>
      </c>
      <c r="N48" s="14">
        <f t="shared" ca="1" si="22"/>
        <v>0</v>
      </c>
      <c r="O48" s="14">
        <f t="shared" ca="1" si="15"/>
        <v>0</v>
      </c>
      <c r="P48" s="37">
        <f t="shared" si="23"/>
        <v>0</v>
      </c>
      <c r="Q48" s="37">
        <f t="shared" ca="1" si="24"/>
        <v>0</v>
      </c>
      <c r="R48" s="38">
        <f t="shared" ca="1" si="25"/>
        <v>1205.6025</v>
      </c>
      <c r="S48" s="39">
        <f t="shared" ca="1" si="26"/>
        <v>1205.6025</v>
      </c>
      <c r="T48" s="28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</row>
    <row r="49" spans="1:48" x14ac:dyDescent="0.3">
      <c r="A49" s="2"/>
      <c r="B49" s="14">
        <v>48</v>
      </c>
      <c r="C49" s="19">
        <f t="shared" ca="1" si="11"/>
        <v>3260</v>
      </c>
      <c r="D49" s="21">
        <f t="shared" ca="1" si="19"/>
        <v>2790</v>
      </c>
      <c r="E49" s="14">
        <f t="shared" ca="1" si="12"/>
        <v>0</v>
      </c>
      <c r="F49" s="14">
        <f t="shared" ca="1" si="1"/>
        <v>0</v>
      </c>
      <c r="G49" s="14">
        <f t="shared" ca="1" si="20"/>
        <v>3025</v>
      </c>
      <c r="H49" s="14">
        <f ca="1">INT(NORMINV(RAND(),$V$13,$V$14))</f>
        <v>470</v>
      </c>
      <c r="I49" s="14" cm="1">
        <f t="array" aca="1" ref="I49" ca="1">IF(J49=0,IF(MOD(B49,4)=0,INDEX(L$2:L$51,B49-4,),INDEX(L$2:L$51,B49-MOD(B49,4),)),0)</f>
        <v>0</v>
      </c>
      <c r="J49" s="14" t="str">
        <f t="shared" ca="1" si="27"/>
        <v/>
      </c>
      <c r="K49" s="14">
        <f ca="1">IF(MOD(B49,$V$10)=0,IF(D49&lt;$W$8,1,0),0)</f>
        <v>0</v>
      </c>
      <c r="L49" s="14">
        <f ca="1">K49*($V$8-D49)</f>
        <v>0</v>
      </c>
      <c r="M49" s="14">
        <f t="shared" ca="1" si="21"/>
        <v>470</v>
      </c>
      <c r="N49" s="14">
        <f t="shared" ca="1" si="22"/>
        <v>0</v>
      </c>
      <c r="O49" s="14">
        <f t="shared" ca="1" si="15"/>
        <v>0</v>
      </c>
      <c r="P49" s="37">
        <f t="shared" ca="1" si="23"/>
        <v>0</v>
      </c>
      <c r="Q49" s="37">
        <f t="shared" ca="1" si="24"/>
        <v>0</v>
      </c>
      <c r="R49" s="38">
        <f t="shared" ca="1" si="25"/>
        <v>1043.625</v>
      </c>
      <c r="S49" s="39">
        <f t="shared" ca="1" si="26"/>
        <v>1043.625</v>
      </c>
      <c r="T49" s="28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</row>
    <row r="50" spans="1:48" x14ac:dyDescent="0.3">
      <c r="A50" s="2"/>
      <c r="B50" s="14">
        <v>49</v>
      </c>
      <c r="C50" s="19">
        <f t="shared" ca="1" si="11"/>
        <v>2790</v>
      </c>
      <c r="D50" s="21">
        <f t="shared" ca="1" si="19"/>
        <v>2305</v>
      </c>
      <c r="E50" s="14">
        <f t="shared" ca="1" si="12"/>
        <v>0</v>
      </c>
      <c r="F50" s="14">
        <f t="shared" ca="1" si="1"/>
        <v>0</v>
      </c>
      <c r="G50" s="14">
        <f t="shared" ca="1" si="20"/>
        <v>2547.5</v>
      </c>
      <c r="H50" s="14">
        <f ca="1">INT(NORMINV(RAND(),$V$13,$V$14))</f>
        <v>485</v>
      </c>
      <c r="I50" s="14" cm="1">
        <f t="array" aca="1" ref="I50" ca="1">IF(J50=0,IF(MOD(B50,4)=0,INDEX(L$2:L$51,B50-4,),INDEX(L$2:L$51,B50-MOD(B50,4),)),0)</f>
        <v>0</v>
      </c>
      <c r="J50" s="14" t="str">
        <f t="shared" ca="1" si="27"/>
        <v/>
      </c>
      <c r="K50" s="14">
        <f>IF(MOD(B50,$V$10)=0,IF(D50&lt;$W$8,1,0),0)</f>
        <v>0</v>
      </c>
      <c r="L50" s="14">
        <f ca="1">K50*($V$8-D50)</f>
        <v>0</v>
      </c>
      <c r="M50" s="14">
        <f t="shared" ca="1" si="21"/>
        <v>485</v>
      </c>
      <c r="N50" s="14">
        <f t="shared" ca="1" si="22"/>
        <v>0</v>
      </c>
      <c r="O50" s="14">
        <f t="shared" ca="1" si="15"/>
        <v>0</v>
      </c>
      <c r="P50" s="37">
        <f t="shared" si="23"/>
        <v>0</v>
      </c>
      <c r="Q50" s="37">
        <f t="shared" ca="1" si="24"/>
        <v>0</v>
      </c>
      <c r="R50" s="38">
        <f t="shared" ca="1" si="25"/>
        <v>878.88749999999993</v>
      </c>
      <c r="S50" s="39">
        <f t="shared" ca="1" si="26"/>
        <v>878.88749999999993</v>
      </c>
      <c r="T50" s="28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</row>
    <row r="51" spans="1:48" x14ac:dyDescent="0.3">
      <c r="A51" s="2"/>
      <c r="B51" s="14">
        <v>50</v>
      </c>
      <c r="C51" s="19">
        <f t="shared" ca="1" si="11"/>
        <v>2305</v>
      </c>
      <c r="D51" s="21">
        <f t="shared" ca="1" si="19"/>
        <v>1827</v>
      </c>
      <c r="E51" s="14">
        <f t="shared" ca="1" si="12"/>
        <v>0</v>
      </c>
      <c r="F51" s="14">
        <f t="shared" ca="1" si="1"/>
        <v>0</v>
      </c>
      <c r="G51" s="14">
        <f t="shared" ca="1" si="20"/>
        <v>2066</v>
      </c>
      <c r="H51" s="14">
        <f ca="1">INT(NORMINV(RAND(),$V$13,$V$14))</f>
        <v>478</v>
      </c>
      <c r="I51" s="14" cm="1">
        <f t="array" aca="1" ref="I51" ca="1">IF(J51=0,IF(MOD(B51,4)=0,INDEX(L$2:L$51,B51-4,),INDEX(L$2:L$51,B51-MOD(B51,4),)),0)</f>
        <v>0</v>
      </c>
      <c r="J51" s="14" t="str">
        <f t="shared" ca="1" si="27"/>
        <v/>
      </c>
      <c r="K51" s="14">
        <f>IF(MOD(B51,$V$10)=0,IF(D51&lt;$W$8,1,0),0)</f>
        <v>0</v>
      </c>
      <c r="L51" s="14">
        <f ca="1">K51*($V$8-D51)</f>
        <v>0</v>
      </c>
      <c r="M51" s="14">
        <f t="shared" ca="1" si="21"/>
        <v>478</v>
      </c>
      <c r="N51" s="14">
        <f t="shared" ca="1" si="22"/>
        <v>0</v>
      </c>
      <c r="O51" s="14">
        <f t="shared" ca="1" si="15"/>
        <v>0</v>
      </c>
      <c r="P51" s="40">
        <f t="shared" si="23"/>
        <v>0</v>
      </c>
      <c r="Q51" s="40">
        <f t="shared" ca="1" si="24"/>
        <v>0</v>
      </c>
      <c r="R51" s="38">
        <f t="shared" ca="1" si="25"/>
        <v>712.77</v>
      </c>
      <c r="S51" s="41">
        <f t="shared" ca="1" si="26"/>
        <v>712.77</v>
      </c>
      <c r="T51" s="28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</row>
    <row r="52" spans="1:48" x14ac:dyDescent="0.3">
      <c r="A52" s="2"/>
      <c r="B52" s="46" t="s">
        <v>58</v>
      </c>
      <c r="C52" s="44"/>
      <c r="D52" s="44"/>
      <c r="E52" s="44"/>
      <c r="F52" s="44">
        <f ca="1">SUM(F2:F51)</f>
        <v>0</v>
      </c>
      <c r="G52" s="44"/>
      <c r="H52" s="44"/>
      <c r="I52" s="44"/>
      <c r="J52" s="44"/>
      <c r="K52" s="44"/>
      <c r="L52" s="44"/>
      <c r="M52" s="44">
        <f t="shared" ref="M52" ca="1" si="28">SUM(M2:M51)</f>
        <v>27006</v>
      </c>
      <c r="N52" s="44">
        <f t="shared" ref="N52" ca="1" si="29">SUM(N2:N51)</f>
        <v>0</v>
      </c>
      <c r="O52" s="44">
        <f ca="1">SUM(O2:O51)</f>
        <v>0</v>
      </c>
      <c r="P52" s="45">
        <f t="shared" ref="P52:Q52" ca="1" si="30">SUM(P2:P51)</f>
        <v>16500</v>
      </c>
      <c r="Q52" s="45">
        <f t="shared" ca="1" si="30"/>
        <v>0</v>
      </c>
      <c r="R52" s="45">
        <f ca="1">SUM(R2:R51)</f>
        <v>38229.450000000004</v>
      </c>
      <c r="S52" s="45">
        <f ca="1">SUM(S2:S51)</f>
        <v>54729.44999999999</v>
      </c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</row>
    <row r="53" spans="1:48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</row>
    <row r="54" spans="1:48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</row>
    <row r="55" spans="1:48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</row>
    <row r="56" spans="1:48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</row>
    <row r="57" spans="1:48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</row>
    <row r="58" spans="1:48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</row>
    <row r="59" spans="1:48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</row>
    <row r="60" spans="1:48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</row>
    <row r="61" spans="1:48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</row>
    <row r="62" spans="1:48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</row>
    <row r="63" spans="1:48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</row>
    <row r="64" spans="1:48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</row>
    <row r="65" spans="1:48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</row>
    <row r="66" spans="1:48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</row>
    <row r="67" spans="1:48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</row>
    <row r="68" spans="1:48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</row>
    <row r="69" spans="1:48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</row>
    <row r="70" spans="1:48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</row>
    <row r="71" spans="1:48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</row>
  </sheetData>
  <mergeCells count="3">
    <mergeCell ref="V2:X2"/>
    <mergeCell ref="U7:U8"/>
    <mergeCell ref="U26:V26"/>
  </mergeCells>
  <conditionalFormatting sqref="D2:F51">
    <cfRule type="cellIs" dxfId="1" priority="2" operator="lessThan">
      <formula>0</formula>
    </cfRule>
  </conditionalFormatting>
  <conditionalFormatting sqref="F2:F51"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D20EF9B19F6548B7ED005D0076A4CE" ma:contentTypeVersion="4" ma:contentTypeDescription="Criar um novo documento." ma:contentTypeScope="" ma:versionID="9b8205fa0a1a6de18f7ed17bf37b8f57">
  <xsd:schema xmlns:xsd="http://www.w3.org/2001/XMLSchema" xmlns:xs="http://www.w3.org/2001/XMLSchema" xmlns:p="http://schemas.microsoft.com/office/2006/metadata/properties" xmlns:ns3="34bbd294-d22e-4850-90dc-3cbe2f849b0b" targetNamespace="http://schemas.microsoft.com/office/2006/metadata/properties" ma:root="true" ma:fieldsID="b79d59ac9900502ed977eb58cdd157b9" ns3:_="">
    <xsd:import namespace="34bbd294-d22e-4850-90dc-3cbe2f849b0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bbd294-d22e-4850-90dc-3cbe2f849b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81C2EE-7DC1-4D66-9A57-857CFC4E7B5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F311E2-7236-4396-9B15-07D893277085}">
  <ds:schemaRefs>
    <ds:schemaRef ds:uri="http://schemas.microsoft.com/office/2006/documentManagement/types"/>
    <ds:schemaRef ds:uri="http://purl.org/dc/terms/"/>
    <ds:schemaRef ds:uri="http://purl.org/dc/dcmitype/"/>
    <ds:schemaRef ds:uri="http://purl.org/dc/elements/1.1/"/>
    <ds:schemaRef ds:uri="http://www.w3.org/XML/1998/namespace"/>
    <ds:schemaRef ds:uri="34bbd294-d22e-4850-90dc-3cbe2f849b0b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2DF6C669-D342-4A10-8169-A4F8F2CD3E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bbd294-d22e-4850-90dc-3cbe2f849b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Valores</vt:lpstr>
      <vt:lpstr>Simulação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Luísa Carneiro</dc:creator>
  <cp:lastModifiedBy>Rita</cp:lastModifiedBy>
  <dcterms:created xsi:type="dcterms:W3CDTF">2021-04-17T14:08:45Z</dcterms:created>
  <dcterms:modified xsi:type="dcterms:W3CDTF">2021-04-26T22:20:42Z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0x0101004ED20EF9B19F6548B7ED005D0076A4CE</vt:lpwstr>
  </property>
</Properties>
</file>