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4\IIP 2024\Doc base calificaciones\"/>
    </mc:Choice>
  </mc:AlternateContent>
  <xr:revisionPtr revIDLastSave="0" documentId="13_ncr:1_{96D83154-54F0-4273-8C41-CD7EA3BACE60}" xr6:coauthVersionLast="47" xr6:coauthVersionMax="47" xr10:uidLastSave="{00000000-0000-0000-0000-000000000000}"/>
  <bookViews>
    <workbookView xWindow="-108" yWindow="-108" windowWidth="23256" windowHeight="12456" xr2:uid="{F386ED9C-DCB7-4476-8D7F-FB1E9BAAEB27}"/>
  </bookViews>
  <sheets>
    <sheet name="Puntajes 2023_ago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Slicer_Entidades">#REF!</definedName>
    <definedName name="SlicerCache_Table_1_Col_9111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81" i="1" l="1"/>
  <c r="H9" i="1"/>
  <c r="H26" i="1"/>
  <c r="H19" i="1"/>
  <c r="H21" i="1"/>
  <c r="H41" i="1"/>
  <c r="H8" i="1"/>
  <c r="H13" i="1"/>
  <c r="H10" i="1"/>
  <c r="H28" i="1"/>
  <c r="H14" i="1"/>
  <c r="H58" i="1"/>
  <c r="H23" i="1"/>
  <c r="H18" i="1"/>
  <c r="H20" i="1"/>
  <c r="H15" i="1"/>
  <c r="H35" i="1"/>
  <c r="H17" i="1"/>
  <c r="H45" i="1"/>
  <c r="H69" i="1"/>
  <c r="H54" i="1"/>
  <c r="H27" i="1"/>
  <c r="H40" i="1"/>
  <c r="H47" i="1"/>
  <c r="H52" i="1"/>
  <c r="H16" i="1"/>
  <c r="H11" i="1"/>
  <c r="H74" i="1"/>
  <c r="H43" i="1"/>
  <c r="H71" i="1"/>
  <c r="H64" i="1"/>
  <c r="H42" i="1"/>
  <c r="H24" i="1"/>
  <c r="H25" i="1"/>
  <c r="H65" i="1"/>
  <c r="H44" i="1"/>
  <c r="H33" i="1"/>
  <c r="H55" i="1"/>
  <c r="H29" i="1"/>
  <c r="H22" i="1"/>
  <c r="H30" i="1"/>
  <c r="H31" i="1"/>
  <c r="H32" i="1"/>
  <c r="H34" i="1"/>
  <c r="H36" i="1"/>
  <c r="H37" i="1"/>
  <c r="H38" i="1"/>
  <c r="H39" i="1"/>
  <c r="H46" i="1"/>
  <c r="H48" i="1"/>
  <c r="H49" i="1"/>
  <c r="H50" i="1"/>
  <c r="H51" i="1"/>
  <c r="H53" i="1"/>
  <c r="H56" i="1"/>
  <c r="H57" i="1"/>
  <c r="H59" i="1"/>
  <c r="H60" i="1"/>
  <c r="H61" i="1"/>
  <c r="H62" i="1"/>
  <c r="H63" i="1"/>
  <c r="H66" i="1"/>
  <c r="H67" i="1"/>
  <c r="H68" i="1"/>
  <c r="H70" i="1"/>
  <c r="H72" i="1"/>
  <c r="H73" i="1"/>
  <c r="H75" i="1"/>
  <c r="H76" i="1"/>
  <c r="H77" i="1"/>
  <c r="G9" i="1"/>
  <c r="G26" i="1"/>
  <c r="G19" i="1"/>
  <c r="G21" i="1"/>
  <c r="G41" i="1"/>
  <c r="G8" i="1"/>
  <c r="G13" i="1"/>
  <c r="G10" i="1"/>
  <c r="G28" i="1"/>
  <c r="G14" i="1"/>
  <c r="G58" i="1"/>
  <c r="G23" i="1"/>
  <c r="G18" i="1"/>
  <c r="G20" i="1"/>
  <c r="G15" i="1"/>
  <c r="G35" i="1"/>
  <c r="G17" i="1"/>
  <c r="G45" i="1"/>
  <c r="G69" i="1"/>
  <c r="G54" i="1"/>
  <c r="G27" i="1"/>
  <c r="G40" i="1"/>
  <c r="G47" i="1"/>
  <c r="G52" i="1"/>
  <c r="G16" i="1"/>
  <c r="G11" i="1"/>
  <c r="G74" i="1"/>
  <c r="G43" i="1"/>
  <c r="G64" i="1"/>
  <c r="G42" i="1"/>
  <c r="G24" i="1"/>
  <c r="G25" i="1"/>
  <c r="G65" i="1"/>
  <c r="G44" i="1"/>
  <c r="G33" i="1"/>
  <c r="G55" i="1"/>
  <c r="G29" i="1"/>
  <c r="G12" i="1"/>
  <c r="G22" i="1"/>
  <c r="G30" i="1"/>
  <c r="G31" i="1"/>
  <c r="G32" i="1"/>
  <c r="G34" i="1"/>
  <c r="G36" i="1"/>
  <c r="G37" i="1"/>
  <c r="G38" i="1"/>
  <c r="G39" i="1"/>
  <c r="G46" i="1"/>
  <c r="G49" i="1"/>
  <c r="G50" i="1"/>
  <c r="G53" i="1"/>
  <c r="G56" i="1"/>
  <c r="G57" i="1"/>
  <c r="G59" i="1"/>
  <c r="G60" i="1"/>
  <c r="G61" i="1"/>
  <c r="G62" i="1"/>
  <c r="G63" i="1"/>
  <c r="G66" i="1"/>
  <c r="G67" i="1"/>
  <c r="G68" i="1"/>
  <c r="G70" i="1"/>
  <c r="G72" i="1"/>
  <c r="G73" i="1"/>
  <c r="G75" i="1"/>
  <c r="G76" i="1"/>
  <c r="G77" i="1"/>
  <c r="G79" i="1"/>
  <c r="F9" i="1"/>
  <c r="F26" i="1"/>
  <c r="F19" i="1"/>
  <c r="F21" i="1"/>
  <c r="F41" i="1"/>
  <c r="F8" i="1"/>
  <c r="F13" i="1"/>
  <c r="F10" i="1"/>
  <c r="F28" i="1"/>
  <c r="F14" i="1"/>
  <c r="F58" i="1"/>
  <c r="F23" i="1"/>
  <c r="F18" i="1"/>
  <c r="F20" i="1"/>
  <c r="F15" i="1"/>
  <c r="F35" i="1"/>
  <c r="F17" i="1"/>
  <c r="F45" i="1"/>
  <c r="F69" i="1"/>
  <c r="F78" i="1"/>
  <c r="F54" i="1"/>
  <c r="F27" i="1"/>
  <c r="F40" i="1"/>
  <c r="F47" i="1"/>
  <c r="F52" i="1"/>
  <c r="F16" i="1"/>
  <c r="F11" i="1"/>
  <c r="F74" i="1"/>
  <c r="F43" i="1"/>
  <c r="F71" i="1"/>
  <c r="F64" i="1"/>
  <c r="F42" i="1"/>
  <c r="F24" i="1"/>
  <c r="F25" i="1"/>
  <c r="F65" i="1"/>
  <c r="F44" i="1"/>
  <c r="F33" i="1"/>
  <c r="F55" i="1"/>
  <c r="F29" i="1"/>
  <c r="P81" i="1"/>
  <c r="P84" i="1" s="1"/>
  <c r="BI101" i="1"/>
  <c r="AM86" i="1"/>
  <c r="AM88" i="1" s="1"/>
  <c r="AN86" i="1"/>
  <c r="AN88" i="1" s="1"/>
  <c r="AO86" i="1"/>
  <c r="AO88" i="1" s="1"/>
  <c r="AP86" i="1"/>
  <c r="AP88" i="1" s="1"/>
  <c r="AQ86" i="1"/>
  <c r="AQ88" i="1" s="1"/>
  <c r="AR86" i="1"/>
  <c r="AR88" i="1" s="1"/>
  <c r="AS86" i="1"/>
  <c r="AS88" i="1" s="1"/>
  <c r="AT86" i="1"/>
  <c r="AT88" i="1" s="1"/>
  <c r="AU86" i="1"/>
  <c r="AU88" i="1" s="1"/>
  <c r="AV86" i="1"/>
  <c r="AV88" i="1" s="1"/>
  <c r="AW86" i="1"/>
  <c r="AW88" i="1" s="1"/>
  <c r="AY86" i="1"/>
  <c r="AY88" i="1" s="1"/>
  <c r="AZ86" i="1"/>
  <c r="AZ88" i="1" s="1"/>
  <c r="BA86" i="1"/>
  <c r="BA88" i="1" s="1"/>
  <c r="BB86" i="1"/>
  <c r="BB88" i="1" s="1"/>
  <c r="BC86" i="1"/>
  <c r="BC88" i="1" s="1"/>
  <c r="BD86" i="1"/>
  <c r="BD88" i="1" s="1"/>
  <c r="BE86" i="1"/>
  <c r="BE88" i="1" s="1"/>
  <c r="BF86" i="1"/>
  <c r="BF88" i="1" s="1"/>
  <c r="BG86" i="1"/>
  <c r="BG88" i="1" s="1"/>
  <c r="BH86" i="1"/>
  <c r="BH88" i="1" s="1"/>
  <c r="BI86" i="1"/>
  <c r="BI88" i="1" s="1"/>
  <c r="BJ86" i="1"/>
  <c r="BJ88" i="1" s="1"/>
  <c r="BK86" i="1"/>
  <c r="BK88" i="1" s="1"/>
  <c r="BL86" i="1"/>
  <c r="BL88" i="1" s="1"/>
  <c r="BN86" i="1"/>
  <c r="BN88" i="1" s="1"/>
  <c r="BO86" i="1"/>
  <c r="BO88" i="1" s="1"/>
  <c r="BP86" i="1"/>
  <c r="BP88" i="1" s="1"/>
  <c r="AL86" i="1"/>
  <c r="AL88" i="1" s="1"/>
  <c r="BT86" i="1"/>
  <c r="BT88" i="1" s="1"/>
  <c r="BU86" i="1"/>
  <c r="BU88" i="1" s="1"/>
  <c r="BV86" i="1"/>
  <c r="BV88" i="1" s="1"/>
  <c r="BW86" i="1"/>
  <c r="BW88" i="1" s="1"/>
  <c r="BX86" i="1"/>
  <c r="BX88" i="1" s="1"/>
  <c r="BY86" i="1"/>
  <c r="BY88" i="1" s="1"/>
  <c r="BS86" i="1"/>
  <c r="BS88" i="1" s="1"/>
  <c r="S103" i="1"/>
  <c r="M103" i="1"/>
  <c r="R95" i="1"/>
  <c r="N93" i="1"/>
  <c r="N92" i="1"/>
  <c r="N91" i="1"/>
  <c r="N90" i="1"/>
  <c r="BY81" i="1"/>
  <c r="BX81" i="1"/>
  <c r="BW81" i="1"/>
  <c r="BV81" i="1"/>
  <c r="BU81" i="1"/>
  <c r="BT81" i="1"/>
  <c r="BS81" i="1"/>
  <c r="BP81" i="1"/>
  <c r="BO81" i="1"/>
  <c r="BN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S81" i="1"/>
  <c r="AR94" i="1" s="1"/>
  <c r="AR95" i="1" s="1"/>
  <c r="AR96" i="1" s="1"/>
  <c r="R81" i="1"/>
  <c r="AQ94" i="1" s="1"/>
  <c r="AQ95" i="1" s="1"/>
  <c r="AQ96" i="1" s="1"/>
  <c r="Q81" i="1"/>
  <c r="N81" i="1"/>
  <c r="M81" i="1"/>
  <c r="L81" i="1"/>
  <c r="K81" i="1"/>
  <c r="J81" i="1"/>
  <c r="CI80" i="1"/>
  <c r="CE80" i="1"/>
  <c r="D80" i="1"/>
  <c r="C80" i="1"/>
  <c r="B80" i="1"/>
  <c r="CI79" i="1"/>
  <c r="T79" i="1"/>
  <c r="C79" i="1" s="1"/>
  <c r="B79" i="1"/>
  <c r="CI78" i="1"/>
  <c r="B78" i="1"/>
  <c r="CG77" i="1"/>
  <c r="CI77" i="1" s="1"/>
  <c r="CE77" i="1"/>
  <c r="CA77" i="1"/>
  <c r="AC77" i="1" s="1"/>
  <c r="AH77" i="1" s="1"/>
  <c r="BQ77" i="1"/>
  <c r="AB77" i="1" s="1"/>
  <c r="AG77" i="1" s="1"/>
  <c r="BM77" i="1"/>
  <c r="AA77" i="1" s="1"/>
  <c r="AF77" i="1" s="1"/>
  <c r="AX77" i="1"/>
  <c r="Z77" i="1" s="1"/>
  <c r="T77" i="1"/>
  <c r="B77" i="1"/>
  <c r="CG76" i="1"/>
  <c r="CI76" i="1" s="1"/>
  <c r="CE76" i="1"/>
  <c r="CA76" i="1"/>
  <c r="AC76" i="1" s="1"/>
  <c r="AH76" i="1" s="1"/>
  <c r="BQ76" i="1"/>
  <c r="AB76" i="1" s="1"/>
  <c r="AG76" i="1" s="1"/>
  <c r="BM76" i="1"/>
  <c r="AA76" i="1" s="1"/>
  <c r="AF76" i="1" s="1"/>
  <c r="AX76" i="1"/>
  <c r="Z76" i="1" s="1"/>
  <c r="AE76" i="1" s="1"/>
  <c r="T76" i="1"/>
  <c r="B76" i="1"/>
  <c r="CG75" i="1"/>
  <c r="CI75" i="1" s="1"/>
  <c r="CE75" i="1"/>
  <c r="CA75" i="1"/>
  <c r="AC75" i="1" s="1"/>
  <c r="AH75" i="1" s="1"/>
  <c r="BQ75" i="1"/>
  <c r="AB75" i="1" s="1"/>
  <c r="AG75" i="1" s="1"/>
  <c r="BM75" i="1"/>
  <c r="AA75" i="1" s="1"/>
  <c r="AF75" i="1" s="1"/>
  <c r="AX75" i="1"/>
  <c r="Z75" i="1" s="1"/>
  <c r="T75" i="1"/>
  <c r="B75" i="1"/>
  <c r="CG74" i="1"/>
  <c r="CI74" i="1" s="1"/>
  <c r="CC74" i="1"/>
  <c r="CE74" i="1" s="1"/>
  <c r="CA74" i="1"/>
  <c r="AC74" i="1" s="1"/>
  <c r="AH74" i="1" s="1"/>
  <c r="BQ74" i="1"/>
  <c r="AB74" i="1" s="1"/>
  <c r="AG74" i="1" s="1"/>
  <c r="BM74" i="1"/>
  <c r="AA74" i="1" s="1"/>
  <c r="AF74" i="1" s="1"/>
  <c r="AX74" i="1"/>
  <c r="Z74" i="1" s="1"/>
  <c r="T74" i="1"/>
  <c r="B74" i="1"/>
  <c r="CG73" i="1"/>
  <c r="CI73" i="1" s="1"/>
  <c r="CC73" i="1"/>
  <c r="CE73" i="1" s="1"/>
  <c r="BZ73" i="1"/>
  <c r="BR73" i="1"/>
  <c r="BQ73" i="1"/>
  <c r="AB73" i="1" s="1"/>
  <c r="AG73" i="1" s="1"/>
  <c r="BM73" i="1"/>
  <c r="AA73" i="1" s="1"/>
  <c r="AF73" i="1" s="1"/>
  <c r="AX73" i="1"/>
  <c r="Z73" i="1" s="1"/>
  <c r="T73" i="1"/>
  <c r="B73" i="1"/>
  <c r="CG72" i="1"/>
  <c r="CI72" i="1" s="1"/>
  <c r="CE72" i="1"/>
  <c r="CA72" i="1"/>
  <c r="AC72" i="1" s="1"/>
  <c r="AH72" i="1" s="1"/>
  <c r="BQ72" i="1"/>
  <c r="AB72" i="1" s="1"/>
  <c r="AG72" i="1" s="1"/>
  <c r="BM72" i="1"/>
  <c r="AA72" i="1" s="1"/>
  <c r="AF72" i="1" s="1"/>
  <c r="AX72" i="1"/>
  <c r="Z72" i="1" s="1"/>
  <c r="AE72" i="1" s="1"/>
  <c r="T72" i="1"/>
  <c r="B72" i="1"/>
  <c r="CG71" i="1"/>
  <c r="CH71" i="1" s="1"/>
  <c r="CI71" i="1" s="1"/>
  <c r="CC71" i="1"/>
  <c r="CE71" i="1" s="1"/>
  <c r="CA71" i="1"/>
  <c r="AC71" i="1" s="1"/>
  <c r="BQ71" i="1"/>
  <c r="AB71" i="1" s="1"/>
  <c r="AG71" i="1" s="1"/>
  <c r="BM71" i="1"/>
  <c r="AA71" i="1" s="1"/>
  <c r="AF71" i="1" s="1"/>
  <c r="AX71" i="1"/>
  <c r="Z71" i="1" s="1"/>
  <c r="AE71" i="1" s="1"/>
  <c r="B71" i="1"/>
  <c r="CG70" i="1"/>
  <c r="CI70" i="1" s="1"/>
  <c r="CE70" i="1"/>
  <c r="CA70" i="1"/>
  <c r="AC70" i="1" s="1"/>
  <c r="AH70" i="1" s="1"/>
  <c r="BQ70" i="1"/>
  <c r="AB70" i="1" s="1"/>
  <c r="AG70" i="1" s="1"/>
  <c r="BM70" i="1"/>
  <c r="AA70" i="1" s="1"/>
  <c r="AF70" i="1" s="1"/>
  <c r="AX70" i="1"/>
  <c r="Z70" i="1" s="1"/>
  <c r="AE70" i="1" s="1"/>
  <c r="T70" i="1"/>
  <c r="B70" i="1"/>
  <c r="CG69" i="1"/>
  <c r="CC69" i="1"/>
  <c r="CE69" i="1" s="1"/>
  <c r="BZ69" i="1"/>
  <c r="BR69" i="1"/>
  <c r="BQ69" i="1"/>
  <c r="AB69" i="1" s="1"/>
  <c r="AG69" i="1" s="1"/>
  <c r="BM69" i="1"/>
  <c r="AA69" i="1" s="1"/>
  <c r="AF69" i="1" s="1"/>
  <c r="AX69" i="1"/>
  <c r="Z69" i="1" s="1"/>
  <c r="T69" i="1"/>
  <c r="B69" i="1"/>
  <c r="CG68" i="1"/>
  <c r="CI68" i="1" s="1"/>
  <c r="CE68" i="1"/>
  <c r="CA68" i="1"/>
  <c r="AC68" i="1" s="1"/>
  <c r="AH68" i="1" s="1"/>
  <c r="BQ68" i="1"/>
  <c r="AB68" i="1" s="1"/>
  <c r="AG68" i="1" s="1"/>
  <c r="BM68" i="1"/>
  <c r="AA68" i="1" s="1"/>
  <c r="AF68" i="1" s="1"/>
  <c r="AX68" i="1"/>
  <c r="Z68" i="1" s="1"/>
  <c r="T68" i="1"/>
  <c r="B68" i="1"/>
  <c r="CG67" i="1"/>
  <c r="CI67" i="1" s="1"/>
  <c r="CE67" i="1"/>
  <c r="CA67" i="1"/>
  <c r="AC67" i="1" s="1"/>
  <c r="AH67" i="1" s="1"/>
  <c r="BQ67" i="1"/>
  <c r="AB67" i="1" s="1"/>
  <c r="AG67" i="1" s="1"/>
  <c r="BM67" i="1"/>
  <c r="AA67" i="1" s="1"/>
  <c r="AF67" i="1" s="1"/>
  <c r="AX67" i="1"/>
  <c r="Z67" i="1" s="1"/>
  <c r="T67" i="1"/>
  <c r="B67" i="1"/>
  <c r="CG66" i="1"/>
  <c r="CI66" i="1" s="1"/>
  <c r="CE66" i="1"/>
  <c r="CA66" i="1"/>
  <c r="AC66" i="1" s="1"/>
  <c r="AH66" i="1" s="1"/>
  <c r="BQ66" i="1"/>
  <c r="AB66" i="1" s="1"/>
  <c r="AG66" i="1" s="1"/>
  <c r="BM66" i="1"/>
  <c r="AA66" i="1" s="1"/>
  <c r="AF66" i="1" s="1"/>
  <c r="AX66" i="1"/>
  <c r="Z66" i="1" s="1"/>
  <c r="T66" i="1"/>
  <c r="B66" i="1"/>
  <c r="CG65" i="1"/>
  <c r="CI65" i="1" s="1"/>
  <c r="CC65" i="1"/>
  <c r="CA65" i="1"/>
  <c r="AC65" i="1" s="1"/>
  <c r="BQ65" i="1"/>
  <c r="AB65" i="1" s="1"/>
  <c r="AG65" i="1" s="1"/>
  <c r="BM65" i="1"/>
  <c r="AA65" i="1" s="1"/>
  <c r="AF65" i="1" s="1"/>
  <c r="AX65" i="1"/>
  <c r="Z65" i="1" s="1"/>
  <c r="AE65" i="1" s="1"/>
  <c r="T65" i="1"/>
  <c r="B65" i="1"/>
  <c r="CG64" i="1"/>
  <c r="CH64" i="1" s="1"/>
  <c r="CC64" i="1"/>
  <c r="CE64" i="1" s="1"/>
  <c r="CA64" i="1"/>
  <c r="AC64" i="1" s="1"/>
  <c r="AH64" i="1" s="1"/>
  <c r="BQ64" i="1"/>
  <c r="AB64" i="1" s="1"/>
  <c r="AG64" i="1" s="1"/>
  <c r="BM64" i="1"/>
  <c r="AA64" i="1" s="1"/>
  <c r="AF64" i="1" s="1"/>
  <c r="AX64" i="1"/>
  <c r="Z64" i="1" s="1"/>
  <c r="AE64" i="1" s="1"/>
  <c r="T64" i="1"/>
  <c r="B64" i="1"/>
  <c r="CG63" i="1"/>
  <c r="CI63" i="1" s="1"/>
  <c r="CE63" i="1"/>
  <c r="CA63" i="1"/>
  <c r="AC63" i="1" s="1"/>
  <c r="AH63" i="1" s="1"/>
  <c r="BQ63" i="1"/>
  <c r="AB63" i="1" s="1"/>
  <c r="AG63" i="1" s="1"/>
  <c r="BM63" i="1"/>
  <c r="AA63" i="1" s="1"/>
  <c r="AF63" i="1" s="1"/>
  <c r="AX63" i="1"/>
  <c r="Z63" i="1" s="1"/>
  <c r="T63" i="1"/>
  <c r="B63" i="1"/>
  <c r="CG62" i="1"/>
  <c r="CI62" i="1" s="1"/>
  <c r="CE62" i="1"/>
  <c r="CA62" i="1"/>
  <c r="AC62" i="1" s="1"/>
  <c r="AH62" i="1" s="1"/>
  <c r="BQ62" i="1"/>
  <c r="AB62" i="1" s="1"/>
  <c r="AG62" i="1" s="1"/>
  <c r="BM62" i="1"/>
  <c r="AA62" i="1" s="1"/>
  <c r="AF62" i="1" s="1"/>
  <c r="AX62" i="1"/>
  <c r="Z62" i="1" s="1"/>
  <c r="T62" i="1"/>
  <c r="B62" i="1"/>
  <c r="CG61" i="1"/>
  <c r="CI61" i="1" s="1"/>
  <c r="CE61" i="1"/>
  <c r="CA61" i="1"/>
  <c r="AC61" i="1" s="1"/>
  <c r="AH61" i="1" s="1"/>
  <c r="BQ61" i="1"/>
  <c r="AB61" i="1" s="1"/>
  <c r="AG61" i="1" s="1"/>
  <c r="BM61" i="1"/>
  <c r="AA61" i="1" s="1"/>
  <c r="AF61" i="1" s="1"/>
  <c r="AX61" i="1"/>
  <c r="Z61" i="1" s="1"/>
  <c r="AE61" i="1" s="1"/>
  <c r="T61" i="1"/>
  <c r="B61" i="1"/>
  <c r="CG60" i="1"/>
  <c r="CI60" i="1" s="1"/>
  <c r="CE60" i="1"/>
  <c r="CA60" i="1"/>
  <c r="AC60" i="1" s="1"/>
  <c r="AH60" i="1" s="1"/>
  <c r="BQ60" i="1"/>
  <c r="AB60" i="1" s="1"/>
  <c r="AG60" i="1" s="1"/>
  <c r="BM60" i="1"/>
  <c r="AA60" i="1" s="1"/>
  <c r="AF60" i="1" s="1"/>
  <c r="AX60" i="1"/>
  <c r="Z60" i="1" s="1"/>
  <c r="AE60" i="1" s="1"/>
  <c r="T60" i="1"/>
  <c r="B60" i="1"/>
  <c r="CG59" i="1"/>
  <c r="CI59" i="1" s="1"/>
  <c r="CE59" i="1"/>
  <c r="CA59" i="1"/>
  <c r="AC59" i="1" s="1"/>
  <c r="AH59" i="1" s="1"/>
  <c r="BQ59" i="1"/>
  <c r="AB59" i="1" s="1"/>
  <c r="AG59" i="1" s="1"/>
  <c r="BM59" i="1"/>
  <c r="AA59" i="1" s="1"/>
  <c r="AF59" i="1" s="1"/>
  <c r="AX59" i="1"/>
  <c r="Z59" i="1" s="1"/>
  <c r="T59" i="1"/>
  <c r="B59" i="1"/>
  <c r="CG58" i="1"/>
  <c r="CI58" i="1" s="1"/>
  <c r="CC58" i="1"/>
  <c r="CD58" i="1" s="1"/>
  <c r="CE58" i="1" s="1"/>
  <c r="CA58" i="1"/>
  <c r="AC58" i="1" s="1"/>
  <c r="AH58" i="1" s="1"/>
  <c r="BQ58" i="1"/>
  <c r="AB58" i="1" s="1"/>
  <c r="AG58" i="1" s="1"/>
  <c r="BM58" i="1"/>
  <c r="AA58" i="1" s="1"/>
  <c r="AX58" i="1"/>
  <c r="Z58" i="1" s="1"/>
  <c r="AE58" i="1" s="1"/>
  <c r="T58" i="1"/>
  <c r="B58" i="1"/>
  <c r="CG57" i="1"/>
  <c r="CI57" i="1" s="1"/>
  <c r="CE57" i="1"/>
  <c r="CA57" i="1"/>
  <c r="AC57" i="1" s="1"/>
  <c r="AH57" i="1" s="1"/>
  <c r="BQ57" i="1"/>
  <c r="AB57" i="1" s="1"/>
  <c r="AG57" i="1" s="1"/>
  <c r="BM57" i="1"/>
  <c r="AA57" i="1" s="1"/>
  <c r="AX57" i="1"/>
  <c r="Z57" i="1" s="1"/>
  <c r="AE57" i="1" s="1"/>
  <c r="T57" i="1"/>
  <c r="B57" i="1"/>
  <c r="CG56" i="1"/>
  <c r="CI56" i="1" s="1"/>
  <c r="CC56" i="1"/>
  <c r="CE56" i="1" s="1"/>
  <c r="CA56" i="1"/>
  <c r="AC56" i="1" s="1"/>
  <c r="AH56" i="1" s="1"/>
  <c r="BQ56" i="1"/>
  <c r="AB56" i="1" s="1"/>
  <c r="AG56" i="1" s="1"/>
  <c r="BM56" i="1"/>
  <c r="AA56" i="1" s="1"/>
  <c r="AF56" i="1" s="1"/>
  <c r="AX56" i="1"/>
  <c r="Z56" i="1" s="1"/>
  <c r="T56" i="1"/>
  <c r="B56" i="1"/>
  <c r="CG55" i="1"/>
  <c r="CI55" i="1" s="1"/>
  <c r="CC55" i="1"/>
  <c r="CE55" i="1" s="1"/>
  <c r="CA55" i="1"/>
  <c r="AC55" i="1" s="1"/>
  <c r="AH55" i="1" s="1"/>
  <c r="BQ55" i="1"/>
  <c r="AB55" i="1" s="1"/>
  <c r="AG55" i="1" s="1"/>
  <c r="BM55" i="1"/>
  <c r="AA55" i="1" s="1"/>
  <c r="AF55" i="1" s="1"/>
  <c r="AX55" i="1"/>
  <c r="Z55" i="1" s="1"/>
  <c r="T55" i="1"/>
  <c r="B55" i="1"/>
  <c r="CG54" i="1"/>
  <c r="CI54" i="1" s="1"/>
  <c r="CC54" i="1"/>
  <c r="CE54" i="1" s="1"/>
  <c r="CA54" i="1"/>
  <c r="AC54" i="1" s="1"/>
  <c r="AH54" i="1" s="1"/>
  <c r="BQ54" i="1"/>
  <c r="AB54" i="1" s="1"/>
  <c r="AG54" i="1" s="1"/>
  <c r="BM54" i="1"/>
  <c r="AA54" i="1" s="1"/>
  <c r="AF54" i="1" s="1"/>
  <c r="AX54" i="1"/>
  <c r="Z54" i="1" s="1"/>
  <c r="T54" i="1"/>
  <c r="B54" i="1"/>
  <c r="CG53" i="1"/>
  <c r="CI53" i="1" s="1"/>
  <c r="CE53" i="1"/>
  <c r="CA53" i="1"/>
  <c r="AC53" i="1" s="1"/>
  <c r="AH53" i="1" s="1"/>
  <c r="BQ53" i="1"/>
  <c r="AB53" i="1" s="1"/>
  <c r="AG53" i="1" s="1"/>
  <c r="BM53" i="1"/>
  <c r="AA53" i="1" s="1"/>
  <c r="AF53" i="1" s="1"/>
  <c r="AX53" i="1"/>
  <c r="Z53" i="1" s="1"/>
  <c r="T53" i="1"/>
  <c r="B53" i="1"/>
  <c r="CG52" i="1"/>
  <c r="CI52" i="1" s="1"/>
  <c r="CC52" i="1"/>
  <c r="CE52" i="1" s="1"/>
  <c r="CA52" i="1"/>
  <c r="AC52" i="1" s="1"/>
  <c r="AH52" i="1" s="1"/>
  <c r="BQ52" i="1"/>
  <c r="AB52" i="1" s="1"/>
  <c r="AG52" i="1" s="1"/>
  <c r="BM52" i="1"/>
  <c r="AA52" i="1" s="1"/>
  <c r="AF52" i="1" s="1"/>
  <c r="AX52" i="1"/>
  <c r="Z52" i="1" s="1"/>
  <c r="AE52" i="1" s="1"/>
  <c r="T52" i="1"/>
  <c r="B52" i="1"/>
  <c r="CG51" i="1"/>
  <c r="CI51" i="1" s="1"/>
  <c r="CC51" i="1"/>
  <c r="CE51" i="1" s="1"/>
  <c r="CA51" i="1"/>
  <c r="AC51" i="1" s="1"/>
  <c r="AH51" i="1" s="1"/>
  <c r="BQ51" i="1"/>
  <c r="AB51" i="1" s="1"/>
  <c r="AG51" i="1" s="1"/>
  <c r="BM51" i="1"/>
  <c r="AA51" i="1" s="1"/>
  <c r="AF51" i="1" s="1"/>
  <c r="AX51" i="1"/>
  <c r="Z51" i="1" s="1"/>
  <c r="AE51" i="1" s="1"/>
  <c r="B51" i="1"/>
  <c r="CG50" i="1"/>
  <c r="CC50" i="1"/>
  <c r="CE50" i="1" s="1"/>
  <c r="CA50" i="1"/>
  <c r="AC50" i="1" s="1"/>
  <c r="AH50" i="1" s="1"/>
  <c r="BQ50" i="1"/>
  <c r="AB50" i="1" s="1"/>
  <c r="AG50" i="1" s="1"/>
  <c r="BM50" i="1"/>
  <c r="AA50" i="1" s="1"/>
  <c r="AF50" i="1" s="1"/>
  <c r="AX50" i="1"/>
  <c r="Z50" i="1" s="1"/>
  <c r="T50" i="1"/>
  <c r="B50" i="1"/>
  <c r="CG49" i="1"/>
  <c r="CI49" i="1" s="1"/>
  <c r="CC49" i="1"/>
  <c r="CE49" i="1" s="1"/>
  <c r="CA49" i="1"/>
  <c r="AC49" i="1" s="1"/>
  <c r="AH49" i="1" s="1"/>
  <c r="BQ49" i="1"/>
  <c r="AB49" i="1" s="1"/>
  <c r="AG49" i="1" s="1"/>
  <c r="BM49" i="1"/>
  <c r="AA49" i="1" s="1"/>
  <c r="AF49" i="1" s="1"/>
  <c r="AX49" i="1"/>
  <c r="Z49" i="1" s="1"/>
  <c r="AE49" i="1" s="1"/>
  <c r="T49" i="1"/>
  <c r="B49" i="1"/>
  <c r="CG48" i="1"/>
  <c r="CI48" i="1" s="1"/>
  <c r="CC48" i="1"/>
  <c r="CE48" i="1" s="1"/>
  <c r="CA48" i="1"/>
  <c r="AC48" i="1" s="1"/>
  <c r="AH48" i="1" s="1"/>
  <c r="BQ48" i="1"/>
  <c r="AB48" i="1" s="1"/>
  <c r="AG48" i="1" s="1"/>
  <c r="BM48" i="1"/>
  <c r="AA48" i="1" s="1"/>
  <c r="AF48" i="1" s="1"/>
  <c r="AX48" i="1"/>
  <c r="Z48" i="1" s="1"/>
  <c r="AE48" i="1" s="1"/>
  <c r="B48" i="1"/>
  <c r="CG47" i="1"/>
  <c r="CI47" i="1" s="1"/>
  <c r="CC47" i="1"/>
  <c r="CE47" i="1" s="1"/>
  <c r="CA47" i="1"/>
  <c r="AC47" i="1" s="1"/>
  <c r="AH47" i="1" s="1"/>
  <c r="BQ47" i="1"/>
  <c r="AB47" i="1" s="1"/>
  <c r="AG47" i="1" s="1"/>
  <c r="BM47" i="1"/>
  <c r="AA47" i="1" s="1"/>
  <c r="AF47" i="1" s="1"/>
  <c r="AX47" i="1"/>
  <c r="Z47" i="1" s="1"/>
  <c r="T47" i="1"/>
  <c r="B47" i="1"/>
  <c r="CG46" i="1"/>
  <c r="CI46" i="1" s="1"/>
  <c r="CC46" i="1"/>
  <c r="CE46" i="1" s="1"/>
  <c r="CA46" i="1"/>
  <c r="AC46" i="1" s="1"/>
  <c r="AH46" i="1" s="1"/>
  <c r="BQ46" i="1"/>
  <c r="AB46" i="1" s="1"/>
  <c r="AG46" i="1" s="1"/>
  <c r="BM46" i="1"/>
  <c r="AA46" i="1" s="1"/>
  <c r="AF46" i="1" s="1"/>
  <c r="AX46" i="1"/>
  <c r="Z46" i="1" s="1"/>
  <c r="AE46" i="1" s="1"/>
  <c r="T46" i="1"/>
  <c r="B46" i="1"/>
  <c r="CG45" i="1"/>
  <c r="CH45" i="1" s="1"/>
  <c r="CC45" i="1"/>
  <c r="CE45" i="1" s="1"/>
  <c r="CA45" i="1"/>
  <c r="AC45" i="1" s="1"/>
  <c r="AH45" i="1" s="1"/>
  <c r="BQ45" i="1"/>
  <c r="AB45" i="1" s="1"/>
  <c r="AG45" i="1" s="1"/>
  <c r="BM45" i="1"/>
  <c r="AA45" i="1" s="1"/>
  <c r="AF45" i="1" s="1"/>
  <c r="AX45" i="1"/>
  <c r="Z45" i="1" s="1"/>
  <c r="AE45" i="1" s="1"/>
  <c r="T45" i="1"/>
  <c r="B45" i="1"/>
  <c r="CG44" i="1"/>
  <c r="CI44" i="1" s="1"/>
  <c r="CC44" i="1"/>
  <c r="CE44" i="1" s="1"/>
  <c r="CA44" i="1"/>
  <c r="AC44" i="1" s="1"/>
  <c r="AH44" i="1" s="1"/>
  <c r="BQ44" i="1"/>
  <c r="AB44" i="1" s="1"/>
  <c r="AG44" i="1" s="1"/>
  <c r="BM44" i="1"/>
  <c r="AA44" i="1" s="1"/>
  <c r="AF44" i="1" s="1"/>
  <c r="AX44" i="1"/>
  <c r="Z44" i="1" s="1"/>
  <c r="T44" i="1"/>
  <c r="B44" i="1"/>
  <c r="CG43" i="1"/>
  <c r="CI43" i="1" s="1"/>
  <c r="CC43" i="1"/>
  <c r="CE43" i="1" s="1"/>
  <c r="CA43" i="1"/>
  <c r="AC43" i="1" s="1"/>
  <c r="AH43" i="1" s="1"/>
  <c r="BQ43" i="1"/>
  <c r="AB43" i="1" s="1"/>
  <c r="AG43" i="1" s="1"/>
  <c r="BM43" i="1"/>
  <c r="AA43" i="1" s="1"/>
  <c r="AF43" i="1" s="1"/>
  <c r="AX43" i="1"/>
  <c r="Z43" i="1" s="1"/>
  <c r="AE43" i="1" s="1"/>
  <c r="T43" i="1"/>
  <c r="B43" i="1"/>
  <c r="CG42" i="1"/>
  <c r="CI42" i="1" s="1"/>
  <c r="CC42" i="1"/>
  <c r="CE42" i="1" s="1"/>
  <c r="CA42" i="1"/>
  <c r="AC42" i="1" s="1"/>
  <c r="AH42" i="1" s="1"/>
  <c r="BQ42" i="1"/>
  <c r="AB42" i="1" s="1"/>
  <c r="AG42" i="1" s="1"/>
  <c r="BM42" i="1"/>
  <c r="AA42" i="1" s="1"/>
  <c r="AF42" i="1" s="1"/>
  <c r="AX42" i="1"/>
  <c r="Z42" i="1" s="1"/>
  <c r="T42" i="1"/>
  <c r="B42" i="1"/>
  <c r="CG41" i="1"/>
  <c r="CI41" i="1" s="1"/>
  <c r="CC41" i="1"/>
  <c r="CE41" i="1" s="1"/>
  <c r="CA41" i="1"/>
  <c r="AC41" i="1" s="1"/>
  <c r="AH41" i="1" s="1"/>
  <c r="BQ41" i="1"/>
  <c r="AB41" i="1" s="1"/>
  <c r="AG41" i="1" s="1"/>
  <c r="BM41" i="1"/>
  <c r="AA41" i="1" s="1"/>
  <c r="AF41" i="1" s="1"/>
  <c r="AX41" i="1"/>
  <c r="Z41" i="1" s="1"/>
  <c r="T41" i="1"/>
  <c r="B41" i="1"/>
  <c r="CG40" i="1"/>
  <c r="CI40" i="1" s="1"/>
  <c r="CC40" i="1"/>
  <c r="CE40" i="1" s="1"/>
  <c r="CA40" i="1"/>
  <c r="AC40" i="1" s="1"/>
  <c r="AH40" i="1" s="1"/>
  <c r="BQ40" i="1"/>
  <c r="AB40" i="1" s="1"/>
  <c r="AG40" i="1" s="1"/>
  <c r="BM40" i="1"/>
  <c r="AA40" i="1" s="1"/>
  <c r="AX40" i="1"/>
  <c r="Z40" i="1" s="1"/>
  <c r="AE40" i="1" s="1"/>
  <c r="T40" i="1"/>
  <c r="B40" i="1"/>
  <c r="CG39" i="1"/>
  <c r="CI39" i="1" s="1"/>
  <c r="CC39" i="1"/>
  <c r="CE39" i="1" s="1"/>
  <c r="CA39" i="1"/>
  <c r="AC39" i="1" s="1"/>
  <c r="AH39" i="1" s="1"/>
  <c r="BQ39" i="1"/>
  <c r="AB39" i="1" s="1"/>
  <c r="AG39" i="1" s="1"/>
  <c r="BM39" i="1"/>
  <c r="AA39" i="1" s="1"/>
  <c r="AF39" i="1" s="1"/>
  <c r="AX39" i="1"/>
  <c r="Z39" i="1" s="1"/>
  <c r="T39" i="1"/>
  <c r="B39" i="1"/>
  <c r="CG38" i="1"/>
  <c r="CI38" i="1" s="1"/>
  <c r="CC38" i="1"/>
  <c r="CE38" i="1" s="1"/>
  <c r="CA38" i="1"/>
  <c r="AC38" i="1" s="1"/>
  <c r="AH38" i="1" s="1"/>
  <c r="BQ38" i="1"/>
  <c r="AB38" i="1" s="1"/>
  <c r="AG38" i="1" s="1"/>
  <c r="BM38" i="1"/>
  <c r="AA38" i="1" s="1"/>
  <c r="AF38" i="1" s="1"/>
  <c r="AX38" i="1"/>
  <c r="Z38" i="1" s="1"/>
  <c r="T38" i="1"/>
  <c r="B38" i="1"/>
  <c r="CG37" i="1"/>
  <c r="CH37" i="1" s="1"/>
  <c r="CI37" i="1" s="1"/>
  <c r="CC37" i="1"/>
  <c r="CE37" i="1" s="1"/>
  <c r="CA37" i="1"/>
  <c r="AC37" i="1" s="1"/>
  <c r="AH37" i="1" s="1"/>
  <c r="BQ37" i="1"/>
  <c r="AB37" i="1" s="1"/>
  <c r="AG37" i="1" s="1"/>
  <c r="BM37" i="1"/>
  <c r="AA37" i="1" s="1"/>
  <c r="AF37" i="1" s="1"/>
  <c r="AX37" i="1"/>
  <c r="Z37" i="1" s="1"/>
  <c r="T37" i="1"/>
  <c r="B37" i="1"/>
  <c r="CG36" i="1"/>
  <c r="CC36" i="1"/>
  <c r="CE36" i="1" s="1"/>
  <c r="BZ36" i="1"/>
  <c r="BR36" i="1"/>
  <c r="BQ36" i="1"/>
  <c r="AB36" i="1" s="1"/>
  <c r="AG36" i="1" s="1"/>
  <c r="BM36" i="1"/>
  <c r="AA36" i="1" s="1"/>
  <c r="AF36" i="1" s="1"/>
  <c r="AX36" i="1"/>
  <c r="Z36" i="1" s="1"/>
  <c r="T36" i="1"/>
  <c r="B36" i="1"/>
  <c r="CG35" i="1"/>
  <c r="CI35" i="1" s="1"/>
  <c r="CC35" i="1"/>
  <c r="CE35" i="1" s="1"/>
  <c r="CA35" i="1"/>
  <c r="AC35" i="1" s="1"/>
  <c r="AH35" i="1" s="1"/>
  <c r="BQ35" i="1"/>
  <c r="AB35" i="1" s="1"/>
  <c r="AG35" i="1" s="1"/>
  <c r="BM35" i="1"/>
  <c r="AA35" i="1" s="1"/>
  <c r="AX35" i="1"/>
  <c r="Z35" i="1" s="1"/>
  <c r="AE35" i="1" s="1"/>
  <c r="T35" i="1"/>
  <c r="B35" i="1"/>
  <c r="CG34" i="1"/>
  <c r="CI34" i="1" s="1"/>
  <c r="CC34" i="1"/>
  <c r="CE34" i="1" s="1"/>
  <c r="CA34" i="1"/>
  <c r="AC34" i="1" s="1"/>
  <c r="AH34" i="1" s="1"/>
  <c r="BQ34" i="1"/>
  <c r="AB34" i="1" s="1"/>
  <c r="BM34" i="1"/>
  <c r="AA34" i="1" s="1"/>
  <c r="AF34" i="1" s="1"/>
  <c r="AX34" i="1"/>
  <c r="Z34" i="1" s="1"/>
  <c r="AE34" i="1" s="1"/>
  <c r="T34" i="1"/>
  <c r="B34" i="1"/>
  <c r="CG33" i="1"/>
  <c r="CI33" i="1" s="1"/>
  <c r="CC33" i="1"/>
  <c r="CE33" i="1" s="1"/>
  <c r="BZ33" i="1"/>
  <c r="BR33" i="1"/>
  <c r="BQ33" i="1"/>
  <c r="AB33" i="1" s="1"/>
  <c r="AG33" i="1" s="1"/>
  <c r="BM33" i="1"/>
  <c r="AA33" i="1" s="1"/>
  <c r="AX33" i="1"/>
  <c r="Z33" i="1" s="1"/>
  <c r="AE33" i="1" s="1"/>
  <c r="T33" i="1"/>
  <c r="B33" i="1"/>
  <c r="CG32" i="1"/>
  <c r="CI32" i="1" s="1"/>
  <c r="CC32" i="1"/>
  <c r="CE32" i="1" s="1"/>
  <c r="CA32" i="1"/>
  <c r="AC32" i="1" s="1"/>
  <c r="AH32" i="1" s="1"/>
  <c r="BQ32" i="1"/>
  <c r="AB32" i="1" s="1"/>
  <c r="AG32" i="1" s="1"/>
  <c r="BM32" i="1"/>
  <c r="AA32" i="1" s="1"/>
  <c r="AX32" i="1"/>
  <c r="Z32" i="1" s="1"/>
  <c r="AE32" i="1" s="1"/>
  <c r="T32" i="1"/>
  <c r="B32" i="1"/>
  <c r="CG31" i="1"/>
  <c r="CH31" i="1" s="1"/>
  <c r="CC31" i="1"/>
  <c r="CE31" i="1" s="1"/>
  <c r="CA31" i="1"/>
  <c r="AC31" i="1" s="1"/>
  <c r="AH31" i="1" s="1"/>
  <c r="BQ31" i="1"/>
  <c r="AB31" i="1" s="1"/>
  <c r="AG31" i="1" s="1"/>
  <c r="BM31" i="1"/>
  <c r="AA31" i="1" s="1"/>
  <c r="AF31" i="1" s="1"/>
  <c r="AX31" i="1"/>
  <c r="Z31" i="1" s="1"/>
  <c r="T31" i="1"/>
  <c r="B31" i="1"/>
  <c r="CG30" i="1"/>
  <c r="CI30" i="1" s="1"/>
  <c r="CC30" i="1"/>
  <c r="CE30" i="1" s="1"/>
  <c r="CA30" i="1"/>
  <c r="AC30" i="1" s="1"/>
  <c r="AH30" i="1" s="1"/>
  <c r="BQ30" i="1"/>
  <c r="AB30" i="1" s="1"/>
  <c r="AG30" i="1" s="1"/>
  <c r="BM30" i="1"/>
  <c r="AA30" i="1" s="1"/>
  <c r="AF30" i="1" s="1"/>
  <c r="AX30" i="1"/>
  <c r="Z30" i="1" s="1"/>
  <c r="AE30" i="1" s="1"/>
  <c r="T30" i="1"/>
  <c r="B30" i="1"/>
  <c r="CG29" i="1"/>
  <c r="CI29" i="1" s="1"/>
  <c r="CC29" i="1"/>
  <c r="CE29" i="1" s="1"/>
  <c r="CA29" i="1"/>
  <c r="AC29" i="1" s="1"/>
  <c r="BQ29" i="1"/>
  <c r="AB29" i="1" s="1"/>
  <c r="AG29" i="1" s="1"/>
  <c r="BM29" i="1"/>
  <c r="AA29" i="1" s="1"/>
  <c r="AF29" i="1" s="1"/>
  <c r="AX29" i="1"/>
  <c r="Z29" i="1" s="1"/>
  <c r="AE29" i="1" s="1"/>
  <c r="T29" i="1"/>
  <c r="B29" i="1"/>
  <c r="CG28" i="1"/>
  <c r="CI28" i="1" s="1"/>
  <c r="CC28" i="1"/>
  <c r="CE28" i="1" s="1"/>
  <c r="CA28" i="1"/>
  <c r="AC28" i="1" s="1"/>
  <c r="AH28" i="1" s="1"/>
  <c r="BQ28" i="1"/>
  <c r="AB28" i="1" s="1"/>
  <c r="AG28" i="1" s="1"/>
  <c r="BM28" i="1"/>
  <c r="AA28" i="1" s="1"/>
  <c r="AF28" i="1" s="1"/>
  <c r="AX28" i="1"/>
  <c r="Z28" i="1" s="1"/>
  <c r="AE28" i="1" s="1"/>
  <c r="T28" i="1"/>
  <c r="C28" i="1" s="1"/>
  <c r="B28" i="1"/>
  <c r="CG27" i="1"/>
  <c r="CI27" i="1" s="1"/>
  <c r="CC27" i="1"/>
  <c r="CE27" i="1" s="1"/>
  <c r="CA27" i="1"/>
  <c r="AC27" i="1" s="1"/>
  <c r="AH27" i="1" s="1"/>
  <c r="BQ27" i="1"/>
  <c r="AB27" i="1" s="1"/>
  <c r="AG27" i="1" s="1"/>
  <c r="BM27" i="1"/>
  <c r="AA27" i="1" s="1"/>
  <c r="AF27" i="1" s="1"/>
  <c r="AX27" i="1"/>
  <c r="Z27" i="1" s="1"/>
  <c r="T27" i="1"/>
  <c r="B27" i="1"/>
  <c r="CG26" i="1"/>
  <c r="CH26" i="1" s="1"/>
  <c r="CC26" i="1"/>
  <c r="CE26" i="1" s="1"/>
  <c r="BZ26" i="1"/>
  <c r="BR26" i="1"/>
  <c r="BQ26" i="1"/>
  <c r="AB26" i="1" s="1"/>
  <c r="AG26" i="1" s="1"/>
  <c r="BM26" i="1"/>
  <c r="AA26" i="1" s="1"/>
  <c r="AF26" i="1" s="1"/>
  <c r="AX26" i="1"/>
  <c r="Z26" i="1" s="1"/>
  <c r="T26" i="1"/>
  <c r="B26" i="1"/>
  <c r="CG25" i="1"/>
  <c r="CI25" i="1" s="1"/>
  <c r="CC25" i="1"/>
  <c r="CD25" i="1" s="1"/>
  <c r="CE25" i="1" s="1"/>
  <c r="CA25" i="1"/>
  <c r="AC25" i="1" s="1"/>
  <c r="AH25" i="1" s="1"/>
  <c r="BQ25" i="1"/>
  <c r="AB25" i="1" s="1"/>
  <c r="AG25" i="1" s="1"/>
  <c r="BM25" i="1"/>
  <c r="AA25" i="1" s="1"/>
  <c r="AX25" i="1"/>
  <c r="Z25" i="1" s="1"/>
  <c r="AE25" i="1" s="1"/>
  <c r="T25" i="1"/>
  <c r="B25" i="1"/>
  <c r="CG24" i="1"/>
  <c r="CH24" i="1" s="1"/>
  <c r="CC24" i="1"/>
  <c r="CE24" i="1" s="1"/>
  <c r="CA24" i="1"/>
  <c r="AC24" i="1" s="1"/>
  <c r="AH24" i="1" s="1"/>
  <c r="BQ24" i="1"/>
  <c r="AB24" i="1" s="1"/>
  <c r="BM24" i="1"/>
  <c r="AA24" i="1" s="1"/>
  <c r="AF24" i="1" s="1"/>
  <c r="AX24" i="1"/>
  <c r="Z24" i="1" s="1"/>
  <c r="AE24" i="1" s="1"/>
  <c r="T24" i="1"/>
  <c r="B24" i="1"/>
  <c r="CG23" i="1"/>
  <c r="CI23" i="1" s="1"/>
  <c r="CC23" i="1"/>
  <c r="CE23" i="1" s="1"/>
  <c r="CA23" i="1"/>
  <c r="AC23" i="1" s="1"/>
  <c r="AH23" i="1" s="1"/>
  <c r="BQ23" i="1"/>
  <c r="AB23" i="1" s="1"/>
  <c r="AG23" i="1" s="1"/>
  <c r="BM23" i="1"/>
  <c r="AA23" i="1" s="1"/>
  <c r="AF23" i="1" s="1"/>
  <c r="AX23" i="1"/>
  <c r="Z23" i="1" s="1"/>
  <c r="AE23" i="1" s="1"/>
  <c r="T23" i="1"/>
  <c r="B23" i="1"/>
  <c r="CG22" i="1"/>
  <c r="CI22" i="1" s="1"/>
  <c r="CC22" i="1"/>
  <c r="CE22" i="1" s="1"/>
  <c r="CA22" i="1"/>
  <c r="AC22" i="1" s="1"/>
  <c r="AH22" i="1" s="1"/>
  <c r="BQ22" i="1"/>
  <c r="AB22" i="1" s="1"/>
  <c r="AG22" i="1" s="1"/>
  <c r="BM22" i="1"/>
  <c r="AA22" i="1" s="1"/>
  <c r="AF22" i="1" s="1"/>
  <c r="AX22" i="1"/>
  <c r="Z22" i="1" s="1"/>
  <c r="T22" i="1"/>
  <c r="B22" i="1"/>
  <c r="CG21" i="1"/>
  <c r="CH21" i="1" s="1"/>
  <c r="CC21" i="1"/>
  <c r="CE21" i="1" s="1"/>
  <c r="CA21" i="1"/>
  <c r="AC21" i="1" s="1"/>
  <c r="AH21" i="1" s="1"/>
  <c r="BQ21" i="1"/>
  <c r="AB21" i="1" s="1"/>
  <c r="AG21" i="1" s="1"/>
  <c r="BM21" i="1"/>
  <c r="AA21" i="1" s="1"/>
  <c r="AF21" i="1" s="1"/>
  <c r="AX21" i="1"/>
  <c r="Z21" i="1" s="1"/>
  <c r="T21" i="1"/>
  <c r="B21" i="1"/>
  <c r="CG20" i="1"/>
  <c r="CI20" i="1" s="1"/>
  <c r="CC20" i="1"/>
  <c r="CE20" i="1" s="1"/>
  <c r="CA20" i="1"/>
  <c r="AC20" i="1" s="1"/>
  <c r="AH20" i="1" s="1"/>
  <c r="BQ20" i="1"/>
  <c r="AB20" i="1" s="1"/>
  <c r="AG20" i="1" s="1"/>
  <c r="BM20" i="1"/>
  <c r="AA20" i="1" s="1"/>
  <c r="AF20" i="1" s="1"/>
  <c r="AX20" i="1"/>
  <c r="Z20" i="1" s="1"/>
  <c r="AE20" i="1" s="1"/>
  <c r="T20" i="1"/>
  <c r="B20" i="1"/>
  <c r="CG19" i="1"/>
  <c r="CI19" i="1" s="1"/>
  <c r="CC19" i="1"/>
  <c r="CE19" i="1" s="1"/>
  <c r="CA19" i="1"/>
  <c r="AC19" i="1" s="1"/>
  <c r="AH19" i="1" s="1"/>
  <c r="BQ19" i="1"/>
  <c r="AB19" i="1" s="1"/>
  <c r="AG19" i="1" s="1"/>
  <c r="BM19" i="1"/>
  <c r="AA19" i="1" s="1"/>
  <c r="AF19" i="1" s="1"/>
  <c r="AX19" i="1"/>
  <c r="Z19" i="1" s="1"/>
  <c r="T19" i="1"/>
  <c r="B19" i="1"/>
  <c r="CG18" i="1"/>
  <c r="CH18" i="1" s="1"/>
  <c r="CI18" i="1" s="1"/>
  <c r="CC18" i="1"/>
  <c r="CD18" i="1" s="1"/>
  <c r="CA18" i="1"/>
  <c r="AC18" i="1" s="1"/>
  <c r="AH18" i="1" s="1"/>
  <c r="BQ18" i="1"/>
  <c r="AB18" i="1" s="1"/>
  <c r="AG18" i="1" s="1"/>
  <c r="BM18" i="1"/>
  <c r="AA18" i="1" s="1"/>
  <c r="AF18" i="1" s="1"/>
  <c r="AX18" i="1"/>
  <c r="Z18" i="1" s="1"/>
  <c r="AE18" i="1" s="1"/>
  <c r="T18" i="1"/>
  <c r="B18" i="1"/>
  <c r="CG17" i="1"/>
  <c r="CH17" i="1" s="1"/>
  <c r="CI17" i="1" s="1"/>
  <c r="CC17" i="1"/>
  <c r="CE17" i="1" s="1"/>
  <c r="CA17" i="1"/>
  <c r="AC17" i="1" s="1"/>
  <c r="AH17" i="1" s="1"/>
  <c r="BQ17" i="1"/>
  <c r="AB17" i="1" s="1"/>
  <c r="AG17" i="1" s="1"/>
  <c r="BM17" i="1"/>
  <c r="AA17" i="1" s="1"/>
  <c r="AF17" i="1" s="1"/>
  <c r="AX17" i="1"/>
  <c r="Z17" i="1" s="1"/>
  <c r="T17" i="1"/>
  <c r="B17" i="1"/>
  <c r="CG16" i="1"/>
  <c r="CI16" i="1" s="1"/>
  <c r="CC16" i="1"/>
  <c r="CE16" i="1" s="1"/>
  <c r="CA16" i="1"/>
  <c r="AC16" i="1" s="1"/>
  <c r="AH16" i="1" s="1"/>
  <c r="BQ16" i="1"/>
  <c r="AB16" i="1" s="1"/>
  <c r="AG16" i="1" s="1"/>
  <c r="BM16" i="1"/>
  <c r="AA16" i="1" s="1"/>
  <c r="AF16" i="1" s="1"/>
  <c r="AX16" i="1"/>
  <c r="Z16" i="1" s="1"/>
  <c r="T16" i="1"/>
  <c r="B16" i="1"/>
  <c r="CG15" i="1"/>
  <c r="CI15" i="1" s="1"/>
  <c r="CC15" i="1"/>
  <c r="CE15" i="1" s="1"/>
  <c r="CA15" i="1"/>
  <c r="AC15" i="1" s="1"/>
  <c r="AH15" i="1" s="1"/>
  <c r="BQ15" i="1"/>
  <c r="AB15" i="1" s="1"/>
  <c r="AG15" i="1" s="1"/>
  <c r="BM15" i="1"/>
  <c r="AA15" i="1" s="1"/>
  <c r="AF15" i="1" s="1"/>
  <c r="AX15" i="1"/>
  <c r="Z15" i="1" s="1"/>
  <c r="T15" i="1"/>
  <c r="B15" i="1"/>
  <c r="CG14" i="1"/>
  <c r="CI14" i="1" s="1"/>
  <c r="CC14" i="1"/>
  <c r="CD14" i="1" s="1"/>
  <c r="CE14" i="1" s="1"/>
  <c r="CA14" i="1"/>
  <c r="AC14" i="1" s="1"/>
  <c r="AH14" i="1" s="1"/>
  <c r="BQ14" i="1"/>
  <c r="AB14" i="1" s="1"/>
  <c r="AG14" i="1" s="1"/>
  <c r="BM14" i="1"/>
  <c r="AA14" i="1" s="1"/>
  <c r="AF14" i="1" s="1"/>
  <c r="AX14" i="1"/>
  <c r="Z14" i="1" s="1"/>
  <c r="T14" i="1"/>
  <c r="B14" i="1"/>
  <c r="CG13" i="1"/>
  <c r="CC13" i="1"/>
  <c r="CE13" i="1" s="1"/>
  <c r="BZ13" i="1"/>
  <c r="BR13" i="1"/>
  <c r="BQ13" i="1"/>
  <c r="AB13" i="1" s="1"/>
  <c r="AG13" i="1" s="1"/>
  <c r="BM13" i="1"/>
  <c r="AA13" i="1" s="1"/>
  <c r="AF13" i="1" s="1"/>
  <c r="AX13" i="1"/>
  <c r="Z13" i="1" s="1"/>
  <c r="AE13" i="1" s="1"/>
  <c r="T13" i="1"/>
  <c r="B13" i="1"/>
  <c r="CG12" i="1"/>
  <c r="CI12" i="1" s="1"/>
  <c r="CC12" i="1"/>
  <c r="CE12" i="1" s="1"/>
  <c r="BZ12" i="1"/>
  <c r="BR12" i="1"/>
  <c r="BQ12" i="1"/>
  <c r="AB12" i="1" s="1"/>
  <c r="AG12" i="1" s="1"/>
  <c r="BM12" i="1"/>
  <c r="AA12" i="1" s="1"/>
  <c r="AF12" i="1" s="1"/>
  <c r="AX12" i="1"/>
  <c r="Z12" i="1" s="1"/>
  <c r="T12" i="1"/>
  <c r="B12" i="1"/>
  <c r="CG11" i="1"/>
  <c r="CI11" i="1" s="1"/>
  <c r="CC11" i="1"/>
  <c r="CE11" i="1" s="1"/>
  <c r="CA11" i="1"/>
  <c r="AC11" i="1" s="1"/>
  <c r="AH11" i="1" s="1"/>
  <c r="BQ11" i="1"/>
  <c r="AB11" i="1" s="1"/>
  <c r="BM11" i="1"/>
  <c r="AA11" i="1" s="1"/>
  <c r="AF11" i="1" s="1"/>
  <c r="AX11" i="1"/>
  <c r="Z11" i="1" s="1"/>
  <c r="AE11" i="1" s="1"/>
  <c r="T11" i="1"/>
  <c r="B11" i="1"/>
  <c r="CG10" i="1"/>
  <c r="CI10" i="1" s="1"/>
  <c r="CC10" i="1"/>
  <c r="CE10" i="1" s="1"/>
  <c r="CA10" i="1"/>
  <c r="AC10" i="1" s="1"/>
  <c r="AH10" i="1" s="1"/>
  <c r="BQ10" i="1"/>
  <c r="AB10" i="1" s="1"/>
  <c r="AG10" i="1" s="1"/>
  <c r="BM10" i="1"/>
  <c r="AA10" i="1" s="1"/>
  <c r="AF10" i="1" s="1"/>
  <c r="AX10" i="1"/>
  <c r="Z10" i="1" s="1"/>
  <c r="T10" i="1"/>
  <c r="B10" i="1"/>
  <c r="CG9" i="1"/>
  <c r="CI9" i="1" s="1"/>
  <c r="CC9" i="1"/>
  <c r="CE9" i="1" s="1"/>
  <c r="CA9" i="1"/>
  <c r="AC9" i="1" s="1"/>
  <c r="AH9" i="1" s="1"/>
  <c r="BQ9" i="1"/>
  <c r="AB9" i="1" s="1"/>
  <c r="AG9" i="1" s="1"/>
  <c r="BM9" i="1"/>
  <c r="AA9" i="1" s="1"/>
  <c r="AF9" i="1" s="1"/>
  <c r="AX9" i="1"/>
  <c r="T9" i="1"/>
  <c r="B9" i="1"/>
  <c r="CG8" i="1"/>
  <c r="CH8" i="1" s="1"/>
  <c r="CI8" i="1" s="1"/>
  <c r="CC8" i="1"/>
  <c r="CD8" i="1" s="1"/>
  <c r="CE8" i="1" s="1"/>
  <c r="CA8" i="1"/>
  <c r="AC8" i="1" s="1"/>
  <c r="BQ8" i="1"/>
  <c r="AB8" i="1" s="1"/>
  <c r="AG8" i="1" s="1"/>
  <c r="BM8" i="1"/>
  <c r="AX8" i="1"/>
  <c r="T8" i="1"/>
  <c r="B8" i="1"/>
  <c r="C49" i="1" l="1"/>
  <c r="C78" i="1"/>
  <c r="C77" i="1"/>
  <c r="P92" i="1"/>
  <c r="AO94" i="1"/>
  <c r="AO95" i="1" s="1"/>
  <c r="AO96" i="1" s="1"/>
  <c r="C12" i="1"/>
  <c r="C46" i="1"/>
  <c r="C22" i="1"/>
  <c r="C56" i="1"/>
  <c r="C51" i="1"/>
  <c r="C61" i="1"/>
  <c r="C15" i="1"/>
  <c r="C44" i="1"/>
  <c r="C57" i="1"/>
  <c r="C45" i="1"/>
  <c r="C29" i="1"/>
  <c r="C43" i="1"/>
  <c r="C42" i="1"/>
  <c r="C25" i="1"/>
  <c r="C10" i="1"/>
  <c r="C13" i="1"/>
  <c r="C23" i="1"/>
  <c r="C8" i="1"/>
  <c r="C48" i="1"/>
  <c r="C16" i="1"/>
  <c r="C74" i="1"/>
  <c r="C71" i="1"/>
  <c r="C11" i="1"/>
  <c r="C66" i="1"/>
  <c r="C41" i="1"/>
  <c r="C19" i="1"/>
  <c r="CI21" i="1"/>
  <c r="C32" i="1"/>
  <c r="C33" i="1"/>
  <c r="CA73" i="1"/>
  <c r="AC73" i="1" s="1"/>
  <c r="AH73" i="1" s="1"/>
  <c r="Y17" i="1"/>
  <c r="AD17" i="1" s="1"/>
  <c r="C37" i="1"/>
  <c r="Y68" i="1"/>
  <c r="AD68" i="1" s="1"/>
  <c r="C27" i="1"/>
  <c r="Y34" i="1"/>
  <c r="AD34" i="1" s="1"/>
  <c r="C36" i="1"/>
  <c r="C58" i="1"/>
  <c r="C55" i="1"/>
  <c r="Y11" i="1"/>
  <c r="AD11" i="1" s="1"/>
  <c r="C20" i="1"/>
  <c r="C26" i="1"/>
  <c r="C38" i="1"/>
  <c r="Y18" i="1"/>
  <c r="AD18" i="1" s="1"/>
  <c r="C9" i="1"/>
  <c r="C63" i="1"/>
  <c r="CI64" i="1"/>
  <c r="Y48" i="1"/>
  <c r="Z9" i="1"/>
  <c r="AE9" i="1" s="1"/>
  <c r="AX86" i="1"/>
  <c r="AX88" i="1" s="1"/>
  <c r="Y55" i="1"/>
  <c r="AD55" i="1" s="1"/>
  <c r="AE55" i="1"/>
  <c r="C31" i="1"/>
  <c r="C50" i="1"/>
  <c r="Y24" i="1"/>
  <c r="AD24" i="1" s="1"/>
  <c r="CI31" i="1"/>
  <c r="C14" i="1"/>
  <c r="C18" i="1"/>
  <c r="Y25" i="1"/>
  <c r="AD25" i="1" s="1"/>
  <c r="AG34" i="1"/>
  <c r="CH50" i="1"/>
  <c r="CI50" i="1" s="1"/>
  <c r="Y19" i="1"/>
  <c r="AD19" i="1" s="1"/>
  <c r="AE41" i="1"/>
  <c r="Y41" i="1"/>
  <c r="AH65" i="1"/>
  <c r="Y65" i="1"/>
  <c r="AD65" i="1" s="1"/>
  <c r="C24" i="1"/>
  <c r="C40" i="1"/>
  <c r="C59" i="1"/>
  <c r="C65" i="1"/>
  <c r="AE68" i="1"/>
  <c r="C70" i="1"/>
  <c r="C73" i="1"/>
  <c r="Y76" i="1"/>
  <c r="AD76" i="1" s="1"/>
  <c r="C69" i="1"/>
  <c r="C75" i="1"/>
  <c r="R84" i="1"/>
  <c r="C64" i="1"/>
  <c r="C53" i="1"/>
  <c r="Y59" i="1"/>
  <c r="AD59" i="1" s="1"/>
  <c r="C35" i="1"/>
  <c r="CD65" i="1"/>
  <c r="CE65" i="1" s="1"/>
  <c r="C17" i="1"/>
  <c r="C21" i="1"/>
  <c r="C30" i="1"/>
  <c r="C34" i="1"/>
  <c r="C39" i="1"/>
  <c r="C47" i="1"/>
  <c r="C54" i="1"/>
  <c r="C60" i="1"/>
  <c r="Y64" i="1"/>
  <c r="AD64" i="1" s="1"/>
  <c r="C67" i="1"/>
  <c r="C68" i="1"/>
  <c r="C72" i="1"/>
  <c r="C76" i="1"/>
  <c r="CA12" i="1"/>
  <c r="AC12" i="1" s="1"/>
  <c r="AH12" i="1" s="1"/>
  <c r="CA33" i="1"/>
  <c r="AC33" i="1" s="1"/>
  <c r="AH33" i="1" s="1"/>
  <c r="Y42" i="1"/>
  <c r="AD42" i="1" s="1"/>
  <c r="C52" i="1"/>
  <c r="C62" i="1"/>
  <c r="Y72" i="1"/>
  <c r="AD72" i="1" s="1"/>
  <c r="CA26" i="1"/>
  <c r="AC26" i="1" s="1"/>
  <c r="AH26" i="1" s="1"/>
  <c r="CA36" i="1"/>
  <c r="AC36" i="1" s="1"/>
  <c r="AH36" i="1" s="1"/>
  <c r="BZ86" i="1"/>
  <c r="BZ88" i="1" s="1"/>
  <c r="BZ81" i="1"/>
  <c r="CA69" i="1"/>
  <c r="AC69" i="1" s="1"/>
  <c r="AH69" i="1" s="1"/>
  <c r="AE14" i="1"/>
  <c r="Y14" i="1"/>
  <c r="Y10" i="1"/>
  <c r="AE10" i="1"/>
  <c r="AE27" i="1"/>
  <c r="Y27" i="1"/>
  <c r="AH8" i="1"/>
  <c r="Y21" i="1"/>
  <c r="AE21" i="1"/>
  <c r="AE26" i="1"/>
  <c r="AF40" i="1"/>
  <c r="Y40" i="1"/>
  <c r="AH29" i="1"/>
  <c r="Y29" i="1"/>
  <c r="AE12" i="1"/>
  <c r="AE15" i="1"/>
  <c r="Y15" i="1"/>
  <c r="AE37" i="1"/>
  <c r="Y37" i="1"/>
  <c r="AE31" i="1"/>
  <c r="Y31" i="1"/>
  <c r="AF33" i="1"/>
  <c r="AE36" i="1"/>
  <c r="B81" i="1"/>
  <c r="CH13" i="1"/>
  <c r="CI13" i="1" s="1"/>
  <c r="AE50" i="1"/>
  <c r="Y50" i="1"/>
  <c r="AF57" i="1"/>
  <c r="Y57" i="1"/>
  <c r="AG11" i="1"/>
  <c r="Y23" i="1"/>
  <c r="AG24" i="1"/>
  <c r="CI24" i="1"/>
  <c r="AF25" i="1"/>
  <c r="Y30" i="1"/>
  <c r="Y39" i="1"/>
  <c r="Y45" i="1"/>
  <c r="AE66" i="1"/>
  <c r="Y66" i="1"/>
  <c r="Y77" i="1"/>
  <c r="AE77" i="1"/>
  <c r="Y46" i="1"/>
  <c r="Y54" i="1"/>
  <c r="AE54" i="1"/>
  <c r="AB81" i="1"/>
  <c r="R92" i="1"/>
  <c r="AE19" i="1"/>
  <c r="AE17" i="1"/>
  <c r="Y71" i="1"/>
  <c r="AH71" i="1"/>
  <c r="CE18" i="1"/>
  <c r="T81" i="1"/>
  <c r="Z8" i="1"/>
  <c r="BM81" i="1"/>
  <c r="BR81" i="1"/>
  <c r="CA13" i="1"/>
  <c r="AC13" i="1" s="1"/>
  <c r="AH13" i="1" s="1"/>
  <c r="Y43" i="1"/>
  <c r="AE47" i="1"/>
  <c r="Y47" i="1"/>
  <c r="AA8" i="1"/>
  <c r="P91" i="1" s="1"/>
  <c r="BQ81" i="1"/>
  <c r="Y16" i="1"/>
  <c r="AE16" i="1"/>
  <c r="Y35" i="1"/>
  <c r="Y56" i="1"/>
  <c r="AE56" i="1"/>
  <c r="Y38" i="1"/>
  <c r="AE38" i="1"/>
  <c r="AD41" i="1"/>
  <c r="AF58" i="1"/>
  <c r="Y58" i="1"/>
  <c r="Y20" i="1"/>
  <c r="Y22" i="1"/>
  <c r="AE22" i="1"/>
  <c r="CI26" i="1"/>
  <c r="Y32" i="1"/>
  <c r="CH36" i="1"/>
  <c r="CI36" i="1" s="1"/>
  <c r="AE42" i="1"/>
  <c r="CI45" i="1"/>
  <c r="Y53" i="1"/>
  <c r="AE53" i="1"/>
  <c r="Y28" i="1"/>
  <c r="AE44" i="1"/>
  <c r="Y44" i="1"/>
  <c r="Y49" i="1"/>
  <c r="Y51" i="1"/>
  <c r="AE62" i="1"/>
  <c r="Y62" i="1"/>
  <c r="Y74" i="1"/>
  <c r="AE74" i="1"/>
  <c r="AE73" i="1"/>
  <c r="AP94" i="1"/>
  <c r="AP95" i="1" s="1"/>
  <c r="AP96" i="1" s="1"/>
  <c r="Q84" i="1"/>
  <c r="AF32" i="1"/>
  <c r="AF35" i="1"/>
  <c r="AE39" i="1"/>
  <c r="AE59" i="1"/>
  <c r="Y60" i="1"/>
  <c r="CH69" i="1"/>
  <c r="CI69" i="1" s="1"/>
  <c r="Y52" i="1"/>
  <c r="Y75" i="1"/>
  <c r="AE75" i="1"/>
  <c r="Y61" i="1"/>
  <c r="Y67" i="1"/>
  <c r="AE67" i="1"/>
  <c r="AE69" i="1"/>
  <c r="Y70" i="1"/>
  <c r="Y63" i="1"/>
  <c r="AE63" i="1"/>
  <c r="S84" i="1"/>
  <c r="AS93" i="1" l="1"/>
  <c r="Y73" i="1"/>
  <c r="D73" i="1" s="1"/>
  <c r="D55" i="1"/>
  <c r="P90" i="1"/>
  <c r="R90" i="1" s="1"/>
  <c r="P93" i="1"/>
  <c r="R93" i="1" s="1"/>
  <c r="D65" i="1"/>
  <c r="D17" i="1"/>
  <c r="C81" i="1"/>
  <c r="D18" i="1"/>
  <c r="D19" i="1"/>
  <c r="Y9" i="1"/>
  <c r="AD9" i="1" s="1"/>
  <c r="Y36" i="1"/>
  <c r="D59" i="1"/>
  <c r="T85" i="1"/>
  <c r="D64" i="1"/>
  <c r="D24" i="1"/>
  <c r="D34" i="1"/>
  <c r="AG81" i="1"/>
  <c r="T84" i="1"/>
  <c r="CA81" i="1"/>
  <c r="D51" i="1"/>
  <c r="D79" i="1"/>
  <c r="D11" i="1"/>
  <c r="Y12" i="1"/>
  <c r="D78" i="1" s="1"/>
  <c r="D71" i="1"/>
  <c r="Y33" i="1"/>
  <c r="AD33" i="1" s="1"/>
  <c r="Y26" i="1"/>
  <c r="D9" i="1" s="1"/>
  <c r="D48" i="1"/>
  <c r="Y69" i="1"/>
  <c r="D27" i="1" s="1"/>
  <c r="D74" i="1"/>
  <c r="AD74" i="1"/>
  <c r="D56" i="1"/>
  <c r="AD56" i="1"/>
  <c r="D43" i="1"/>
  <c r="AD43" i="1"/>
  <c r="AD46" i="1"/>
  <c r="D50" i="1"/>
  <c r="AD50" i="1"/>
  <c r="AD21" i="1"/>
  <c r="D21" i="1"/>
  <c r="AD27" i="1"/>
  <c r="AD60" i="1"/>
  <c r="D60" i="1"/>
  <c r="D62" i="1"/>
  <c r="AD62" i="1"/>
  <c r="AD32" i="1"/>
  <c r="D35" i="1"/>
  <c r="AD35" i="1"/>
  <c r="AD40" i="1"/>
  <c r="D67" i="1"/>
  <c r="AD67" i="1"/>
  <c r="D77" i="1"/>
  <c r="AD77" i="1"/>
  <c r="AD58" i="1"/>
  <c r="D58" i="1"/>
  <c r="D63" i="1"/>
  <c r="AD63" i="1"/>
  <c r="AD61" i="1"/>
  <c r="D61" i="1"/>
  <c r="AD16" i="1"/>
  <c r="D66" i="1"/>
  <c r="AD66" i="1"/>
  <c r="AD23" i="1"/>
  <c r="D23" i="1"/>
  <c r="AD15" i="1"/>
  <c r="AD10" i="1"/>
  <c r="AD73" i="1"/>
  <c r="AD49" i="1"/>
  <c r="D22" i="1"/>
  <c r="AD22" i="1"/>
  <c r="Z81" i="1"/>
  <c r="AE8" i="1"/>
  <c r="AE81" i="1" s="1"/>
  <c r="Y8" i="1"/>
  <c r="Y13" i="1"/>
  <c r="D15" i="1" s="1"/>
  <c r="D31" i="1"/>
  <c r="AD31" i="1"/>
  <c r="AD14" i="1"/>
  <c r="D70" i="1"/>
  <c r="AD70" i="1"/>
  <c r="D75" i="1"/>
  <c r="AD75" i="1"/>
  <c r="AD44" i="1"/>
  <c r="AD53" i="1"/>
  <c r="D20" i="1"/>
  <c r="AD20" i="1"/>
  <c r="AD38" i="1"/>
  <c r="D38" i="1"/>
  <c r="AA81" i="1"/>
  <c r="R91" i="1"/>
  <c r="AF8" i="1"/>
  <c r="AF81" i="1" s="1"/>
  <c r="AB84" i="1"/>
  <c r="AQ102" i="1"/>
  <c r="AQ103" i="1" s="1"/>
  <c r="AQ104" i="1" s="1"/>
  <c r="AD45" i="1"/>
  <c r="AC81" i="1"/>
  <c r="AD47" i="1"/>
  <c r="D39" i="1"/>
  <c r="AD39" i="1"/>
  <c r="D57" i="1"/>
  <c r="AD57" i="1"/>
  <c r="D37" i="1"/>
  <c r="AD37" i="1"/>
  <c r="AH81" i="1"/>
  <c r="D52" i="1"/>
  <c r="AD52" i="1"/>
  <c r="AD28" i="1"/>
  <c r="AD54" i="1"/>
  <c r="D54" i="1"/>
  <c r="AD30" i="1"/>
  <c r="D30" i="1"/>
  <c r="AD29" i="1"/>
  <c r="D25" i="1" l="1"/>
  <c r="D69" i="1"/>
  <c r="D44" i="1"/>
  <c r="D53" i="1"/>
  <c r="D14" i="1"/>
  <c r="D36" i="1"/>
  <c r="D26" i="1"/>
  <c r="D33" i="1"/>
  <c r="D32" i="1"/>
  <c r="D68" i="1"/>
  <c r="D12" i="1"/>
  <c r="D16" i="1"/>
  <c r="D72" i="1"/>
  <c r="D49" i="1"/>
  <c r="D76" i="1"/>
  <c r="D47" i="1"/>
  <c r="D28" i="1"/>
  <c r="D40" i="1"/>
  <c r="AD36" i="1"/>
  <c r="AD26" i="1"/>
  <c r="D10" i="1"/>
  <c r="D46" i="1"/>
  <c r="AD12" i="1"/>
  <c r="D42" i="1"/>
  <c r="AD69" i="1"/>
  <c r="D29" i="1"/>
  <c r="D41" i="1"/>
  <c r="D45" i="1"/>
  <c r="D13" i="1"/>
  <c r="AD13" i="1"/>
  <c r="AR102" i="1"/>
  <c r="AR103" i="1" s="1"/>
  <c r="AR104" i="1" s="1"/>
  <c r="AC84" i="1"/>
  <c r="AA84" i="1"/>
  <c r="AP102" i="1"/>
  <c r="AP103" i="1" s="1"/>
  <c r="AP104" i="1" s="1"/>
  <c r="Y81" i="1"/>
  <c r="P100" i="1" s="1"/>
  <c r="D8" i="1"/>
  <c r="AD8" i="1"/>
  <c r="Z84" i="1"/>
  <c r="AO102" i="1"/>
  <c r="AO103" i="1" s="1"/>
  <c r="AO104" i="1" s="1"/>
  <c r="D81" i="1" l="1"/>
  <c r="AS101" i="1"/>
  <c r="P103" i="1"/>
  <c r="S99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tc={55BC8956-80A3-4A06-B364-DEECCA06BF99}</author>
    <author>Asus</author>
  </authors>
  <commentList>
    <comment ref="BI16" authorId="0" shapeId="0" xr:uid="{55BC8956-80A3-4A06-B364-DEECCA06BF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al alza</t>
      </text>
    </comment>
    <comment ref="AS93" authorId="1" shapeId="0" xr:uid="{D1D704CB-41B8-4183-A7A7-C70EC3C7E62C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(suma resultados "ponderación")
------------------
       100</t>
        </r>
      </text>
    </comment>
    <comment ref="AO95" authorId="1" shapeId="0" xr:uid="{4CBFFD59-1A8B-4C26-B368-495EF70FD24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P95" authorId="1" shapeId="0" xr:uid="{8D3FC8DE-1AC1-43B4-9E2B-F0403BA6898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Q95" authorId="1" shapeId="0" xr:uid="{C95A478C-543F-4146-AF0A-659EE9B0902E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R95" authorId="1" shapeId="0" xr:uid="{73418A73-3E39-479C-B354-DE9A75C0003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S101" authorId="1" shapeId="0" xr:uid="{30BEA583-2E99-4898-8A8C-6D7974F7301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(suma resultados "ponderación")
------------------
       100</t>
        </r>
      </text>
    </comment>
    <comment ref="AO103" authorId="1" shapeId="0" xr:uid="{2971264B-67C3-4FB0-989D-DDD4A3977EFF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P103" authorId="1" shapeId="0" xr:uid="{6A8CFB01-E3D0-4142-8D69-EAA6B36DF9E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Q103" authorId="1" shapeId="0" xr:uid="{A98C32DC-970A-414F-837D-AF93C360A38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  <comment ref="AR103" authorId="1" shapeId="0" xr:uid="{09A33F5C-4C2A-4C57-9D7A-56E4D455366A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También se obtiene por regla de 3:
(Puntaje) * 100
---------------------
  (peso comp)</t>
        </r>
      </text>
    </comment>
  </commentList>
</comments>
</file>

<file path=xl/sharedStrings.xml><?xml version="1.0" encoding="utf-8"?>
<sst xmlns="http://schemas.openxmlformats.org/spreadsheetml/2006/main" count="382" uniqueCount="276">
  <si>
    <t>Componente</t>
  </si>
  <si>
    <t>Componente 1. Capacidad Institucional 25%</t>
  </si>
  <si>
    <t>Componente 2. Practicas y procesos 35%</t>
  </si>
  <si>
    <t>Componente 3. Resultados 25%</t>
  </si>
  <si>
    <t>Componente 4. Gestión del conocimiento 15%</t>
  </si>
  <si>
    <t>Variable</t>
  </si>
  <si>
    <t>Variable
1
Planeación</t>
  </si>
  <si>
    <t>Variable
2
Recurso presupuestal</t>
  </si>
  <si>
    <t>Variable
3
Recurso Humano</t>
  </si>
  <si>
    <t>Variable
4
Recursos digitales</t>
  </si>
  <si>
    <t>Variable 5
Identificación retos o áreas de oportunidad</t>
  </si>
  <si>
    <t>Variable 6
Generación de ideas</t>
  </si>
  <si>
    <t xml:space="preserve">Variable
7
Diseño de innovaciones
</t>
  </si>
  <si>
    <t>Variable
8
Generación de Capacidades</t>
  </si>
  <si>
    <t>Variable 9
Cultura y liderazgo para innovación</t>
  </si>
  <si>
    <t>Variable
10
Innovaciones implementadas</t>
  </si>
  <si>
    <t>Variable
11
Formación funcionarios
y/o contratistas</t>
  </si>
  <si>
    <t>Variable
12
GC en C.I.</t>
  </si>
  <si>
    <t>Variable
13
GC en Prácticas y procesos</t>
  </si>
  <si>
    <t>Variable
14
GC en Resultados</t>
  </si>
  <si>
    <t>Indicador</t>
  </si>
  <si>
    <t>Indicador
1</t>
  </si>
  <si>
    <t>Indicador
2</t>
  </si>
  <si>
    <t>Indicador
3</t>
  </si>
  <si>
    <t>Indicador
4</t>
  </si>
  <si>
    <t>Indicador
5</t>
  </si>
  <si>
    <t>Indicador
6</t>
  </si>
  <si>
    <t>Indicador
7</t>
  </si>
  <si>
    <t>Indicador
8</t>
  </si>
  <si>
    <t>Indicador
9</t>
  </si>
  <si>
    <t>Indicador
10</t>
  </si>
  <si>
    <t>Indicador
11</t>
  </si>
  <si>
    <t>Indicador
12</t>
  </si>
  <si>
    <t>Indicador
13</t>
  </si>
  <si>
    <t>Indicador
14</t>
  </si>
  <si>
    <t>Indicador
15</t>
  </si>
  <si>
    <t>Indicador
16</t>
  </si>
  <si>
    <t>Indicador
17</t>
  </si>
  <si>
    <t>Indicador
18</t>
  </si>
  <si>
    <t>Indicador
19</t>
  </si>
  <si>
    <t>Indicador
20</t>
  </si>
  <si>
    <t>Indicador
21</t>
  </si>
  <si>
    <t>Indicador
22</t>
  </si>
  <si>
    <t>Indicador
23</t>
  </si>
  <si>
    <t>Indicador
24</t>
  </si>
  <si>
    <t>Indicador
25</t>
  </si>
  <si>
    <t>Indicador
26</t>
  </si>
  <si>
    <t>Indicador
27</t>
  </si>
  <si>
    <t>Indicador
28</t>
  </si>
  <si>
    <t>Indicador
29</t>
  </si>
  <si>
    <t>Indicador
30</t>
  </si>
  <si>
    <t>Indicador
31</t>
  </si>
  <si>
    <t>RESULTADOS COMPS
2019</t>
  </si>
  <si>
    <t>RESULTADOS COMPS
2021</t>
  </si>
  <si>
    <t>RESULTADOS COMPONENTES
2023</t>
  </si>
  <si>
    <t>VAR</t>
  </si>
  <si>
    <t>PUNTAJES COMPONENTES
2023</t>
  </si>
  <si>
    <t>Valor maximo por pregunta</t>
  </si>
  <si>
    <t>Normatividad</t>
  </si>
  <si>
    <t>$
Func</t>
  </si>
  <si>
    <t>$
Inv</t>
  </si>
  <si>
    <t>Funcionarios</t>
  </si>
  <si>
    <t>Contratistas</t>
  </si>
  <si>
    <t>Recursos
digitales</t>
  </si>
  <si>
    <t>retos
SDQS</t>
  </si>
  <si>
    <t>retos OTROS</t>
  </si>
  <si>
    <t>retos
FUNC</t>
  </si>
  <si>
    <t>retos
CANALES</t>
  </si>
  <si>
    <t>retos
ACTIVIDADES</t>
  </si>
  <si>
    <t>ideas
CIUDADANOS</t>
  </si>
  <si>
    <t>ideas
FUNC</t>
  </si>
  <si>
    <t>ideas
CANALES</t>
  </si>
  <si>
    <t>ideas
ACTIVIDADES</t>
  </si>
  <si>
    <t>Innovaciones</t>
  </si>
  <si>
    <t>Eventos y formación</t>
  </si>
  <si>
    <t>Promover cultura</t>
  </si>
  <si>
    <t>Experim. y cocreacion</t>
  </si>
  <si>
    <t>Labs</t>
  </si>
  <si>
    <t>Formación
FUNC</t>
  </si>
  <si>
    <t>Formación
CONTR</t>
  </si>
  <si>
    <t>GC en Planeación Institucional</t>
  </si>
  <si>
    <t>Pub. RETOS ciudadanos</t>
  </si>
  <si>
    <t>Pub. RETOS Servidores</t>
  </si>
  <si>
    <t>Pub. IDEAS ciudadanos</t>
  </si>
  <si>
    <t>Pub. IDEAS servidores</t>
  </si>
  <si>
    <t>Doc.
BP y LA
en inno</t>
  </si>
  <si>
    <t>Doc.
BP y LA
entidad</t>
  </si>
  <si>
    <t>Monitoreo y seg. Inno</t>
  </si>
  <si>
    <t>Puntaje 2019</t>
  </si>
  <si>
    <t>Puntaje 2021</t>
  </si>
  <si>
    <t>Puntaje 2023</t>
  </si>
  <si>
    <t>COM 1 - 2019</t>
  </si>
  <si>
    <t>COM 2 - 2019</t>
  </si>
  <si>
    <t>COM 3 - 2019</t>
  </si>
  <si>
    <t>COM 4 - 2019</t>
  </si>
  <si>
    <t>Resultado IIP
2019</t>
  </si>
  <si>
    <t>COM 1 - 2021</t>
  </si>
  <si>
    <t>COM 2 - 2021</t>
  </si>
  <si>
    <t>COM 3 - 2021</t>
  </si>
  <si>
    <t>COM 4 - 2021</t>
  </si>
  <si>
    <t>Resultado IIP
2021</t>
  </si>
  <si>
    <t>V1</t>
  </si>
  <si>
    <t>REV
1</t>
  </si>
  <si>
    <t>REV
2</t>
  </si>
  <si>
    <t>Resultado IIP
2023</t>
  </si>
  <si>
    <t>COM 1 - 2023</t>
  </si>
  <si>
    <t>COM 2 - 2023</t>
  </si>
  <si>
    <t>COM 3 - 2023</t>
  </si>
  <si>
    <t>COM 4 - 2023</t>
  </si>
  <si>
    <t>VAR IIP
2021 a 2023</t>
  </si>
  <si>
    <t>PUNTAJE
C1
CAPACIDAD</t>
  </si>
  <si>
    <t>PUNTAJE
C2
PRACTICAS</t>
  </si>
  <si>
    <t>PUNTAJE
C3
RESULT</t>
  </si>
  <si>
    <t>PUNTAJE
C4
GC</t>
  </si>
  <si>
    <t>DESCRIPTIVO</t>
  </si>
  <si>
    <t>Entidades</t>
  </si>
  <si>
    <t>Pregunta
1</t>
  </si>
  <si>
    <t>Pregunta
2</t>
  </si>
  <si>
    <t>Pregunta
3</t>
  </si>
  <si>
    <t>Pregunta
4</t>
  </si>
  <si>
    <t>Pregunta
5</t>
  </si>
  <si>
    <t>Pregunta
6</t>
  </si>
  <si>
    <t>Pregunta
7</t>
  </si>
  <si>
    <t>Pregunta
8</t>
  </si>
  <si>
    <t>Pregunta
9</t>
  </si>
  <si>
    <t>Pregunta
10</t>
  </si>
  <si>
    <t>Pregunta
11</t>
  </si>
  <si>
    <t>Pregunta
12</t>
  </si>
  <si>
    <t>Pregunta
13</t>
  </si>
  <si>
    <t>COM 1 (sumatoria)</t>
  </si>
  <si>
    <t>Pregunta
14</t>
  </si>
  <si>
    <t>Pregunta
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</si>
  <si>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</si>
  <si>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</si>
  <si>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</si>
  <si>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</si>
  <si>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</si>
  <si>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</si>
  <si>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</si>
  <si>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</si>
  <si>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</si>
  <si>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</si>
  <si>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</si>
  <si>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</si>
  <si>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COM 2 (sumatoria)</t>
  </si>
  <si>
    <t>Pregunta 28</t>
  </si>
  <si>
    <t>Pregunta 29</t>
  </si>
  <si>
    <t>Pregunta 30</t>
  </si>
  <si>
    <t>COM 3 (sumatoria)</t>
  </si>
  <si>
    <t>Pregunta 31</t>
  </si>
  <si>
    <t>Pregunta
32</t>
  </si>
  <si>
    <t>Pregunta
33</t>
  </si>
  <si>
    <t>Pregunta
34</t>
  </si>
  <si>
    <t>Pregunta
35</t>
  </si>
  <si>
    <t>Pregunta
36</t>
  </si>
  <si>
    <t>Pregunta
37</t>
  </si>
  <si>
    <t>Pregunta
38</t>
  </si>
  <si>
    <t>Pregunta
39</t>
  </si>
  <si>
    <t>COM 4 (sumatoria)</t>
  </si>
  <si>
    <t>PREAJUSTE
32</t>
  </si>
  <si>
    <t>AJUSTADO
32</t>
  </si>
  <si>
    <t>DIFERENCIA
32</t>
  </si>
  <si>
    <t>FICTI
32</t>
  </si>
  <si>
    <t>PREAJUSTE
38</t>
  </si>
  <si>
    <t>AJUSTADO
38</t>
  </si>
  <si>
    <t>DIFERENCIA
38</t>
  </si>
  <si>
    <t>FICTI
38</t>
  </si>
  <si>
    <t>SI</t>
  </si>
  <si>
    <t>Secretaría General de la Alcaldía Mayor de Bogotá</t>
  </si>
  <si>
    <t>Secretaría de Educación del Distrito</t>
  </si>
  <si>
    <t>Secretaría Distrital de Gobierno</t>
  </si>
  <si>
    <t>Instituto Distrital de la Participación y Acción Comunal - IDPAC</t>
  </si>
  <si>
    <t>NO</t>
  </si>
  <si>
    <t>Veeduría Distrital</t>
  </si>
  <si>
    <t>Unidad Administrativa Especial de Catastro</t>
  </si>
  <si>
    <t>Jardín Botánico José Celestino Mutis</t>
  </si>
  <si>
    <t>Caja de la Vivienda Popular</t>
  </si>
  <si>
    <t>Instituto de Desarrollo Urbano</t>
  </si>
  <si>
    <t>Secretaría Distrital de Movilidad</t>
  </si>
  <si>
    <t>Departamento Administrativo del Servicio Civil Distrital</t>
  </si>
  <si>
    <t>Secretaría Distrital de Hacienda</t>
  </si>
  <si>
    <t>Secretaría Distrital de Planeación</t>
  </si>
  <si>
    <t>Secretaría Distrital de Salud</t>
  </si>
  <si>
    <t>Fondo de Prestaciones Económicas, Cesantías y Pensiones - FONCEP</t>
  </si>
  <si>
    <t>Instituto Distrital para la Investigación Educativa y el Desarrollo Pedagógico</t>
  </si>
  <si>
    <t>Secretaría Distrital de Integración Social</t>
  </si>
  <si>
    <t>Subred Integrada de Servicios de Salud Sur E.S.E.</t>
  </si>
  <si>
    <t>Subred Integrada de Servicios de Salud Sur Occidente E.S.E</t>
  </si>
  <si>
    <t>Secretaría Distrital de la Mujer</t>
  </si>
  <si>
    <t>Secretaría Distrital de Cultura, Recreación y Deporte</t>
  </si>
  <si>
    <t>Secretaría Jurídica Distrital</t>
  </si>
  <si>
    <t>Alcaldía Local de Suba</t>
  </si>
  <si>
    <t>Empresa de Renovación Urbana y Desarrollo Urbano de Bogotá - ERU</t>
  </si>
  <si>
    <t>Empresa de Transporte del Tercer Milenio - Transmilenio S.A.</t>
  </si>
  <si>
    <t>Unidad Administrativa Especial de Rehabilitación y Mantenimiento Vial</t>
  </si>
  <si>
    <t>Alcaldía Local de Bosa</t>
  </si>
  <si>
    <t>Secretaría Distrital de Seguridad, Convivencia y Justicia</t>
  </si>
  <si>
    <t>Unidad Administrativa Especial Cuerpo Oficial de Bomberos de Bogotá - UAECOB</t>
  </si>
  <si>
    <t>Fundación Gilberto Alzate Avendaño - FUGA</t>
  </si>
  <si>
    <t>Canal Capital</t>
  </si>
  <si>
    <t>Alcaldía Local de Tunjuelito</t>
  </si>
  <si>
    <t>Instituto para la Economía Social</t>
  </si>
  <si>
    <t>Instituto Distrital de las Artes</t>
  </si>
  <si>
    <t>no</t>
  </si>
  <si>
    <t>Secretaría Distrital de Desarrollo Económico</t>
  </si>
  <si>
    <t>Instituto Distrital de Turismo</t>
  </si>
  <si>
    <t>Departamento Administrativo de la Defensoría del Espacio Público - DADEP</t>
  </si>
  <si>
    <t>Secretaría Distrital de Hábitat</t>
  </si>
  <si>
    <t>Empresa Metro de Bogotá S.A.</t>
  </si>
  <si>
    <t>Secretaría Distrital de Ambiente</t>
  </si>
  <si>
    <t>CAPITAL SALUD</t>
  </si>
  <si>
    <t>Alcaldía Local de Kennedy</t>
  </si>
  <si>
    <t>Alcaldía Local de Ciudad Bolívar</t>
  </si>
  <si>
    <t>Empresa De Acueducto Y Alcantarillado De Bogotá</t>
  </si>
  <si>
    <t>Instituto Distrital para la Protección de la Niñez y la Juventud</t>
  </si>
  <si>
    <t>Alcaldía Local de Usme</t>
  </si>
  <si>
    <t>Instituto Distrital de Patrimonio Cultural</t>
  </si>
  <si>
    <t>Orquesta Filarmónica de Bogotá</t>
  </si>
  <si>
    <t>Instituto Distrital de Protección y Bienestar Animal - IDPYBA</t>
  </si>
  <si>
    <t>Alcaldía Local de Rafael Uribe</t>
  </si>
  <si>
    <t>Instituto Distrital de Recreación y Deporte</t>
  </si>
  <si>
    <t>Alcaldía Local de Puente Aranda</t>
  </si>
  <si>
    <t>Alcaldía Local de Engativá</t>
  </si>
  <si>
    <t>Alcaldía Local de Sumapaz</t>
  </si>
  <si>
    <t>Alcaldía Local de San Cristóbal</t>
  </si>
  <si>
    <t>Alcaldía Local de Teusaquillo</t>
  </si>
  <si>
    <t>Subred Integrada de Servicios de Salud Centro Oriente E.S.E.</t>
  </si>
  <si>
    <t>Subred Integrada de Servicios de Salud Norte  E.S.E.</t>
  </si>
  <si>
    <t>Alcaldía Local de Fontibón</t>
  </si>
  <si>
    <t>Alcaldía Local de Barrios Unidos</t>
  </si>
  <si>
    <t>Alcaldía Local de Antonio Nariño</t>
  </si>
  <si>
    <t>Unidad Administrativa Especial de Servicios Públicos</t>
  </si>
  <si>
    <t>Alcaldía Local de Chapinero</t>
  </si>
  <si>
    <t>Personería de Bogotá</t>
  </si>
  <si>
    <t>Alcaldía Local de Santa Fe</t>
  </si>
  <si>
    <t>Universidad Distrital Francisco José de Caldas</t>
  </si>
  <si>
    <t>Instituto Distrital de Gestión de Riesgos y Cambio Climático</t>
  </si>
  <si>
    <t>Alcaldía Local de Usaquén</t>
  </si>
  <si>
    <t>Alcaldía Local de La Candelaria</t>
  </si>
  <si>
    <t>Alcaldía Local de Mártires</t>
  </si>
  <si>
    <t>Contraloría de Bogotá</t>
  </si>
  <si>
    <t>Lotería de Bogotá</t>
  </si>
  <si>
    <t>Terminal de Transportes S.A.</t>
  </si>
  <si>
    <t>C1</t>
  </si>
  <si>
    <t>C2</t>
  </si>
  <si>
    <t>C3</t>
  </si>
  <si>
    <t>C4</t>
  </si>
  <si>
    <t>IIP 2021</t>
  </si>
  <si>
    <t>IIP 2023</t>
  </si>
  <si>
    <t>1. PONDERAR COMPS</t>
  </si>
  <si>
    <t>prom normal</t>
  </si>
  <si>
    <t>2. promediar ponds</t>
  </si>
  <si>
    <t>prom ponderado</t>
  </si>
  <si>
    <t>IIP
2021</t>
  </si>
  <si>
    <t>IIP
2023</t>
  </si>
  <si>
    <t>PONDERACIÓN</t>
  </si>
  <si>
    <t>Comp 1</t>
  </si>
  <si>
    <t>Comp 2</t>
  </si>
  <si>
    <t>Comp 3</t>
  </si>
  <si>
    <t>Comp 4</t>
  </si>
  <si>
    <t>Puntaje IIP 2021</t>
  </si>
  <si>
    <t>Peso comp</t>
  </si>
  <si>
    <t>Puntaje</t>
  </si>
  <si>
    <t>Ajuste</t>
  </si>
  <si>
    <t>% Comp</t>
  </si>
  <si>
    <t>Ponderación</t>
  </si>
  <si>
    <t>IIP 2019</t>
  </si>
  <si>
    <t>x</t>
  </si>
  <si>
    <t>z</t>
  </si>
  <si>
    <t>POSICIÓN
2019</t>
  </si>
  <si>
    <t>POSICIÓN
2021</t>
  </si>
  <si>
    <t>POSICIÓN
2023</t>
  </si>
  <si>
    <t>TENDENCIA PUNTAJE</t>
  </si>
  <si>
    <t>PUESTO
2019</t>
  </si>
  <si>
    <t>PUESTO
2021</t>
  </si>
  <si>
    <t>PUESTO
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</si>
</sst>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3" x14ac:knownFonts="1"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9C57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D8F3D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scheme val="minor"/>
    </font>
    <font>
      <sz val="8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77DFF"/>
        <bgColor rgb="FFFFFF00"/>
      </patternFill>
    </fill>
    <fill>
      <patternFill patternType="solid">
        <fgColor rgb="FFC77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CC8C"/>
        <bgColor rgb="FFFFFF00"/>
      </patternFill>
    </fill>
    <fill>
      <patternFill patternType="solid">
        <fgColor rgb="FF57CC8C"/>
        <bgColor indexed="64"/>
      </patternFill>
    </fill>
    <fill>
      <patternFill patternType="solid">
        <fgColor rgb="FFF1C232"/>
        <bgColor rgb="FFF1C232"/>
      </patternFill>
    </fill>
    <fill>
      <patternFill patternType="solid">
        <fgColor theme="8"/>
        <bgColor rgb="FFF1C232"/>
      </patternFill>
    </fill>
    <fill>
      <patternFill patternType="solid">
        <fgColor theme="0" tint="-0.249977111117893"/>
        <bgColor rgb="FFF1C232"/>
      </patternFill>
    </fill>
    <fill>
      <patternFill patternType="solid">
        <fgColor rgb="FF00B050"/>
        <bgColor rgb="FFF1C232"/>
      </patternFill>
    </fill>
    <fill>
      <patternFill patternType="solid">
        <fgColor rgb="FFC77DFF"/>
        <bgColor rgb="FFF1C232"/>
      </patternFill>
    </fill>
    <fill>
      <patternFill patternType="solid">
        <fgColor theme="9" tint="0.39997558519241921"/>
        <bgColor rgb="FFF1C232"/>
      </patternFill>
    </fill>
    <fill>
      <patternFill patternType="solid">
        <fgColor theme="5" tint="0.39997558519241921"/>
        <bgColor rgb="FFF1C232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theme="7" tint="-0.249977111117893"/>
        <bgColor rgb="FF9CC2E5"/>
      </patternFill>
    </fill>
    <fill>
      <patternFill patternType="solid">
        <fgColor theme="8" tint="0.79998168889431442"/>
        <bgColor rgb="FFFFEB9C"/>
      </patternFill>
    </fill>
    <fill>
      <patternFill patternType="solid">
        <fgColor theme="8"/>
        <bgColor rgb="FF9CC2E5"/>
      </patternFill>
    </fill>
    <fill>
      <patternFill patternType="solid">
        <fgColor theme="0" tint="-0.249977111117893"/>
        <bgColor rgb="FF9CC2E5"/>
      </patternFill>
    </fill>
    <fill>
      <patternFill patternType="solid">
        <fgColor rgb="FF00B050"/>
        <bgColor rgb="FF9CC2E5"/>
      </patternFill>
    </fill>
    <fill>
      <patternFill patternType="solid">
        <fgColor theme="9" tint="0.59999389629810485"/>
        <bgColor rgb="FFFFEB9C"/>
      </patternFill>
    </fill>
    <fill>
      <patternFill patternType="solid">
        <fgColor rgb="FFD69FFF"/>
        <bgColor rgb="FFFFEB9C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5" tint="0.39997558519241921"/>
        <bgColor rgb="FFFFEB9C"/>
      </patternFill>
    </fill>
    <fill>
      <patternFill patternType="solid">
        <fgColor rgb="FFC7F9CC"/>
        <bgColor rgb="FFFEF2CB"/>
      </patternFill>
    </fill>
    <fill>
      <patternFill patternType="solid">
        <fgColor theme="0"/>
        <bgColor theme="9"/>
      </patternFill>
    </fill>
    <fill>
      <patternFill patternType="solid">
        <fgColor theme="8" tint="0.79998168889431442"/>
        <bgColor rgb="FF9CC2E5"/>
      </patternFill>
    </fill>
    <fill>
      <patternFill patternType="solid">
        <fgColor theme="9" tint="0.59999389629810485"/>
        <bgColor rgb="FF9CC2E5"/>
      </patternFill>
    </fill>
    <fill>
      <patternFill patternType="solid">
        <fgColor rgb="FFE6C5FF"/>
        <bgColor rgb="FF9CC2E5"/>
      </patternFill>
    </fill>
    <fill>
      <patternFill patternType="solid">
        <fgColor theme="9" tint="0.79998168889431442"/>
        <bgColor rgb="FF9CC2E5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/>
        <bgColor rgb="FFFFFF00"/>
      </patternFill>
    </fill>
    <fill>
      <patternFill patternType="solid">
        <fgColor rgb="FFFFFF00"/>
        <bgColor rgb="FF9CC2E5"/>
      </patternFill>
    </fill>
    <fill>
      <patternFill patternType="solid">
        <fgColor rgb="FFFF000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C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9CC2E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0916C"/>
        <bgColor indexed="64"/>
      </patternFill>
    </fill>
    <fill>
      <patternFill patternType="solid">
        <fgColor rgb="FF74C69D"/>
        <bgColor indexed="64"/>
      </patternFill>
    </fill>
    <fill>
      <patternFill patternType="solid">
        <fgColor rgb="FFFFCF56"/>
        <bgColor indexed="64"/>
      </patternFill>
    </fill>
    <fill>
      <patternFill patternType="solid">
        <fgColor theme="5" tint="0.59999389629810485"/>
        <bgColor rgb="FF9CC2E5"/>
      </patternFill>
    </fill>
    <fill>
      <patternFill patternType="solid">
        <fgColor rgb="FFD8F3D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FFBC7"/>
        <bgColor indexed="64"/>
      </patternFill>
    </fill>
    <fill>
      <patternFill patternType="solid">
        <fgColor rgb="FFAFFBC7"/>
        <bgColor rgb="FFFFFF00"/>
      </patternFill>
    </fill>
    <fill>
      <patternFill patternType="solid">
        <fgColor theme="7" tint="-0.249977111117893"/>
        <bgColor rgb="FFFFFF00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31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 vertical="top" wrapText="1"/>
    </xf>
    <xf numFmtId="0" fontId="7" fillId="5" borderId="10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1" fillId="12" borderId="1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9" fontId="12" fillId="5" borderId="18" xfId="0" applyNumberFormat="1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16" xfId="0" applyFont="1" applyFill="1" applyBorder="1" applyAlignment="1">
      <alignment horizontal="center" vertical="center"/>
    </xf>
    <xf numFmtId="9" fontId="12" fillId="5" borderId="2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17" borderId="25" xfId="0" applyFont="1" applyFill="1" applyBorder="1" applyAlignment="1">
      <alignment horizontal="center" vertical="center" wrapText="1"/>
    </xf>
    <xf numFmtId="0" fontId="15" fillId="17" borderId="2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/>
    <xf numFmtId="0" fontId="19" fillId="18" borderId="29" xfId="0" applyFont="1" applyFill="1" applyBorder="1" applyAlignment="1">
      <alignment horizontal="center" vertical="top" wrapText="1"/>
    </xf>
    <xf numFmtId="0" fontId="20" fillId="19" borderId="30" xfId="0" applyFont="1" applyFill="1" applyBorder="1" applyAlignment="1">
      <alignment horizontal="center" vertical="top" wrapText="1"/>
    </xf>
    <xf numFmtId="0" fontId="20" fillId="19" borderId="31" xfId="0" applyFont="1" applyFill="1" applyBorder="1" applyAlignment="1">
      <alignment horizontal="center" vertical="top" wrapText="1"/>
    </xf>
    <xf numFmtId="0" fontId="9" fillId="21" borderId="30" xfId="0" applyFont="1" applyFill="1" applyBorder="1" applyAlignment="1">
      <alignment horizontal="center" vertical="top" wrapText="1"/>
    </xf>
    <xf numFmtId="0" fontId="9" fillId="21" borderId="31" xfId="0" applyFont="1" applyFill="1" applyBorder="1" applyAlignment="1">
      <alignment horizontal="center" vertical="top" wrapText="1"/>
    </xf>
    <xf numFmtId="0" fontId="21" fillId="22" borderId="31" xfId="0" applyFont="1" applyFill="1" applyBorder="1" applyAlignment="1">
      <alignment horizontal="center" vertical="top" wrapText="1"/>
    </xf>
    <xf numFmtId="0" fontId="21" fillId="23" borderId="31" xfId="0" applyFont="1" applyFill="1" applyBorder="1" applyAlignment="1">
      <alignment horizontal="center" vertical="top" wrapText="1"/>
    </xf>
    <xf numFmtId="0" fontId="9" fillId="25" borderId="30" xfId="0" applyFont="1" applyFill="1" applyBorder="1" applyAlignment="1">
      <alignment horizontal="center" vertical="top" wrapText="1"/>
    </xf>
    <xf numFmtId="0" fontId="9" fillId="25" borderId="31" xfId="0" applyFont="1" applyFill="1" applyBorder="1" applyAlignment="1">
      <alignment horizontal="center" vertical="top" wrapText="1"/>
    </xf>
    <xf numFmtId="0" fontId="9" fillId="25" borderId="33" xfId="0" applyFont="1" applyFill="1" applyBorder="1" applyAlignment="1">
      <alignment horizontal="center" vertical="top" wrapText="1"/>
    </xf>
    <xf numFmtId="0" fontId="21" fillId="26" borderId="1" xfId="0" applyFont="1" applyFill="1" applyBorder="1" applyAlignment="1">
      <alignment horizontal="center" vertical="top" wrapText="1"/>
    </xf>
    <xf numFmtId="0" fontId="9" fillId="27" borderId="34" xfId="0" applyFont="1" applyFill="1" applyBorder="1" applyAlignment="1">
      <alignment horizontal="center" vertical="top" wrapText="1"/>
    </xf>
    <xf numFmtId="0" fontId="9" fillId="27" borderId="24" xfId="0" applyFont="1" applyFill="1" applyBorder="1" applyAlignment="1">
      <alignment horizontal="center" vertical="top" wrapText="1"/>
    </xf>
    <xf numFmtId="0" fontId="21" fillId="28" borderId="2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9" fillId="29" borderId="35" xfId="0" applyFont="1" applyFill="1" applyBorder="1" applyAlignment="1">
      <alignment horizontal="center" vertical="top" wrapText="1"/>
    </xf>
    <xf numFmtId="0" fontId="9" fillId="29" borderId="36" xfId="0" applyFont="1" applyFill="1" applyBorder="1" applyAlignment="1">
      <alignment horizontal="center" vertical="top" wrapText="1"/>
    </xf>
    <xf numFmtId="0" fontId="9" fillId="2" borderId="32" xfId="0" applyFont="1" applyFill="1" applyBorder="1" applyAlignment="1">
      <alignment horizontal="center" vertical="center" wrapText="1"/>
    </xf>
    <xf numFmtId="0" fontId="9" fillId="29" borderId="30" xfId="0" applyFont="1" applyFill="1" applyBorder="1" applyAlignment="1">
      <alignment horizontal="center" vertical="top" wrapText="1"/>
    </xf>
    <xf numFmtId="0" fontId="9" fillId="29" borderId="31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top"/>
    </xf>
    <xf numFmtId="0" fontId="20" fillId="19" borderId="37" xfId="0" applyFont="1" applyFill="1" applyBorder="1" applyAlignment="1">
      <alignment horizontal="center" vertical="center"/>
    </xf>
    <xf numFmtId="0" fontId="20" fillId="19" borderId="38" xfId="0" applyFont="1" applyFill="1" applyBorder="1" applyAlignment="1">
      <alignment horizontal="center" vertical="center"/>
    </xf>
    <xf numFmtId="2" fontId="9" fillId="31" borderId="37" xfId="0" applyNumberFormat="1" applyFont="1" applyFill="1" applyBorder="1" applyAlignment="1">
      <alignment horizontal="center" vertical="center"/>
    </xf>
    <xf numFmtId="2" fontId="9" fillId="31" borderId="38" xfId="0" applyNumberFormat="1" applyFont="1" applyFill="1" applyBorder="1" applyAlignment="1">
      <alignment horizontal="center" vertical="center"/>
    </xf>
    <xf numFmtId="2" fontId="5" fillId="22" borderId="39" xfId="0" applyNumberFormat="1" applyFont="1" applyFill="1" applyBorder="1" applyAlignment="1">
      <alignment horizontal="center" vertical="center"/>
    </xf>
    <xf numFmtId="1" fontId="5" fillId="23" borderId="40" xfId="0" applyNumberFormat="1" applyFont="1" applyFill="1" applyBorder="1" applyAlignment="1">
      <alignment horizontal="center" vertical="center"/>
    </xf>
    <xf numFmtId="2" fontId="5" fillId="24" borderId="41" xfId="0" applyNumberFormat="1" applyFont="1" applyFill="1" applyBorder="1" applyAlignment="1">
      <alignment horizontal="center" vertical="center"/>
    </xf>
    <xf numFmtId="2" fontId="9" fillId="32" borderId="41" xfId="0" applyNumberFormat="1" applyFont="1" applyFill="1" applyBorder="1" applyAlignment="1">
      <alignment horizontal="center" vertical="center"/>
    </xf>
    <xf numFmtId="2" fontId="9" fillId="32" borderId="40" xfId="0" applyNumberFormat="1" applyFont="1" applyFill="1" applyBorder="1" applyAlignment="1">
      <alignment horizontal="center" vertical="center"/>
    </xf>
    <xf numFmtId="2" fontId="5" fillId="33" borderId="42" xfId="0" applyNumberFormat="1" applyFont="1" applyFill="1" applyBorder="1" applyAlignment="1">
      <alignment horizontal="center" vertical="center"/>
    </xf>
    <xf numFmtId="2" fontId="10" fillId="34" borderId="41" xfId="0" applyNumberFormat="1" applyFont="1" applyFill="1" applyBorder="1" applyAlignment="1">
      <alignment horizontal="center" vertical="center"/>
    </xf>
    <xf numFmtId="2" fontId="5" fillId="35" borderId="41" xfId="0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45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23" fillId="18" borderId="11" xfId="0" applyFont="1" applyFill="1" applyBorder="1" applyAlignment="1">
      <alignment horizontal="center" vertical="center"/>
    </xf>
    <xf numFmtId="2" fontId="23" fillId="18" borderId="8" xfId="0" applyNumberFormat="1" applyFont="1" applyFill="1" applyBorder="1" applyAlignment="1">
      <alignment horizontal="center" vertical="center"/>
    </xf>
    <xf numFmtId="0" fontId="23" fillId="30" borderId="46" xfId="0" applyFont="1" applyFill="1" applyBorder="1" applyAlignment="1">
      <alignment horizontal="center" vertical="center"/>
    </xf>
    <xf numFmtId="0" fontId="20" fillId="19" borderId="47" xfId="0" applyFont="1" applyFill="1" applyBorder="1" applyAlignment="1">
      <alignment horizontal="center" vertical="center"/>
    </xf>
    <xf numFmtId="0" fontId="20" fillId="19" borderId="48" xfId="0" applyFont="1" applyFill="1" applyBorder="1" applyAlignment="1">
      <alignment horizontal="center" vertical="center"/>
    </xf>
    <xf numFmtId="2" fontId="9" fillId="31" borderId="47" xfId="0" applyNumberFormat="1" applyFont="1" applyFill="1" applyBorder="1" applyAlignment="1">
      <alignment horizontal="center" vertical="center"/>
    </xf>
    <xf numFmtId="2" fontId="9" fillId="31" borderId="48" xfId="0" applyNumberFormat="1" applyFont="1" applyFill="1" applyBorder="1" applyAlignment="1">
      <alignment horizontal="center" vertical="center"/>
    </xf>
    <xf numFmtId="2" fontId="5" fillId="22" borderId="49" xfId="0" applyNumberFormat="1" applyFont="1" applyFill="1" applyBorder="1" applyAlignment="1">
      <alignment horizontal="center" vertical="center"/>
    </xf>
    <xf numFmtId="1" fontId="5" fillId="23" borderId="50" xfId="0" applyNumberFormat="1" applyFont="1" applyFill="1" applyBorder="1" applyAlignment="1">
      <alignment horizontal="center" vertical="center"/>
    </xf>
    <xf numFmtId="2" fontId="5" fillId="24" borderId="51" xfId="0" applyNumberFormat="1" applyFont="1" applyFill="1" applyBorder="1" applyAlignment="1">
      <alignment horizontal="center" vertical="center"/>
    </xf>
    <xf numFmtId="2" fontId="9" fillId="32" borderId="51" xfId="0" applyNumberFormat="1" applyFont="1" applyFill="1" applyBorder="1" applyAlignment="1">
      <alignment horizontal="center" vertical="center"/>
    </xf>
    <xf numFmtId="2" fontId="9" fillId="32" borderId="50" xfId="0" applyNumberFormat="1" applyFont="1" applyFill="1" applyBorder="1" applyAlignment="1">
      <alignment horizontal="center" vertical="center"/>
    </xf>
    <xf numFmtId="2" fontId="5" fillId="33" borderId="52" xfId="0" applyNumberFormat="1" applyFont="1" applyFill="1" applyBorder="1" applyAlignment="1">
      <alignment horizontal="center" vertical="center"/>
    </xf>
    <xf numFmtId="2" fontId="10" fillId="34" borderId="51" xfId="0" applyNumberFormat="1" applyFont="1" applyFill="1" applyBorder="1" applyAlignment="1">
      <alignment horizontal="center" vertical="center"/>
    </xf>
    <xf numFmtId="2" fontId="5" fillId="35" borderId="51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left" vertical="center"/>
    </xf>
    <xf numFmtId="2" fontId="4" fillId="0" borderId="53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0" fontId="4" fillId="36" borderId="47" xfId="0" applyFont="1" applyFill="1" applyBorder="1" applyAlignment="1">
      <alignment horizontal="left" vertical="center"/>
    </xf>
    <xf numFmtId="1" fontId="5" fillId="37" borderId="40" xfId="0" applyNumberFormat="1" applyFont="1" applyFill="1" applyBorder="1" applyAlignment="1">
      <alignment horizontal="center" vertical="center"/>
    </xf>
    <xf numFmtId="1" fontId="5" fillId="37" borderId="50" xfId="0" applyNumberFormat="1" applyFont="1" applyFill="1" applyBorder="1" applyAlignment="1">
      <alignment horizontal="center" vertical="center"/>
    </xf>
    <xf numFmtId="0" fontId="20" fillId="19" borderId="55" xfId="0" applyFont="1" applyFill="1" applyBorder="1" applyAlignment="1">
      <alignment horizontal="center" vertical="center"/>
    </xf>
    <xf numFmtId="2" fontId="5" fillId="22" borderId="55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0" fontId="4" fillId="38" borderId="47" xfId="0" applyFont="1" applyFill="1" applyBorder="1" applyAlignment="1">
      <alignment horizontal="left" vertical="center"/>
    </xf>
    <xf numFmtId="0" fontId="20" fillId="19" borderId="56" xfId="0" applyFont="1" applyFill="1" applyBorder="1" applyAlignment="1">
      <alignment horizontal="center" vertical="center"/>
    </xf>
    <xf numFmtId="0" fontId="20" fillId="19" borderId="57" xfId="0" applyFont="1" applyFill="1" applyBorder="1" applyAlignment="1">
      <alignment horizontal="center" vertical="center"/>
    </xf>
    <xf numFmtId="2" fontId="9" fillId="31" borderId="56" xfId="0" applyNumberFormat="1" applyFont="1" applyFill="1" applyBorder="1" applyAlignment="1">
      <alignment horizontal="center" vertical="center"/>
    </xf>
    <xf numFmtId="2" fontId="9" fillId="31" borderId="57" xfId="0" applyNumberFormat="1" applyFont="1" applyFill="1" applyBorder="1" applyAlignment="1">
      <alignment horizontal="center" vertical="center"/>
    </xf>
    <xf numFmtId="2" fontId="5" fillId="22" borderId="58" xfId="0" applyNumberFormat="1" applyFont="1" applyFill="1" applyBorder="1" applyAlignment="1">
      <alignment horizontal="center" vertical="center"/>
    </xf>
    <xf numFmtId="2" fontId="5" fillId="24" borderId="59" xfId="0" applyNumberFormat="1" applyFont="1" applyFill="1" applyBorder="1" applyAlignment="1">
      <alignment horizontal="center" vertical="center"/>
    </xf>
    <xf numFmtId="2" fontId="9" fillId="32" borderId="59" xfId="0" applyNumberFormat="1" applyFont="1" applyFill="1" applyBorder="1" applyAlignment="1">
      <alignment horizontal="center" vertical="center"/>
    </xf>
    <xf numFmtId="2" fontId="9" fillId="32" borderId="60" xfId="0" applyNumberFormat="1" applyFont="1" applyFill="1" applyBorder="1" applyAlignment="1">
      <alignment horizontal="center" vertical="center"/>
    </xf>
    <xf numFmtId="2" fontId="5" fillId="33" borderId="61" xfId="0" applyNumberFormat="1" applyFont="1" applyFill="1" applyBorder="1" applyAlignment="1">
      <alignment horizontal="center" vertical="center"/>
    </xf>
    <xf numFmtId="2" fontId="10" fillId="34" borderId="59" xfId="0" applyNumberFormat="1" applyFont="1" applyFill="1" applyBorder="1" applyAlignment="1">
      <alignment horizontal="center" vertical="center"/>
    </xf>
    <xf numFmtId="2" fontId="5" fillId="35" borderId="59" xfId="0" applyNumberFormat="1" applyFont="1" applyFill="1" applyBorder="1" applyAlignment="1">
      <alignment horizontal="center" vertical="center"/>
    </xf>
    <xf numFmtId="0" fontId="4" fillId="38" borderId="56" xfId="0" applyFont="1" applyFill="1" applyBorder="1" applyAlignment="1">
      <alignment horizontal="left" vertical="center"/>
    </xf>
    <xf numFmtId="2" fontId="2" fillId="39" borderId="2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2" fillId="39" borderId="24" xfId="0" applyNumberFormat="1" applyFont="1" applyFill="1" applyBorder="1" applyAlignment="1">
      <alignment horizontal="center" vertical="center"/>
    </xf>
    <xf numFmtId="2" fontId="2" fillId="40" borderId="27" xfId="0" applyNumberFormat="1" applyFont="1" applyFill="1" applyBorder="1" applyAlignment="1">
      <alignment horizontal="center" vertical="center"/>
    </xf>
    <xf numFmtId="2" fontId="2" fillId="41" borderId="23" xfId="0" applyNumberFormat="1" applyFont="1" applyFill="1" applyBorder="1" applyAlignment="1">
      <alignment horizontal="center" vertical="center"/>
    </xf>
    <xf numFmtId="2" fontId="2" fillId="41" borderId="24" xfId="0" applyNumberFormat="1" applyFont="1" applyFill="1" applyBorder="1" applyAlignment="1">
      <alignment horizontal="center" vertical="center"/>
    </xf>
    <xf numFmtId="2" fontId="2" fillId="42" borderId="27" xfId="0" applyNumberFormat="1" applyFont="1" applyFill="1" applyBorder="1" applyAlignment="1">
      <alignment horizontal="center" vertical="center"/>
    </xf>
    <xf numFmtId="2" fontId="2" fillId="43" borderId="27" xfId="0" applyNumberFormat="1" applyFont="1" applyFill="1" applyBorder="1" applyAlignment="1">
      <alignment horizontal="center" vertical="center"/>
    </xf>
    <xf numFmtId="2" fontId="2" fillId="44" borderId="24" xfId="0" applyNumberFormat="1" applyFont="1" applyFill="1" applyBorder="1" applyAlignment="1">
      <alignment horizontal="center" vertical="center"/>
    </xf>
    <xf numFmtId="2" fontId="2" fillId="45" borderId="24" xfId="0" applyNumberFormat="1" applyFont="1" applyFill="1" applyBorder="1" applyAlignment="1">
      <alignment horizontal="center" vertical="center"/>
    </xf>
    <xf numFmtId="2" fontId="2" fillId="46" borderId="24" xfId="0" applyNumberFormat="1" applyFont="1" applyFill="1" applyBorder="1" applyAlignment="1">
      <alignment horizontal="center" vertical="center"/>
    </xf>
    <xf numFmtId="0" fontId="0" fillId="0" borderId="23" xfId="0" applyBorder="1"/>
    <xf numFmtId="2" fontId="24" fillId="47" borderId="24" xfId="0" applyNumberFormat="1" applyFont="1" applyFill="1" applyBorder="1" applyAlignment="1">
      <alignment horizontal="center" vertical="center"/>
    </xf>
    <xf numFmtId="2" fontId="25" fillId="5" borderId="24" xfId="0" applyNumberFormat="1" applyFont="1" applyFill="1" applyBorder="1" applyAlignment="1">
      <alignment horizontal="center" vertical="center"/>
    </xf>
    <xf numFmtId="2" fontId="24" fillId="5" borderId="24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48" borderId="23" xfId="0" applyFont="1" applyFill="1" applyBorder="1" applyAlignment="1">
      <alignment horizontal="center" vertical="center"/>
    </xf>
    <xf numFmtId="0" fontId="24" fillId="48" borderId="24" xfId="0" applyFont="1" applyFill="1" applyBorder="1" applyAlignment="1">
      <alignment horizontal="center" vertical="center"/>
    </xf>
    <xf numFmtId="0" fontId="24" fillId="48" borderId="2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/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49" borderId="1" xfId="0" applyNumberFormat="1" applyFont="1" applyFill="1" applyBorder="1"/>
    <xf numFmtId="2" fontId="3" fillId="49" borderId="0" xfId="0" applyNumberFormat="1" applyFont="1" applyFill="1"/>
    <xf numFmtId="2" fontId="3" fillId="0" borderId="17" xfId="0" applyNumberFormat="1" applyFont="1" applyBorder="1"/>
    <xf numFmtId="2" fontId="3" fillId="0" borderId="62" xfId="0" applyNumberFormat="1" applyFont="1" applyBorder="1"/>
    <xf numFmtId="2" fontId="2" fillId="49" borderId="1" xfId="0" applyNumberFormat="1" applyFont="1" applyFill="1" applyBorder="1"/>
    <xf numFmtId="2" fontId="2" fillId="49" borderId="0" xfId="0" applyNumberFormat="1" applyFont="1" applyFill="1"/>
    <xf numFmtId="2" fontId="2" fillId="48" borderId="1" xfId="0" applyNumberFormat="1" applyFont="1" applyFill="1" applyBorder="1"/>
    <xf numFmtId="2" fontId="2" fillId="48" borderId="0" xfId="0" applyNumberFormat="1" applyFont="1" applyFill="1"/>
    <xf numFmtId="0" fontId="18" fillId="50" borderId="0" xfId="0" applyFont="1" applyFill="1" applyAlignment="1">
      <alignment horizontal="center" vertical="top" wrapText="1"/>
    </xf>
    <xf numFmtId="0" fontId="18" fillId="45" borderId="0" xfId="0" applyFont="1" applyFill="1" applyAlignment="1">
      <alignment horizontal="center" vertical="top" wrapText="1"/>
    </xf>
    <xf numFmtId="2" fontId="2" fillId="41" borderId="1" xfId="0" applyNumberFormat="1" applyFont="1" applyFill="1" applyBorder="1" applyAlignment="1">
      <alignment horizontal="center" vertical="center"/>
    </xf>
    <xf numFmtId="2" fontId="2" fillId="43" borderId="1" xfId="0" applyNumberFormat="1" applyFont="1" applyFill="1" applyBorder="1" applyAlignment="1">
      <alignment horizontal="center" vertical="center"/>
    </xf>
    <xf numFmtId="0" fontId="22" fillId="54" borderId="6" xfId="0" applyFont="1" applyFill="1" applyBorder="1" applyAlignment="1">
      <alignment horizontal="center" vertical="center"/>
    </xf>
    <xf numFmtId="0" fontId="22" fillId="55" borderId="6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22" fillId="52" borderId="6" xfId="0" applyNumberFormat="1" applyFont="1" applyFill="1" applyBorder="1" applyAlignment="1">
      <alignment horizontal="center" vertical="center"/>
    </xf>
    <xf numFmtId="2" fontId="22" fillId="57" borderId="6" xfId="0" applyNumberFormat="1" applyFont="1" applyFill="1" applyBorder="1" applyAlignment="1">
      <alignment horizontal="center" vertical="center"/>
    </xf>
    <xf numFmtId="0" fontId="22" fillId="0" borderId="0" xfId="0" applyFont="1"/>
    <xf numFmtId="2" fontId="22" fillId="47" borderId="6" xfId="0" applyNumberFormat="1" applyFont="1" applyFill="1" applyBorder="1" applyAlignment="1">
      <alignment horizontal="center" vertical="center"/>
    </xf>
    <xf numFmtId="0" fontId="18" fillId="58" borderId="6" xfId="0" applyFont="1" applyFill="1" applyBorder="1" applyAlignment="1">
      <alignment horizontal="center" vertical="center"/>
    </xf>
    <xf numFmtId="2" fontId="0" fillId="0" borderId="0" xfId="0" applyNumberFormat="1"/>
    <xf numFmtId="0" fontId="25" fillId="62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9" fillId="18" borderId="28" xfId="0" applyFont="1" applyFill="1" applyBorder="1" applyAlignment="1">
      <alignment horizontal="center" vertical="top" wrapText="1"/>
    </xf>
    <xf numFmtId="0" fontId="19" fillId="18" borderId="26" xfId="0" applyFont="1" applyFill="1" applyBorder="1" applyAlignment="1">
      <alignment horizontal="center" vertical="top" wrapText="1"/>
    </xf>
    <xf numFmtId="0" fontId="23" fillId="18" borderId="22" xfId="0" applyFont="1" applyFill="1" applyBorder="1" applyAlignment="1">
      <alignment horizontal="center" vertical="center"/>
    </xf>
    <xf numFmtId="2" fontId="23" fillId="18" borderId="0" xfId="0" applyNumberFormat="1" applyFont="1" applyFill="1" applyAlignment="1">
      <alignment horizontal="center" vertical="center"/>
    </xf>
    <xf numFmtId="0" fontId="23" fillId="30" borderId="66" xfId="0" applyFont="1" applyFill="1" applyBorder="1" applyAlignment="1">
      <alignment horizontal="center" vertical="center"/>
    </xf>
    <xf numFmtId="0" fontId="23" fillId="18" borderId="67" xfId="0" applyFont="1" applyFill="1" applyBorder="1" applyAlignment="1">
      <alignment horizontal="center" vertical="center"/>
    </xf>
    <xf numFmtId="2" fontId="23" fillId="18" borderId="14" xfId="0" applyNumberFormat="1" applyFont="1" applyFill="1" applyBorder="1" applyAlignment="1">
      <alignment horizontal="center" vertical="center"/>
    </xf>
    <xf numFmtId="0" fontId="23" fillId="30" borderId="68" xfId="0" applyFont="1" applyFill="1" applyBorder="1" applyAlignment="1">
      <alignment horizontal="center" vertical="center"/>
    </xf>
    <xf numFmtId="0" fontId="5" fillId="20" borderId="69" xfId="0" applyFont="1" applyFill="1" applyBorder="1" applyAlignment="1">
      <alignment horizontal="center" vertical="center"/>
    </xf>
    <xf numFmtId="0" fontId="5" fillId="20" borderId="55" xfId="0" applyFont="1" applyFill="1" applyBorder="1" applyAlignment="1">
      <alignment horizontal="center" vertical="center"/>
    </xf>
    <xf numFmtId="0" fontId="5" fillId="20" borderId="70" xfId="0" applyFont="1" applyFill="1" applyBorder="1" applyAlignment="1">
      <alignment horizontal="center" vertical="center"/>
    </xf>
    <xf numFmtId="1" fontId="5" fillId="22" borderId="42" xfId="0" applyNumberFormat="1" applyFont="1" applyFill="1" applyBorder="1" applyAlignment="1">
      <alignment horizontal="center" vertical="center"/>
    </xf>
    <xf numFmtId="1" fontId="5" fillId="22" borderId="52" xfId="0" applyNumberFormat="1" applyFont="1" applyFill="1" applyBorder="1" applyAlignment="1">
      <alignment horizontal="center" vertical="center"/>
    </xf>
    <xf numFmtId="1" fontId="5" fillId="22" borderId="71" xfId="0" applyNumberFormat="1" applyFont="1" applyFill="1" applyBorder="1" applyAlignment="1">
      <alignment horizontal="center" vertical="center"/>
    </xf>
    <xf numFmtId="0" fontId="21" fillId="23" borderId="33" xfId="0" applyFont="1" applyFill="1" applyBorder="1" applyAlignment="1">
      <alignment horizontal="center" vertical="top" wrapText="1"/>
    </xf>
    <xf numFmtId="2" fontId="2" fillId="42" borderId="25" xfId="0" applyNumberFormat="1" applyFont="1" applyFill="1" applyBorder="1" applyAlignment="1">
      <alignment horizontal="center" vertical="center"/>
    </xf>
    <xf numFmtId="2" fontId="2" fillId="43" borderId="26" xfId="0" applyNumberFormat="1" applyFont="1" applyFill="1" applyBorder="1" applyAlignment="1">
      <alignment horizontal="center" vertical="center"/>
    </xf>
    <xf numFmtId="1" fontId="5" fillId="24" borderId="42" xfId="0" applyNumberFormat="1" applyFont="1" applyFill="1" applyBorder="1" applyAlignment="1">
      <alignment horizontal="center" vertical="center"/>
    </xf>
    <xf numFmtId="1" fontId="5" fillId="24" borderId="52" xfId="0" applyNumberFormat="1" applyFont="1" applyFill="1" applyBorder="1" applyAlignment="1">
      <alignment horizontal="center" vertical="center"/>
    </xf>
    <xf numFmtId="0" fontId="21" fillId="24" borderId="72" xfId="0" applyFont="1" applyFill="1" applyBorder="1" applyAlignment="1">
      <alignment horizontal="center" vertical="top" wrapText="1"/>
    </xf>
    <xf numFmtId="0" fontId="21" fillId="20" borderId="33" xfId="0" applyFont="1" applyFill="1" applyBorder="1" applyAlignment="1">
      <alignment horizontal="center" vertical="top" wrapText="1"/>
    </xf>
    <xf numFmtId="0" fontId="7" fillId="22" borderId="1" xfId="0" applyFont="1" applyFill="1" applyBorder="1" applyAlignment="1">
      <alignment horizontal="center" vertical="top" wrapText="1"/>
    </xf>
    <xf numFmtId="0" fontId="7" fillId="24" borderId="1" xfId="0" applyFont="1" applyFill="1" applyBorder="1" applyAlignment="1">
      <alignment horizontal="center" vertical="top" wrapText="1"/>
    </xf>
    <xf numFmtId="0" fontId="7" fillId="20" borderId="74" xfId="0" applyFont="1" applyFill="1" applyBorder="1" applyAlignment="1">
      <alignment horizontal="center" vertical="top" wrapText="1"/>
    </xf>
    <xf numFmtId="0" fontId="19" fillId="18" borderId="30" xfId="0" applyFont="1" applyFill="1" applyBorder="1" applyAlignment="1">
      <alignment horizontal="center" vertical="top" wrapText="1"/>
    </xf>
    <xf numFmtId="0" fontId="19" fillId="18" borderId="31" xfId="0" applyFont="1" applyFill="1" applyBorder="1" applyAlignment="1">
      <alignment horizontal="center" vertical="top" wrapText="1"/>
    </xf>
    <xf numFmtId="0" fontId="19" fillId="18" borderId="32" xfId="0" applyFont="1" applyFill="1" applyBorder="1" applyAlignment="1">
      <alignment horizontal="center" vertical="top" wrapText="1"/>
    </xf>
    <xf numFmtId="1" fontId="10" fillId="65" borderId="42" xfId="0" applyNumberFormat="1" applyFont="1" applyFill="1" applyBorder="1" applyAlignment="1">
      <alignment horizontal="center" vertical="center"/>
    </xf>
    <xf numFmtId="1" fontId="10" fillId="65" borderId="52" xfId="0" applyNumberFormat="1" applyFont="1" applyFill="1" applyBorder="1" applyAlignment="1">
      <alignment horizontal="center" vertical="center"/>
    </xf>
    <xf numFmtId="1" fontId="10" fillId="65" borderId="71" xfId="0" applyNumberFormat="1" applyFont="1" applyFill="1" applyBorder="1" applyAlignment="1">
      <alignment horizontal="center" vertical="center"/>
    </xf>
    <xf numFmtId="0" fontId="3" fillId="40" borderId="73" xfId="0" applyFont="1" applyFill="1" applyBorder="1" applyAlignment="1">
      <alignment horizontal="center" vertical="center"/>
    </xf>
    <xf numFmtId="1" fontId="5" fillId="64" borderId="0" xfId="0" applyNumberFormat="1" applyFont="1" applyFill="1" applyAlignment="1">
      <alignment horizontal="center" vertical="center"/>
    </xf>
    <xf numFmtId="1" fontId="2" fillId="63" borderId="73" xfId="0" applyNumberFormat="1" applyFont="1" applyFill="1" applyBorder="1" applyAlignment="1">
      <alignment horizontal="center" vertical="center"/>
    </xf>
    <xf numFmtId="0" fontId="2" fillId="63" borderId="73" xfId="0" applyFont="1" applyFill="1" applyBorder="1" applyAlignment="1">
      <alignment horizontal="center" vertical="center"/>
    </xf>
    <xf numFmtId="2" fontId="0" fillId="55" borderId="64" xfId="0" applyNumberFormat="1" applyFill="1" applyBorder="1" applyAlignment="1">
      <alignment horizontal="center" vertical="center"/>
    </xf>
    <xf numFmtId="2" fontId="0" fillId="55" borderId="20" xfId="0" applyNumberFormat="1" applyFill="1" applyBorder="1" applyAlignment="1">
      <alignment horizontal="center" vertical="center"/>
    </xf>
    <xf numFmtId="2" fontId="0" fillId="55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9" borderId="0" xfId="0" applyFill="1" applyAlignment="1">
      <alignment horizontal="center" vertical="center"/>
    </xf>
    <xf numFmtId="0" fontId="27" fillId="53" borderId="6" xfId="0" applyFont="1" applyFill="1" applyBorder="1" applyAlignment="1">
      <alignment horizontal="center"/>
    </xf>
    <xf numFmtId="0" fontId="25" fillId="60" borderId="0" xfId="0" applyFont="1" applyFill="1" applyAlignment="1">
      <alignment horizontal="center"/>
    </xf>
    <xf numFmtId="0" fontId="25" fillId="60" borderId="65" xfId="0" applyFont="1" applyFill="1" applyBorder="1" applyAlignment="1">
      <alignment horizontal="center"/>
    </xf>
    <xf numFmtId="0" fontId="25" fillId="61" borderId="0" xfId="0" applyFont="1" applyFill="1" applyAlignment="1">
      <alignment horizontal="center"/>
    </xf>
    <xf numFmtId="0" fontId="25" fillId="61" borderId="65" xfId="0" applyFont="1" applyFill="1" applyBorder="1" applyAlignment="1">
      <alignment horizontal="center"/>
    </xf>
    <xf numFmtId="2" fontId="25" fillId="45" borderId="21" xfId="0" applyNumberFormat="1" applyFont="1" applyFill="1" applyBorder="1" applyAlignment="1">
      <alignment horizontal="center"/>
    </xf>
    <xf numFmtId="2" fontId="25" fillId="45" borderId="65" xfId="0" applyNumberFormat="1" applyFont="1" applyFill="1" applyBorder="1" applyAlignment="1">
      <alignment horizontal="center"/>
    </xf>
    <xf numFmtId="0" fontId="25" fillId="62" borderId="0" xfId="0" applyFont="1" applyFill="1" applyAlignment="1">
      <alignment horizontal="center"/>
    </xf>
    <xf numFmtId="0" fontId="24" fillId="39" borderId="0" xfId="0" applyFont="1" applyFill="1" applyAlignment="1">
      <alignment horizontal="center"/>
    </xf>
    <xf numFmtId="0" fontId="0" fillId="39" borderId="65" xfId="0" applyFill="1" applyBorder="1" applyAlignment="1">
      <alignment horizontal="center"/>
    </xf>
    <xf numFmtId="0" fontId="24" fillId="41" borderId="0" xfId="0" applyFont="1" applyFill="1" applyAlignment="1">
      <alignment horizontal="center"/>
    </xf>
    <xf numFmtId="0" fontId="0" fillId="41" borderId="65" xfId="0" applyFill="1" applyBorder="1" applyAlignment="1">
      <alignment horizontal="center"/>
    </xf>
    <xf numFmtId="0" fontId="24" fillId="59" borderId="21" xfId="0" applyFont="1" applyFill="1" applyBorder="1" applyAlignment="1">
      <alignment horizontal="center"/>
    </xf>
    <xf numFmtId="0" fontId="0" fillId="59" borderId="65" xfId="0" applyFill="1" applyBorder="1" applyAlignment="1">
      <alignment horizontal="center"/>
    </xf>
    <xf numFmtId="0" fontId="24" fillId="52" borderId="0" xfId="0" applyFont="1" applyFill="1" applyAlignment="1">
      <alignment horizontal="center"/>
    </xf>
    <xf numFmtId="0" fontId="0" fillId="52" borderId="0" xfId="0" applyFill="1" applyAlignment="1">
      <alignment horizontal="center"/>
    </xf>
    <xf numFmtId="2" fontId="26" fillId="51" borderId="8" xfId="0" applyNumberFormat="1" applyFon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28" fillId="56" borderId="63" xfId="0" applyNumberFormat="1" applyFont="1" applyFill="1" applyBorder="1" applyAlignment="1">
      <alignment horizontal="center" vertical="center"/>
    </xf>
    <xf numFmtId="2" fontId="1" fillId="48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7" fillId="4" borderId="7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8" fillId="7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3" borderId="14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7" fillId="4" borderId="5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E6C5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AFFBC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AFFBC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rgb="FFAFFBC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</dxf>
    <dxf>
      <font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rgb="FFE6C5FF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9CC2E5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9CC2E5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fill>
        <patternFill patternType="solid">
          <fgColor rgb="FF9CC2E5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9CC2E5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>
          <bgColor theme="7" tint="-0.249977111117893"/>
        </patternFill>
      </fill>
      <border diagonalUp="0" diagonalDown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8"/>
        <color rgb="FF9C5700"/>
        <name val="Arial"/>
        <family val="2"/>
        <scheme val="none"/>
      </font>
      <border diagonalUp="0" diagonalDown="0">
        <left style="thin">
          <color rgb="FF000000"/>
        </left>
        <right/>
      </border>
    </dxf>
    <dxf>
      <font>
        <strike val="0"/>
        <outline val="0"/>
        <shadow val="0"/>
        <u val="none"/>
        <vertAlign val="baseline"/>
        <sz val="8"/>
        <color rgb="FF9C5700"/>
        <name val="Arial"/>
        <family val="2"/>
        <scheme val="none"/>
      </font>
      <border diagonalUp="0" diagonalDown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8"/>
        <color rgb="FF9C5700"/>
        <name val="Arial"/>
        <family val="2"/>
        <scheme val="none"/>
      </font>
      <border diagonalUp="0" diagonalDown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8"/>
        <color rgb="FF9C5700"/>
        <name val="Arial"/>
        <family val="2"/>
        <scheme val="none"/>
      </font>
      <border diagonalUp="0" diagonalDown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solid">
          <fgColor rgb="FFFFFF00"/>
          <bgColor theme="7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FFFF00"/>
          <bgColor rgb="FFAFFBC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FFFF00"/>
          <bgColor rgb="FFAFFBC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FFFF00"/>
          <bgColor rgb="FFAFFBC7"/>
        </patternFill>
      </fill>
      <alignment horizontal="center" vertical="center" textRotation="0" wrapText="0" indent="0" justifyLastLine="0" shrinkToFit="0" readingOrder="0"/>
    </dxf>
    <dxf>
      <border>
        <top style="medium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8"/>
      </font>
      <alignment vertical="top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F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30255039846342E-2"/>
          <c:y val="6.2440004776942483E-2"/>
          <c:w val="0.88572178477690289"/>
          <c:h val="0.83574312848152088"/>
        </c:manualLayout>
      </c:layout>
      <c:lineChart>
        <c:grouping val="standard"/>
        <c:varyColors val="0"/>
        <c:ser>
          <c:idx val="0"/>
          <c:order val="0"/>
          <c:tx>
            <c:v>Puntajes IIPs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'Puntajes 2023_ago22'!$B$81:$D$81</c:f>
              <c:numCache>
                <c:formatCode>0.00</c:formatCode>
                <c:ptCount val="3"/>
                <c:pt idx="0">
                  <c:v>36.719230769230776</c:v>
                </c:pt>
                <c:pt idx="1">
                  <c:v>41.257705882352951</c:v>
                </c:pt>
                <c:pt idx="2">
                  <c:v>45.302417434266594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7-4CF4-98D7-6A5920D1DE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0041232"/>
        <c:axId val="450035824"/>
      </c:lineChart>
      <c:catAx>
        <c:axId val="4500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35824"/>
        <c:crosses val="autoZero"/>
        <c:auto val="1"/>
        <c:lblAlgn val="ctr"/>
        <c:lblOffset val="100"/>
        <c:noMultiLvlLbl val="0"/>
      </c:catAx>
      <c:valAx>
        <c:axId val="450035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41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</xdr:colOff>
      <xdr:row>4</xdr:row>
      <xdr:rowOff>17144</xdr:rowOff>
    </xdr:from>
    <xdr:ext cx="2352675" cy="5991225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ntidades_1 4">
              <a:extLst>
                <a:ext uri="{FF2B5EF4-FFF2-40B4-BE49-F238E27FC236}">
                  <a16:creationId xmlns:a16="http://schemas.microsoft.com/office/drawing/2014/main" id="{54476152-6B99-4E4A-A8F9-BDB84C988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tidades_1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80" y="1551040"/>
              <a:ext cx="2352675" cy="599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twoCellAnchor>
    <xdr:from>
      <xdr:col>24</xdr:col>
      <xdr:colOff>590912</xdr:colOff>
      <xdr:row>88</xdr:row>
      <xdr:rowOff>331651</xdr:rowOff>
    </xdr:from>
    <xdr:to>
      <xdr:col>30</xdr:col>
      <xdr:colOff>771072</xdr:colOff>
      <xdr:row>101</xdr:row>
      <xdr:rowOff>19231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C92727-39FD-4417-9887-5B746A446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VEEDURIA%20DISTRITAL%20SIN%20L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UNIDAD%20ADMINISTRATIVA%20ESPECIAL%20DE%20CATAST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SUBRED%20INTEGRADA%20DE%20SERVICIOS%20DE%20SALUD%20SUR%20OCCIDENTE%20E.S.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UNIDAD%20ADMINISTRATIVA%20ESPECIAL%20DE%20REHABILITACI&#211;N%20Y%20MANTENIMIENTO%20VIAL%20-%20UM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UNIDAD%20ADMINISTRATIVA%20ESPECIAL%20CUERPO%20OFICIAL%20DE%20BOMBEROS%20BOGOT&#19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UNIDAD%20ADMINISTRATIVA%20ESPECIAL%20DE%20SERVICIOS%20P&#218;BLICOS%20-%20UAES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CALIFICADOS/Matriz%20de%20calificaci&#243;n%20UNIVERSIDAD%20DISTRITAL%20FRANCISCO%20JOS&#201;%20DE%20CAL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99">
          <cell r="M99"/>
        </row>
        <row r="111">
          <cell r="M111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99">
          <cell r="M99"/>
        </row>
        <row r="114">
          <cell r="M1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102">
          <cell r="M102"/>
        </row>
        <row r="114">
          <cell r="M114">
            <v>4.2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99">
          <cell r="M99"/>
        </row>
        <row r="111">
          <cell r="M111">
            <v>2.4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102">
          <cell r="M102"/>
        </row>
        <row r="114">
          <cell r="M114">
            <v>2.4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99">
          <cell r="M99"/>
        </row>
        <row r="111">
          <cell r="M111">
            <v>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</sheetNames>
    <sheetDataSet>
      <sheetData sheetId="0">
        <row r="99">
          <cell r="M99"/>
        </row>
        <row r="111">
          <cell r="M11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BDCDEF31-80D3-4337-A59C-2BC2FF7A3A71}" userId="25253c8e2b982620" providerId="Windows Live"/>
</personLis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91111" xr10:uid="{FF5E2A98-F7B6-481B-9C74-DB7CDD09269D}" sourceName="Entidades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ntidades_1 4" xr10:uid="{FC762C50-032D-4FD7-9C5A-57209F9CBD2B}" cache="SlicerCache_Table_1_Col_91111" caption="Entidade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72A10-D72B-458F-B792-A2CBDAF45CEE}" name="Table_14345" displayName="Table_14345" ref="F7:CI81" totalsRowCount="1" headerRowDxfId="129" totalsRowDxfId="127" headerRowBorderDxfId="128" totalsRowBorderDxfId="126">
  <autoFilter ref="F7:CI80" xr:uid="{83604D6D-DEAA-42EA-8689-1023B158C7C1}"/>
  <sortState xmlns:xlrd2="http://schemas.microsoft.com/office/spreadsheetml/2017/richdata2" ref="F8:CI80">
    <sortCondition descending="1" ref="Y7:Y80"/>
  </sortState>
  <tableColumns count="82">
    <tableColumn id="79" xr3:uid="{1B3624AB-0CA1-415B-8EA0-B09709A4FD18}" name="PUESTO_x000a_2019" dataDxfId="125" totalsRowDxfId="81">
      <calculatedColumnFormula>Table_14345[[#This Row],[POSICIÓN
2019]]</calculatedColumnFormula>
    </tableColumn>
    <tableColumn id="80" xr3:uid="{09583357-9F44-4ECD-A2E7-9D75DAE446F3}" name="PUESTO_x000a_2021" dataDxfId="124" totalsRowDxfId="80">
      <calculatedColumnFormula>Table_14345[[#This Row],[POSICIÓN
2021]]</calculatedColumnFormula>
    </tableColumn>
    <tableColumn id="81" xr3:uid="{456CE2E8-9614-4A58-AF77-3546E52A056E}" name="PUESTO_x000a_2023" dataDxfId="123" totalsRowDxfId="79">
      <calculatedColumnFormula>Table_14345[[#This Row],[POSICIÓN
2023]]</calculatedColumnFormula>
    </tableColumn>
    <tableColumn id="82" xr3:uid="{BB62B5FF-5747-4A52-8B3D-546A4780433A}" name="POSICIÓN_x000a_2019" dataDxfId="122" totalsRowDxfId="78"/>
    <tableColumn id="1" xr3:uid="{1176BE4C-AD7E-4F2A-AA17-2B52AC54F67A}" name="COM 1 - 2019" totalsRowFunction="average" dataDxfId="121" totalsRowDxfId="77"/>
    <tableColumn id="2" xr3:uid="{09C61340-F52D-4B85-8C5D-C0E822DB4667}" name="COM 2 - 2019" totalsRowFunction="average" dataDxfId="120" totalsRowDxfId="76"/>
    <tableColumn id="3" xr3:uid="{4C1F616F-CBE3-4FD3-8F8B-3526279DF1D0}" name="COM 3 - 2019" totalsRowFunction="average" dataDxfId="119" totalsRowDxfId="75"/>
    <tableColumn id="4" xr3:uid="{05A076F2-EDC6-4DB6-B16C-F1E880240689}" name="COM 4 - 2019" totalsRowFunction="average" dataDxfId="118" totalsRowDxfId="74"/>
    <tableColumn id="5" xr3:uid="{5CA74B0C-503F-4F11-A1D8-F9BFE49AF914}" name="Resultado IIP_x000a_2019" totalsRowFunction="average" dataDxfId="117" totalsRowDxfId="73"/>
    <tableColumn id="78" xr3:uid="{5C921EEA-D694-4CC8-9843-6DB597FED253}" name="POSICIÓN_x000a_2021" dataDxfId="116" totalsRowDxfId="72"/>
    <tableColumn id="69" xr3:uid="{412E276F-EE49-4712-A219-451C7D359C52}" name="COM 1 - 2021" totalsRowFunction="average" dataDxfId="115" totalsRowDxfId="71"/>
    <tableColumn id="68" xr3:uid="{749E7F58-AC7C-4AB7-A8F8-FB5A37CF1B77}" name="COM 2 - 2021" totalsRowFunction="average" dataDxfId="114" totalsRowDxfId="70"/>
    <tableColumn id="67" xr3:uid="{520D0DDA-8D7E-4A47-BBE2-78C130F12A7C}" name="COM 3 - 2021" totalsRowFunction="average" dataDxfId="113" totalsRowDxfId="69"/>
    <tableColumn id="66" xr3:uid="{4FF0ECC1-2E8A-4523-BB8E-00F82D2A7187}" name="COM 4 - 2021" totalsRowFunction="average" dataDxfId="112" totalsRowDxfId="68"/>
    <tableColumn id="71" xr3:uid="{7FE8DC9B-4EEC-4F04-A5EB-417519202E81}" name="Resultado IIP_x000a_2021" totalsRowFunction="average" dataDxfId="111" totalsRowDxfId="67">
      <calculatedColumnFormula>Table_14345[[#This Row],[COM 1 - 2021]]+Table_14345[[#This Row],[COM 2 - 2021]]+Table_14345[[#This Row],[COM 3 - 2021]]+Table_14345[[#This Row],[COM 4 - 2021]]</calculatedColumnFormula>
    </tableColumn>
    <tableColumn id="39" xr3:uid="{B024F4B9-69A3-44BF-8D82-2692D81742CC}" name="V1" dataDxfId="110" totalsRowDxfId="66"/>
    <tableColumn id="38" xr3:uid="{CDAB6404-02B1-4AA9-9C5A-1F6542CA07F5}" name="REV_x000a_1" dataDxfId="109" totalsRowDxfId="65"/>
    <tableColumn id="40" xr3:uid="{6D3D7C56-32F5-4F57-A3E1-3B729B6634DE}" name="REV_x000a_2" dataDxfId="108" totalsRowDxfId="64"/>
    <tableColumn id="51" xr3:uid="{E0E2FBA2-467B-442A-BE3A-B5AE0FB97493}" name="POSICIÓN_x000a_2023" dataDxfId="107" totalsRowDxfId="63"/>
    <tableColumn id="50" xr3:uid="{8CEEB64D-CD17-4F23-81A9-4CD0D8F9EB11}" name="Resultado IIP_x000a_2023" totalsRowFunction="average" dataDxfId="106" totalsRowDxfId="62">
      <calculatedColumnFormula>Table_14345[[#This Row],[COM 1 - 2023]]+Table_14345[[#This Row],[COM 2 - 2023]]+Table_14345[[#This Row],[COM 3 - 2023]]+Table_14345[[#This Row],[COM 4 - 2023]]</calculatedColumnFormula>
    </tableColumn>
    <tableColumn id="49" xr3:uid="{E2FF0C2F-7935-41DC-9828-12CBEDA07691}" name="COM 1 - 2023" totalsRowFunction="average" dataDxfId="105" totalsRowDxfId="61">
      <calculatedColumnFormula>Table_14345[[#This Row],[COM 1 (sumatoria)]]</calculatedColumnFormula>
    </tableColumn>
    <tableColumn id="48" xr3:uid="{E17A4F9E-1D81-4A42-A1AC-6BE95540B481}" name="COM 2 - 2023" totalsRowFunction="average" dataDxfId="104" totalsRowDxfId="60">
      <calculatedColumnFormula>Table_14345[[#This Row],[COM 2 (sumatoria)]]</calculatedColumnFormula>
    </tableColumn>
    <tableColumn id="8" xr3:uid="{F11AB293-A9A9-4542-9A0E-D839A2CE6D13}" name="COM 3 - 2023" totalsRowFunction="average" dataDxfId="103" totalsRowDxfId="59">
      <calculatedColumnFormula>Table_14345[[#This Row],[COM 3 (sumatoria)]]</calculatedColumnFormula>
    </tableColumn>
    <tableColumn id="7" xr3:uid="{974EB1E0-F8A4-4C13-B9B9-F1238E9D1AD6}" name="COM 4 - 2023" totalsRowFunction="average" dataDxfId="102" totalsRowDxfId="58">
      <calculatedColumnFormula>Table_14345[[#This Row],[COM 4 (sumatoria)]]</calculatedColumnFormula>
    </tableColumn>
    <tableColumn id="6" xr3:uid="{0313BCA3-4E2C-441F-A7C0-1F17BAA683D1}" name="VAR IIP_x000a_2021 a 2023" dataDxfId="101" totalsRowDxfId="57">
      <calculatedColumnFormula>Table_14345[[#This Row],[Resultado IIP
2023]]-Table_14345[[#This Row],[Resultado IIP
2021]]</calculatedColumnFormula>
    </tableColumn>
    <tableColumn id="37" xr3:uid="{564B7971-E88A-4672-AD92-BEDA175420A0}" name="PUNTAJE_x000a_C1_x000a_CAPACIDAD" totalsRowFunction="average" dataDxfId="100" totalsRowDxfId="56">
      <calculatedColumnFormula>Table_14345[[#This Row],[COM 1 - 2023]]*100/25</calculatedColumnFormula>
    </tableColumn>
    <tableColumn id="36" xr3:uid="{0F5AE7BB-E604-4C9B-957A-57DF019BF4E5}" name="PUNTAJE_x000a_C2_x000a_PRACTICAS" totalsRowFunction="average" dataDxfId="99" totalsRowDxfId="55">
      <calculatedColumnFormula>Table_14345[[#This Row],[COM 2 - 2023]]*100/35</calculatedColumnFormula>
    </tableColumn>
    <tableColumn id="35" xr3:uid="{9AF7C867-0757-45B6-A955-8038ABA2D8BE}" name="PUNTAJE_x000a_C3_x000a_RESULT" totalsRowFunction="average" dataDxfId="98" totalsRowDxfId="54">
      <calculatedColumnFormula>Table_14345[[#This Row],[COM 3 - 2023]]*100/25</calculatedColumnFormula>
    </tableColumn>
    <tableColumn id="34" xr3:uid="{33F2880F-E344-4024-A825-0F11FDC4CA5D}" name="PUNTAJE_x000a_C4_x000a_GC" totalsRowFunction="average" dataDxfId="97" totalsRowDxfId="53">
      <calculatedColumnFormula>Table_14345[[#This Row],[COM 4 - 2023]]*100/15</calculatedColumnFormula>
    </tableColumn>
    <tableColumn id="33" xr3:uid="{8A0F4E48-D5BF-4541-85C3-B23D8B2EA988}" name="DESCRIPTIVO" dataDxfId="96" totalsRowDxfId="52"/>
    <tableColumn id="9" xr3:uid="{728CE272-A220-4FBD-A251-AA503B0AE781}" name="Entidades" totalsRowDxfId="51"/>
    <tableColumn id="10" xr3:uid="{5C83A857-33EA-4237-ACF3-11BAB94A7792}" name="Pregunta_x000a_1" totalsRowFunction="average" totalsRowDxfId="50"/>
    <tableColumn id="11" xr3:uid="{7CEB72FA-2463-48F9-A051-1EAE126AE472}" name="Pregunta_x000a_2" totalsRowFunction="max" totalsRowDxfId="49"/>
    <tableColumn id="12" xr3:uid="{C08250D4-D3F3-4CA0-B14C-10EA61C4768E}" name="Pregunta_x000a_3" totalsRowFunction="max" totalsRowDxfId="48"/>
    <tableColumn id="13" xr3:uid="{9E8618B5-2127-4382-A1CF-F4326CB5ABA9}" name="Pregunta_x000a_4" totalsRowFunction="max" totalsRowDxfId="47"/>
    <tableColumn id="14" xr3:uid="{647B0447-F47A-45F5-8E49-8C63D7CB870E}" name="Pregunta_x000a_5" totalsRowFunction="max" totalsRowDxfId="46"/>
    <tableColumn id="15" xr3:uid="{AB65EBA4-82C2-48B5-963D-C58A7EA1F7A7}" name="Pregunta_x000a_6" totalsRowFunction="max" totalsRowDxfId="45"/>
    <tableColumn id="16" xr3:uid="{670FF5F5-9BFE-4EB5-B2BB-796D05D73E1B}" name="Pregunta_x000a_7" totalsRowFunction="max" totalsRowDxfId="44"/>
    <tableColumn id="17" xr3:uid="{A08FABF0-E425-4B11-BD9E-E83FBE04D333}" name="Pregunta_x000a_8" totalsRowFunction="max" totalsRowDxfId="43"/>
    <tableColumn id="18" xr3:uid="{BAA25A6D-90A9-4897-89DB-731ECE22F631}" name="Pregunta_x000a_9" totalsRowFunction="max" totalsRowDxfId="42"/>
    <tableColumn id="19" xr3:uid="{2DEC448F-E7A6-4FBF-B6BA-F0A49E39F1ED}" name="Pregunta_x000a_10" totalsRowFunction="max" totalsRowDxfId="41"/>
    <tableColumn id="20" xr3:uid="{143105A5-9CA7-48DB-B1F8-2AE7BEB4342D}" name="Pregunta_x000a_11" totalsRowFunction="max" totalsRowDxfId="40"/>
    <tableColumn id="21" xr3:uid="{C273CAA3-CC9D-4D0B-9E9A-793F98C08286}" name="Pregunta_x000a_12" totalsRowFunction="max" dataDxfId="95" totalsRowDxfId="39"/>
    <tableColumn id="22" xr3:uid="{9003FA15-7968-484C-8CF6-9660A9204E88}" name="Pregunta_x000a_13" totalsRowFunction="max" totalsRowDxfId="38"/>
    <tableColumn id="23" xr3:uid="{30CB043E-BF3F-4C4C-867B-CD42FC7FE089}" name="COM 1 (sumatoria)" totalsRowFunction="max" totalsRowDxfId="37">
      <calculatedColumnFormula>(SUM(AK8:AW8))</calculatedColumnFormula>
    </tableColumn>
    <tableColumn id="24" xr3:uid="{ACB799C2-EF4B-483E-AC5F-B627CD49F420}" name="Pregunta_x000a_14" totalsRowFunction="max" totalsRowDxfId="36"/>
    <tableColumn id="25" xr3:uid="{C1883CBD-CED5-4C77-939E-0F80ABF277C6}" name="Pregunta_x000a_15" totalsRowFunction="max" totalsRowDxfId="35"/>
    <tableColumn id="26" xr3:uid="{B193D440-F740-48E3-AE89-A4E326A793BE}" name="Pregunta 16" totalsRowFunction="max" totalsRowDxfId="34"/>
    <tableColumn id="27" xr3:uid="{C73DBB4C-FC8D-4942-AE18-7B3CCE21056F}" name="Pregunta 17" totalsRowFunction="max" totalsRowDxfId="33"/>
    <tableColumn id="28" xr3:uid="{DDC5148C-EDA9-4AFD-BB8C-C22604DDFE51}" name="Pregunta 18" totalsRowFunction="max" totalsRowDxfId="32"/>
    <tableColumn id="29" xr3:uid="{45F3C1EE-5E72-4B10-9235-D7BF2D95DACE}" name="Pregunta 19" totalsRowFunction="max" totalsRowDxfId="31"/>
    <tableColumn id="30" xr3:uid="{719F4E85-D0CA-471F-B2C1-FCF70FCB3881}" name="Pregunta 20" totalsRowFunction="max" totalsRowDxfId="30"/>
    <tableColumn id="31" xr3:uid="{58750FFD-316A-44E8-AC6B-1F825E8A1AC0}" name="Pregunta 21" totalsRowFunction="max" totalsRowDxfId="29"/>
    <tableColumn id="32" xr3:uid="{2D76897F-5B05-449A-B53C-6003EDE5D650}" name="Pregunta 22" totalsRowFunction="max" totalsRowDxfId="28"/>
    <tableColumn id="52" xr3:uid="{D95E46C5-EA38-4674-AF57-90D8EA048C61}" name="Pregunta 23" totalsRowFunction="max" dataDxfId="94" totalsRowDxfId="27"/>
    <tableColumn id="63" xr3:uid="{A0B55E4F-47BE-4C9B-9102-EB9D3683134B}" name="Pregunta 24" totalsRowFunction="max" dataDxfId="93" totalsRowDxfId="26"/>
    <tableColumn id="41" xr3:uid="{EF067BEE-C7C3-4F02-BED1-7C434E1694EF}" name="Pregunta 25" totalsRowFunction="max" totalsRowDxfId="25"/>
    <tableColumn id="42" xr3:uid="{1C080596-9971-4810-9A0A-7B412ABAB50B}" name="Pregunta 26" totalsRowFunction="max" totalsRowDxfId="24"/>
    <tableColumn id="43" xr3:uid="{5EA70F20-7166-4811-B90D-53DCB0897CC3}" name="Pregunta 27" totalsRowFunction="max" totalsRowDxfId="23"/>
    <tableColumn id="44" xr3:uid="{3DC0CCDB-E82B-4293-B415-6C8831178C4E}" name="COM 2 (sumatoria)" totalsRowFunction="max" dataDxfId="92" totalsRowDxfId="22">
      <calculatedColumnFormula>(SUM(AY8:BL8))</calculatedColumnFormula>
    </tableColumn>
    <tableColumn id="45" xr3:uid="{F68150F0-A6E1-4D90-81D1-B7116C6A8CAD}" name="Pregunta 28" totalsRowFunction="max" totalsRowDxfId="21"/>
    <tableColumn id="46" xr3:uid="{BAF607ED-C684-4E41-B8C2-2CA1E7916450}" name="Pregunta 29" totalsRowFunction="max" totalsRowDxfId="20"/>
    <tableColumn id="47" xr3:uid="{5C90028D-E6B2-4ACA-984A-B3056943D759}" name="Pregunta 30" totalsRowFunction="max" totalsRowDxfId="19"/>
    <tableColumn id="53" xr3:uid="{470EBB04-1390-4C17-BC83-9DB746F06E03}" name="COM 3 (sumatoria)" totalsRowFunction="max" dataDxfId="91" totalsRowDxfId="18">
      <calculatedColumnFormula>(SUM(BN8:BP8))</calculatedColumnFormula>
    </tableColumn>
    <tableColumn id="54" xr3:uid="{C456BA58-650F-493E-A96D-D50C3EB82A5E}" name="Pregunta 31" totalsRowFunction="max" totalsRowDxfId="17"/>
    <tableColumn id="55" xr3:uid="{FE300D7A-BBA0-4011-BFE0-1AA4045FDC10}" name="Pregunta_x000a_32" totalsRowFunction="max" totalsRowDxfId="16"/>
    <tableColumn id="56" xr3:uid="{355BD6C8-D719-4203-BB0F-13B59FE18AC0}" name="Pregunta_x000a_33" totalsRowFunction="max" totalsRowDxfId="15"/>
    <tableColumn id="57" xr3:uid="{3F3AF670-25AC-491D-AFB2-36A563038D13}" name="Pregunta_x000a_34" totalsRowFunction="max" totalsRowDxfId="14"/>
    <tableColumn id="58" xr3:uid="{103EE452-DEB4-4614-A6E5-44B383781B14}" name="Pregunta_x000a_35" totalsRowFunction="max" totalsRowDxfId="13"/>
    <tableColumn id="59" xr3:uid="{46A8AA4A-27E5-4ADE-9519-CB5B7B2DF43E}" name="Pregunta_x000a_36" totalsRowFunction="max" totalsRowDxfId="12"/>
    <tableColumn id="60" xr3:uid="{D4D9C774-41A6-4DDE-9ECA-08B7CE4B5949}" name="Pregunta_x000a_37" totalsRowFunction="max" totalsRowDxfId="11"/>
    <tableColumn id="61" xr3:uid="{602656E4-3FFF-4EC0-B116-C89DD02DE9DC}" name="Pregunta_x000a_38" totalsRowFunction="max" totalsRowDxfId="10"/>
    <tableColumn id="62" xr3:uid="{DE910485-9E2A-4EAE-8485-485032074954}" name="Pregunta_x000a_39" totalsRowFunction="max" totalsRowDxfId="9"/>
    <tableColumn id="65" xr3:uid="{C90D130F-E247-42F0-86C7-F541A789C1DA}" name="COM 4 (sumatoria)" totalsRowFunction="max" dataDxfId="90" totalsRowDxfId="8">
      <calculatedColumnFormula>(SUM(BR8:BZ8))</calculatedColumnFormula>
    </tableColumn>
    <tableColumn id="64" xr3:uid="{221AC2AB-561D-49F6-B5F4-361D38DC3190}" name="PREAJUSTE_x000a_32" dataDxfId="89" totalsRowDxfId="7"/>
    <tableColumn id="70" xr3:uid="{0DE59D5C-BB78-43D0-B215-B43CD653F73D}" name="AJUSTADO_x000a_32" dataDxfId="88" totalsRowDxfId="6">
      <calculatedColumnFormula>Table_14345[[#This Row],[PREAJUSTE
32]]+0.5</calculatedColumnFormula>
    </tableColumn>
    <tableColumn id="75" xr3:uid="{1A445661-C76A-4F8B-A87D-627F17BE7AE9}" name="DIFERENCIA_x000a_32" dataDxfId="87" totalsRowDxfId="5">
      <calculatedColumnFormula>Table_14345[[#This Row],[AJUSTADO
32]]-3</calculatedColumnFormula>
    </tableColumn>
    <tableColumn id="76" xr3:uid="{C00A21BF-9724-454E-926A-7DF7F16F6B2D}" name="FICTI_x000a_32" dataDxfId="86" totalsRowDxfId="4">
      <calculatedColumnFormula>Table_14345[[#This Row],[AJUSTADO
32]]-Table_14345[[#This Row],[DIFERENCIA
32]]</calculatedColumnFormula>
    </tableColumn>
    <tableColumn id="73" xr3:uid="{2ED68250-3D06-4596-AF26-9E46071D0B9F}" name="PREAJUSTE_x000a_38" dataDxfId="85" totalsRowDxfId="3"/>
    <tableColumn id="72" xr3:uid="{495226B2-9D33-4DEA-8C75-C3031E9CD26E}" name="AJUSTADO_x000a_38" dataDxfId="84" totalsRowDxfId="2">
      <calculatedColumnFormula>Table_14345[[#This Row],[PREAJUSTE
38]]+0.5</calculatedColumnFormula>
    </tableColumn>
    <tableColumn id="74" xr3:uid="{CA705D2C-F812-4B92-907D-7EE70D18F65A}" name="DIFERENCIA_x000a_38" dataDxfId="83" totalsRowDxfId="1">
      <calculatedColumnFormula>Table_14345[[#This Row],[AJUSTADO
38]]-1</calculatedColumnFormula>
    </tableColumn>
    <tableColumn id="77" xr3:uid="{4C4E05D2-C7E0-4612-A308-A6C8CF068737}" name="FICTI_x000a_38" dataDxfId="82" totalsRowDxfId="0">
      <calculatedColumnFormula>Table_14345[[#This Row],[AJUSTADO
38]]-Table_14345[[#This Row],[DIFERENCIA
38]]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16" dT="2023-07-31T19:48:23.50" personId="{BDCDEF31-80D3-4337-A59C-2BC2FF7A3A71}" id="{55BC8956-80A3-4A06-B364-DEECCA06BF99}">
    <text>Revisar al alza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B28D-8585-4E31-9D68-17AEAE86A808}">
  <dimension ref="B1:CI105"/>
  <sheetViews>
    <sheetView tabSelected="1" topLeftCell="Q56" zoomScale="70" zoomScaleNormal="70" workbookViewId="0">
      <selection activeCell="Z84" sqref="Z84"/>
    </sheetView>
  </sheetViews>
  <sheetFormatPr baseColWidth="10" defaultRowHeight="15.6" x14ac:dyDescent="0.3"/>
  <cols>
    <col min="1" max="1" width="35.296875" customWidth="1"/>
    <col min="2" max="4" width="6.796875" customWidth="1"/>
    <col min="5" max="5" width="10.5" customWidth="1"/>
    <col min="6" max="8" width="7.59765625" customWidth="1"/>
    <col min="9" max="20" width="6.796875" customWidth="1"/>
    <col min="21" max="23" width="6.796875" hidden="1" customWidth="1"/>
    <col min="24" max="24" width="6.796875" customWidth="1"/>
    <col min="25" max="29" width="8.19921875" customWidth="1"/>
    <col min="30" max="35" width="10.8984375" style="1" customWidth="1"/>
    <col min="36" max="36" width="40.5" customWidth="1"/>
    <col min="37" max="37" width="7.296875" hidden="1" customWidth="1"/>
    <col min="38" max="38" width="7.69921875" customWidth="1"/>
    <col min="39" max="39" width="7.69921875" hidden="1" customWidth="1"/>
    <col min="40" max="40" width="7.69921875" customWidth="1"/>
    <col min="41" max="41" width="7.69921875" hidden="1" customWidth="1"/>
    <col min="42" max="42" width="7.69921875" customWidth="1"/>
    <col min="43" max="43" width="7.69921875" hidden="1" customWidth="1"/>
    <col min="44" max="44" width="7.69921875" customWidth="1"/>
    <col min="45" max="46" width="7.69921875" hidden="1" customWidth="1"/>
    <col min="47" max="47" width="7.69921875" customWidth="1"/>
    <col min="48" max="48" width="7.69921875" hidden="1" customWidth="1"/>
    <col min="49" max="49" width="7.69921875" customWidth="1"/>
    <col min="50" max="50" width="10" customWidth="1"/>
    <col min="51" max="64" width="7.59765625" customWidth="1"/>
    <col min="65" max="65" width="10" customWidth="1"/>
    <col min="66" max="68" width="7.59765625" customWidth="1"/>
    <col min="69" max="69" width="10" customWidth="1"/>
    <col min="70" max="70" width="6.796875" hidden="1" customWidth="1"/>
    <col min="71" max="78" width="8.3984375" customWidth="1"/>
    <col min="79" max="87" width="10" customWidth="1"/>
  </cols>
  <sheetData>
    <row r="1" spans="2:87" ht="16.2" thickBot="1" x14ac:dyDescent="0.35">
      <c r="AM1" s="2"/>
    </row>
    <row r="2" spans="2:87" ht="16.2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4"/>
      <c r="AF2" s="4"/>
      <c r="AG2" s="4"/>
      <c r="AH2" s="4"/>
      <c r="AI2" s="4"/>
      <c r="AJ2" s="5" t="s">
        <v>0</v>
      </c>
      <c r="AK2" s="272" t="s">
        <v>1</v>
      </c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274"/>
      <c r="AY2" s="272" t="s">
        <v>2</v>
      </c>
      <c r="AZ2" s="273"/>
      <c r="BA2" s="273"/>
      <c r="BB2" s="273"/>
      <c r="BC2" s="273"/>
      <c r="BD2" s="273"/>
      <c r="BE2" s="273"/>
      <c r="BF2" s="273"/>
      <c r="BG2" s="273"/>
      <c r="BH2" s="273"/>
      <c r="BI2" s="273"/>
      <c r="BJ2" s="273"/>
      <c r="BK2" s="273"/>
      <c r="BL2" s="273"/>
      <c r="BM2" s="274"/>
      <c r="BN2" s="272" t="s">
        <v>3</v>
      </c>
      <c r="BO2" s="273"/>
      <c r="BP2" s="273"/>
      <c r="BQ2" s="274"/>
      <c r="BR2" s="272" t="s">
        <v>4</v>
      </c>
      <c r="BS2" s="273"/>
      <c r="BT2" s="273"/>
      <c r="BU2" s="273"/>
      <c r="BV2" s="273"/>
      <c r="BW2" s="273"/>
      <c r="BX2" s="273"/>
      <c r="BY2" s="273"/>
      <c r="BZ2" s="273"/>
      <c r="CA2" s="274"/>
      <c r="CB2" s="6"/>
      <c r="CC2" s="6"/>
      <c r="CD2" s="6"/>
      <c r="CE2" s="6"/>
      <c r="CF2" s="6"/>
      <c r="CG2" s="6"/>
      <c r="CH2" s="6"/>
      <c r="CI2" s="6"/>
    </row>
    <row r="3" spans="2:87" s="16" customFormat="1" ht="63" customHeight="1" thickBot="1" x14ac:dyDescent="0.3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8"/>
      <c r="AE3" s="8"/>
      <c r="AF3" s="8"/>
      <c r="AG3" s="8"/>
      <c r="AH3" s="8"/>
      <c r="AI3" s="8"/>
      <c r="AJ3" s="9" t="s">
        <v>5</v>
      </c>
      <c r="AK3" s="275" t="s">
        <v>6</v>
      </c>
      <c r="AL3" s="276"/>
      <c r="AM3" s="253" t="s">
        <v>7</v>
      </c>
      <c r="AN3" s="257"/>
      <c r="AO3" s="257"/>
      <c r="AP3" s="254"/>
      <c r="AQ3" s="253" t="s">
        <v>8</v>
      </c>
      <c r="AR3" s="257"/>
      <c r="AS3" s="257"/>
      <c r="AT3" s="257"/>
      <c r="AU3" s="257"/>
      <c r="AV3" s="254"/>
      <c r="AW3" s="10" t="s">
        <v>9</v>
      </c>
      <c r="AX3" s="12"/>
      <c r="AY3" s="255" t="s">
        <v>10</v>
      </c>
      <c r="AZ3" s="277"/>
      <c r="BA3" s="277"/>
      <c r="BB3" s="277"/>
      <c r="BC3" s="256"/>
      <c r="BD3" s="253" t="s">
        <v>11</v>
      </c>
      <c r="BE3" s="257"/>
      <c r="BF3" s="257"/>
      <c r="BG3" s="254"/>
      <c r="BH3" s="11" t="s">
        <v>12</v>
      </c>
      <c r="BI3" s="11" t="s">
        <v>13</v>
      </c>
      <c r="BJ3" s="253" t="s">
        <v>14</v>
      </c>
      <c r="BK3" s="257"/>
      <c r="BL3" s="254"/>
      <c r="BM3" s="12"/>
      <c r="BN3" s="13" t="s">
        <v>15</v>
      </c>
      <c r="BO3" s="253" t="s">
        <v>16</v>
      </c>
      <c r="BP3" s="254"/>
      <c r="BQ3" s="12"/>
      <c r="BR3" s="255" t="s">
        <v>17</v>
      </c>
      <c r="BS3" s="256"/>
      <c r="BT3" s="253" t="s">
        <v>18</v>
      </c>
      <c r="BU3" s="257"/>
      <c r="BV3" s="257"/>
      <c r="BW3" s="257"/>
      <c r="BX3" s="257"/>
      <c r="BY3" s="254"/>
      <c r="BZ3" s="10" t="s">
        <v>19</v>
      </c>
      <c r="CA3" s="14"/>
      <c r="CB3" s="15"/>
      <c r="CC3" s="15"/>
      <c r="CD3" s="15"/>
      <c r="CE3" s="15"/>
      <c r="CF3" s="15"/>
      <c r="CG3" s="15"/>
      <c r="CH3" s="15"/>
      <c r="CI3" s="15"/>
    </row>
    <row r="4" spans="2:87" ht="25.2" customHeight="1" thickBot="1" x14ac:dyDescent="0.3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8"/>
      <c r="AE4" s="18"/>
      <c r="AF4" s="18"/>
      <c r="AG4" s="18"/>
      <c r="AH4" s="18"/>
      <c r="AI4" s="18"/>
      <c r="AJ4" s="19" t="s">
        <v>20</v>
      </c>
      <c r="AK4" s="20" t="s">
        <v>21</v>
      </c>
      <c r="AL4" s="21" t="s">
        <v>22</v>
      </c>
      <c r="AM4" s="258" t="s">
        <v>23</v>
      </c>
      <c r="AN4" s="259"/>
      <c r="AO4" s="258" t="s">
        <v>24</v>
      </c>
      <c r="AP4" s="259"/>
      <c r="AQ4" s="260" t="s">
        <v>25</v>
      </c>
      <c r="AR4" s="261"/>
      <c r="AS4" s="262"/>
      <c r="AT4" s="260" t="s">
        <v>26</v>
      </c>
      <c r="AU4" s="261"/>
      <c r="AV4" s="262"/>
      <c r="AW4" s="22" t="s">
        <v>27</v>
      </c>
      <c r="AX4" s="24"/>
      <c r="AY4" s="25" t="s">
        <v>28</v>
      </c>
      <c r="AZ4" s="22" t="s">
        <v>29</v>
      </c>
      <c r="BA4" s="22" t="s">
        <v>30</v>
      </c>
      <c r="BB4" s="260" t="s">
        <v>31</v>
      </c>
      <c r="BC4" s="262"/>
      <c r="BD4" s="22" t="s">
        <v>32</v>
      </c>
      <c r="BE4" s="22" t="s">
        <v>33</v>
      </c>
      <c r="BF4" s="260" t="s">
        <v>34</v>
      </c>
      <c r="BG4" s="262"/>
      <c r="BH4" s="23" t="s">
        <v>35</v>
      </c>
      <c r="BI4" s="23" t="s">
        <v>36</v>
      </c>
      <c r="BJ4" s="22" t="s">
        <v>37</v>
      </c>
      <c r="BK4" s="22" t="s">
        <v>38</v>
      </c>
      <c r="BL4" s="22" t="s">
        <v>39</v>
      </c>
      <c r="BM4" s="24"/>
      <c r="BN4" s="25" t="s">
        <v>40</v>
      </c>
      <c r="BO4" s="26" t="s">
        <v>41</v>
      </c>
      <c r="BP4" s="26" t="s">
        <v>42</v>
      </c>
      <c r="BQ4" s="24"/>
      <c r="BR4" s="25" t="s">
        <v>43</v>
      </c>
      <c r="BS4" s="22" t="s">
        <v>44</v>
      </c>
      <c r="BT4" s="26" t="s">
        <v>45</v>
      </c>
      <c r="BU4" s="22" t="s">
        <v>46</v>
      </c>
      <c r="BV4" s="26" t="s">
        <v>47</v>
      </c>
      <c r="BW4" s="22" t="s">
        <v>48</v>
      </c>
      <c r="BX4" s="26" t="s">
        <v>49</v>
      </c>
      <c r="BY4" s="22" t="s">
        <v>50</v>
      </c>
      <c r="BZ4" s="26" t="s">
        <v>51</v>
      </c>
      <c r="CA4" s="24"/>
      <c r="CB4" s="27"/>
      <c r="CC4" s="27"/>
      <c r="CD4" s="27"/>
      <c r="CE4" s="27"/>
      <c r="CF4" s="27"/>
      <c r="CG4" s="27"/>
      <c r="CH4" s="27"/>
      <c r="CI4" s="27"/>
    </row>
    <row r="5" spans="2:87" ht="35.4" customHeight="1" thickBot="1" x14ac:dyDescent="0.35">
      <c r="B5" s="17"/>
      <c r="C5" s="17"/>
      <c r="D5" s="17"/>
      <c r="E5" s="17"/>
      <c r="F5" s="17"/>
      <c r="G5" s="17"/>
      <c r="H5" s="17"/>
      <c r="I5" s="28"/>
      <c r="J5" s="263" t="s">
        <v>52</v>
      </c>
      <c r="K5" s="264"/>
      <c r="L5" s="264"/>
      <c r="M5" s="264"/>
      <c r="N5" s="264"/>
      <c r="O5" s="28"/>
      <c r="P5" s="265" t="s">
        <v>53</v>
      </c>
      <c r="Q5" s="266"/>
      <c r="R5" s="266"/>
      <c r="S5" s="266"/>
      <c r="T5" s="266"/>
      <c r="U5" s="28"/>
      <c r="V5" s="28"/>
      <c r="W5" s="28"/>
      <c r="X5" s="28"/>
      <c r="Y5" s="267" t="s">
        <v>54</v>
      </c>
      <c r="Z5" s="268"/>
      <c r="AA5" s="268"/>
      <c r="AB5" s="268"/>
      <c r="AC5" s="269"/>
      <c r="AD5" s="29" t="s">
        <v>55</v>
      </c>
      <c r="AE5" s="270" t="s">
        <v>56</v>
      </c>
      <c r="AF5" s="271"/>
      <c r="AG5" s="271"/>
      <c r="AH5" s="271"/>
      <c r="AI5" s="30"/>
      <c r="AJ5" s="31" t="s">
        <v>57</v>
      </c>
      <c r="AK5" s="32">
        <v>0</v>
      </c>
      <c r="AL5" s="33">
        <v>4</v>
      </c>
      <c r="AM5" s="33">
        <v>0</v>
      </c>
      <c r="AN5" s="33">
        <v>4</v>
      </c>
      <c r="AO5" s="33">
        <v>0</v>
      </c>
      <c r="AP5" s="33">
        <v>3.7</v>
      </c>
      <c r="AQ5" s="33">
        <v>0</v>
      </c>
      <c r="AR5" s="33">
        <v>4</v>
      </c>
      <c r="AS5" s="33">
        <v>0</v>
      </c>
      <c r="AT5" s="33">
        <v>0</v>
      </c>
      <c r="AU5" s="33">
        <v>4.7</v>
      </c>
      <c r="AV5" s="33">
        <v>0</v>
      </c>
      <c r="AW5" s="33">
        <v>4.5999999999999996</v>
      </c>
      <c r="AX5" s="34">
        <v>0.25</v>
      </c>
      <c r="AY5" s="35">
        <v>2.8</v>
      </c>
      <c r="AZ5" s="36">
        <v>1</v>
      </c>
      <c r="BA5" s="36">
        <v>2.8</v>
      </c>
      <c r="BB5" s="36">
        <v>1.2</v>
      </c>
      <c r="BC5" s="36">
        <v>1.2</v>
      </c>
      <c r="BD5" s="36">
        <v>3</v>
      </c>
      <c r="BE5" s="36">
        <v>3</v>
      </c>
      <c r="BF5" s="36">
        <v>1</v>
      </c>
      <c r="BG5" s="36">
        <v>1</v>
      </c>
      <c r="BH5" s="36">
        <v>7</v>
      </c>
      <c r="BI5" s="36">
        <v>6</v>
      </c>
      <c r="BJ5" s="36">
        <v>2.8</v>
      </c>
      <c r="BK5" s="36">
        <v>1.1000000000000001</v>
      </c>
      <c r="BL5" s="36">
        <v>1.1000000000000001</v>
      </c>
      <c r="BM5" s="34">
        <v>0.35</v>
      </c>
      <c r="BN5" s="35">
        <v>20.5</v>
      </c>
      <c r="BO5" s="36">
        <v>2.2000000000000002</v>
      </c>
      <c r="BP5" s="36">
        <v>2.2999999999999998</v>
      </c>
      <c r="BQ5" s="34">
        <v>0.25</v>
      </c>
      <c r="BR5" s="37">
        <v>0</v>
      </c>
      <c r="BS5" s="36">
        <v>3</v>
      </c>
      <c r="BT5" s="36">
        <v>1</v>
      </c>
      <c r="BU5" s="36">
        <v>1</v>
      </c>
      <c r="BV5" s="36">
        <v>1</v>
      </c>
      <c r="BW5" s="36">
        <v>1</v>
      </c>
      <c r="BX5" s="36">
        <v>1</v>
      </c>
      <c r="BY5" s="36">
        <v>1</v>
      </c>
      <c r="BZ5" s="36">
        <v>6</v>
      </c>
      <c r="CA5" s="34">
        <v>0.15</v>
      </c>
      <c r="CB5" s="38"/>
      <c r="CC5" s="38"/>
      <c r="CD5" s="38"/>
      <c r="CE5" s="38"/>
      <c r="CF5" s="38"/>
      <c r="CG5" s="38"/>
      <c r="CH5" s="38"/>
      <c r="CI5" s="38"/>
    </row>
    <row r="6" spans="2:87" s="62" customFormat="1" ht="46.8" customHeight="1" thickBot="1" x14ac:dyDescent="0.3">
      <c r="B6" s="39"/>
      <c r="C6" s="39"/>
      <c r="D6" s="39"/>
      <c r="E6" s="39"/>
      <c r="F6" s="39"/>
      <c r="G6" s="39"/>
      <c r="H6" s="39"/>
      <c r="I6" s="41"/>
      <c r="J6" s="40"/>
      <c r="K6" s="41"/>
      <c r="L6" s="41"/>
      <c r="M6" s="41"/>
      <c r="N6" s="41"/>
      <c r="O6" s="41"/>
      <c r="P6" s="40"/>
      <c r="Q6" s="41"/>
      <c r="R6" s="41"/>
      <c r="S6" s="41"/>
      <c r="T6" s="41"/>
      <c r="U6" s="41"/>
      <c r="V6" s="41"/>
      <c r="W6" s="41"/>
      <c r="X6" s="41"/>
      <c r="Y6" s="40"/>
      <c r="Z6" s="41"/>
      <c r="AA6" s="41"/>
      <c r="AB6" s="41"/>
      <c r="AC6" s="42"/>
      <c r="AD6" s="43"/>
      <c r="AE6" s="43"/>
      <c r="AF6" s="43"/>
      <c r="AG6" s="43"/>
      <c r="AH6" s="43"/>
      <c r="AI6" s="43"/>
      <c r="AJ6" s="44"/>
      <c r="AK6" s="45"/>
      <c r="AL6" s="46" t="s">
        <v>58</v>
      </c>
      <c r="AM6" s="47"/>
      <c r="AN6" s="46" t="s">
        <v>59</v>
      </c>
      <c r="AO6" s="47"/>
      <c r="AP6" s="46" t="s">
        <v>60</v>
      </c>
      <c r="AQ6" s="47"/>
      <c r="AR6" s="46" t="s">
        <v>61</v>
      </c>
      <c r="AS6" s="47"/>
      <c r="AT6" s="47"/>
      <c r="AU6" s="46" t="s">
        <v>62</v>
      </c>
      <c r="AV6" s="47"/>
      <c r="AW6" s="48" t="s">
        <v>63</v>
      </c>
      <c r="AX6" s="49"/>
      <c r="AY6" s="50" t="s">
        <v>64</v>
      </c>
      <c r="AZ6" s="51" t="s">
        <v>65</v>
      </c>
      <c r="BA6" s="51" t="s">
        <v>66</v>
      </c>
      <c r="BB6" s="52" t="s">
        <v>67</v>
      </c>
      <c r="BC6" s="53" t="s">
        <v>68</v>
      </c>
      <c r="BD6" s="50" t="s">
        <v>69</v>
      </c>
      <c r="BE6" s="51" t="s">
        <v>70</v>
      </c>
      <c r="BF6" s="52" t="s">
        <v>71</v>
      </c>
      <c r="BG6" s="53" t="s">
        <v>72</v>
      </c>
      <c r="BH6" s="54" t="s">
        <v>73</v>
      </c>
      <c r="BI6" s="54" t="s">
        <v>74</v>
      </c>
      <c r="BJ6" s="50" t="s">
        <v>75</v>
      </c>
      <c r="BK6" s="51" t="s">
        <v>76</v>
      </c>
      <c r="BL6" s="55" t="s">
        <v>77</v>
      </c>
      <c r="BM6" s="49"/>
      <c r="BN6" s="54" t="s">
        <v>73</v>
      </c>
      <c r="BO6" s="56" t="s">
        <v>78</v>
      </c>
      <c r="BP6" s="57" t="s">
        <v>79</v>
      </c>
      <c r="BQ6" s="49"/>
      <c r="BR6" s="58"/>
      <c r="BS6" s="54" t="s">
        <v>80</v>
      </c>
      <c r="BT6" s="56" t="s">
        <v>81</v>
      </c>
      <c r="BU6" s="59" t="s">
        <v>82</v>
      </c>
      <c r="BV6" s="59" t="s">
        <v>83</v>
      </c>
      <c r="BW6" s="59" t="s">
        <v>84</v>
      </c>
      <c r="BX6" s="59" t="s">
        <v>85</v>
      </c>
      <c r="BY6" s="57" t="s">
        <v>86</v>
      </c>
      <c r="BZ6" s="54" t="s">
        <v>87</v>
      </c>
      <c r="CA6" s="60"/>
      <c r="CB6" s="61"/>
      <c r="CC6" s="61"/>
      <c r="CD6" s="61"/>
      <c r="CE6" s="61"/>
      <c r="CF6" s="61"/>
      <c r="CG6" s="61"/>
      <c r="CH6" s="61"/>
      <c r="CI6" s="61"/>
    </row>
    <row r="7" spans="2:87" s="85" customFormat="1" ht="40.799999999999997" customHeight="1" thickBot="1" x14ac:dyDescent="0.35">
      <c r="B7" s="192" t="s">
        <v>88</v>
      </c>
      <c r="C7" s="63" t="s">
        <v>89</v>
      </c>
      <c r="D7" s="63" t="s">
        <v>90</v>
      </c>
      <c r="E7" s="193" t="s">
        <v>272</v>
      </c>
      <c r="F7" s="216" t="s">
        <v>273</v>
      </c>
      <c r="G7" s="217" t="s">
        <v>274</v>
      </c>
      <c r="H7" s="218" t="s">
        <v>275</v>
      </c>
      <c r="I7" s="215" t="s">
        <v>269</v>
      </c>
      <c r="J7" s="64" t="s">
        <v>91</v>
      </c>
      <c r="K7" s="65" t="s">
        <v>92</v>
      </c>
      <c r="L7" s="65" t="s">
        <v>93</v>
      </c>
      <c r="M7" s="65" t="s">
        <v>94</v>
      </c>
      <c r="N7" s="212" t="s">
        <v>95</v>
      </c>
      <c r="O7" s="213" t="s">
        <v>270</v>
      </c>
      <c r="P7" s="66" t="s">
        <v>96</v>
      </c>
      <c r="Q7" s="67" t="s">
        <v>97</v>
      </c>
      <c r="R7" s="67" t="s">
        <v>98</v>
      </c>
      <c r="S7" s="67" t="s">
        <v>99</v>
      </c>
      <c r="T7" s="68" t="s">
        <v>100</v>
      </c>
      <c r="U7" s="69" t="s">
        <v>101</v>
      </c>
      <c r="V7" s="69" t="s">
        <v>102</v>
      </c>
      <c r="W7" s="206" t="s">
        <v>103</v>
      </c>
      <c r="X7" s="214" t="s">
        <v>271</v>
      </c>
      <c r="Y7" s="211" t="s">
        <v>104</v>
      </c>
      <c r="Z7" s="70" t="s">
        <v>105</v>
      </c>
      <c r="AA7" s="71" t="s">
        <v>106</v>
      </c>
      <c r="AB7" s="71" t="s">
        <v>107</v>
      </c>
      <c r="AC7" s="72" t="s">
        <v>108</v>
      </c>
      <c r="AD7" s="73" t="s">
        <v>109</v>
      </c>
      <c r="AE7" s="74" t="s">
        <v>110</v>
      </c>
      <c r="AF7" s="75" t="s">
        <v>111</v>
      </c>
      <c r="AG7" s="75" t="s">
        <v>112</v>
      </c>
      <c r="AH7" s="75" t="s">
        <v>113</v>
      </c>
      <c r="AI7" s="76" t="s">
        <v>114</v>
      </c>
      <c r="AJ7" s="77" t="s">
        <v>115</v>
      </c>
      <c r="AK7" s="78" t="s">
        <v>116</v>
      </c>
      <c r="AL7" s="79" t="s">
        <v>117</v>
      </c>
      <c r="AM7" s="79" t="s">
        <v>118</v>
      </c>
      <c r="AN7" s="79" t="s">
        <v>119</v>
      </c>
      <c r="AO7" s="79" t="s">
        <v>120</v>
      </c>
      <c r="AP7" s="79" t="s">
        <v>121</v>
      </c>
      <c r="AQ7" s="79" t="s">
        <v>122</v>
      </c>
      <c r="AR7" s="79" t="s">
        <v>123</v>
      </c>
      <c r="AS7" s="79" t="s">
        <v>124</v>
      </c>
      <c r="AT7" s="79" t="s">
        <v>125</v>
      </c>
      <c r="AU7" s="79" t="s">
        <v>126</v>
      </c>
      <c r="AV7" s="79" t="s">
        <v>127</v>
      </c>
      <c r="AW7" s="79" t="s">
        <v>128</v>
      </c>
      <c r="AX7" s="80" t="s">
        <v>129</v>
      </c>
      <c r="AY7" s="78" t="s">
        <v>130</v>
      </c>
      <c r="AZ7" s="79" t="s">
        <v>131</v>
      </c>
      <c r="BA7" s="79" t="s">
        <v>132</v>
      </c>
      <c r="BB7" s="79" t="s">
        <v>133</v>
      </c>
      <c r="BC7" s="79" t="s">
        <v>134</v>
      </c>
      <c r="BD7" s="79" t="s">
        <v>135</v>
      </c>
      <c r="BE7" s="79" t="s">
        <v>136</v>
      </c>
      <c r="BF7" s="79" t="s">
        <v>137</v>
      </c>
      <c r="BG7" s="79" t="s">
        <v>138</v>
      </c>
      <c r="BH7" s="79" t="s">
        <v>139</v>
      </c>
      <c r="BI7" s="79" t="s">
        <v>140</v>
      </c>
      <c r="BJ7" s="79" t="s">
        <v>141</v>
      </c>
      <c r="BK7" s="79" t="s">
        <v>142</v>
      </c>
      <c r="BL7" s="79" t="s">
        <v>143</v>
      </c>
      <c r="BM7" s="80" t="s">
        <v>144</v>
      </c>
      <c r="BN7" s="81" t="s">
        <v>145</v>
      </c>
      <c r="BO7" s="82" t="s">
        <v>146</v>
      </c>
      <c r="BP7" s="82" t="s">
        <v>147</v>
      </c>
      <c r="BQ7" s="80" t="s">
        <v>148</v>
      </c>
      <c r="BR7" s="81" t="s">
        <v>149</v>
      </c>
      <c r="BS7" s="82" t="s">
        <v>150</v>
      </c>
      <c r="BT7" s="82" t="s">
        <v>151</v>
      </c>
      <c r="BU7" s="82" t="s">
        <v>152</v>
      </c>
      <c r="BV7" s="82" t="s">
        <v>153</v>
      </c>
      <c r="BW7" s="82" t="s">
        <v>154</v>
      </c>
      <c r="BX7" s="82" t="s">
        <v>155</v>
      </c>
      <c r="BY7" s="82" t="s">
        <v>156</v>
      </c>
      <c r="BZ7" s="82" t="s">
        <v>157</v>
      </c>
      <c r="CA7" s="80" t="s">
        <v>158</v>
      </c>
      <c r="CB7" s="83" t="s">
        <v>159</v>
      </c>
      <c r="CC7" s="83" t="s">
        <v>160</v>
      </c>
      <c r="CD7" s="83" t="s">
        <v>161</v>
      </c>
      <c r="CE7" s="83" t="s">
        <v>162</v>
      </c>
      <c r="CF7" s="84" t="s">
        <v>163</v>
      </c>
      <c r="CG7" s="84" t="s">
        <v>164</v>
      </c>
      <c r="CH7" s="84" t="s">
        <v>165</v>
      </c>
      <c r="CI7" s="84" t="s">
        <v>166</v>
      </c>
    </row>
    <row r="8" spans="2:87" x14ac:dyDescent="0.3">
      <c r="B8" s="194">
        <f>Table_14345[[#This Row],[Resultado IIP
2019]]</f>
        <v>57.71</v>
      </c>
      <c r="C8" s="195">
        <f>Table_14345[[#This Row],[Resultado IIP
2021]]</f>
        <v>76.680000000000007</v>
      </c>
      <c r="D8" s="195">
        <f>Table_14345[[#This Row],[Resultado IIP
2023]]</f>
        <v>80.094444444444449</v>
      </c>
      <c r="E8" s="196"/>
      <c r="F8" s="223">
        <f>Table_14345[[#This Row],[POSICIÓN
2019]]</f>
        <v>6</v>
      </c>
      <c r="G8" s="223">
        <f>Table_14345[[#This Row],[POSICIÓN
2021]]</f>
        <v>1</v>
      </c>
      <c r="H8" s="223">
        <f>Table_14345[[#This Row],[POSICIÓN
2023]]</f>
        <v>1</v>
      </c>
      <c r="I8" s="219">
        <v>6</v>
      </c>
      <c r="J8" s="86">
        <v>46.67</v>
      </c>
      <c r="K8" s="87">
        <v>64.86</v>
      </c>
      <c r="L8" s="87">
        <v>46.67</v>
      </c>
      <c r="M8" s="87">
        <v>84.31</v>
      </c>
      <c r="N8" s="200">
        <v>57.71</v>
      </c>
      <c r="O8" s="203">
        <v>1</v>
      </c>
      <c r="P8" s="88">
        <v>20.2</v>
      </c>
      <c r="Q8" s="89">
        <v>28.3</v>
      </c>
      <c r="R8" s="89">
        <v>18.200000000000003</v>
      </c>
      <c r="S8" s="89">
        <v>9.98</v>
      </c>
      <c r="T8" s="90">
        <f>Table_14345[[#This Row],[COM 1 - 2021]]+Table_14345[[#This Row],[COM 2 - 2021]]+Table_14345[[#This Row],[COM 3 - 2021]]+Table_14345[[#This Row],[COM 4 - 2021]]</f>
        <v>76.680000000000007</v>
      </c>
      <c r="U8" s="91">
        <v>1</v>
      </c>
      <c r="V8" s="91">
        <v>1</v>
      </c>
      <c r="W8" s="91">
        <v>1</v>
      </c>
      <c r="X8" s="209">
        <v>1</v>
      </c>
      <c r="Y8" s="92">
        <f>Table_14345[[#This Row],[COM 1 - 2023]]+Table_14345[[#This Row],[COM 2 - 2023]]+Table_14345[[#This Row],[COM 3 - 2023]]+Table_14345[[#This Row],[COM 4 - 2023]]</f>
        <v>80.094444444444449</v>
      </c>
      <c r="Z8" s="93">
        <f>Table_14345[[#This Row],[COM 1 (sumatoria)]]</f>
        <v>18.716666666666669</v>
      </c>
      <c r="AA8" s="93">
        <f>Table_14345[[#This Row],[COM 2 (sumatoria)]]</f>
        <v>29</v>
      </c>
      <c r="AB8" s="93">
        <f>Table_14345[[#This Row],[COM 3 (sumatoria)]]</f>
        <v>19.87777777777778</v>
      </c>
      <c r="AC8" s="94">
        <f>Table_14345[[#This Row],[COM 4 (sumatoria)]]</f>
        <v>12.5</v>
      </c>
      <c r="AD8" s="95">
        <f>Table_14345[[#This Row],[Resultado IIP
2023]]-Table_14345[[#This Row],[Resultado IIP
2021]]</f>
        <v>3.4144444444444417</v>
      </c>
      <c r="AE8" s="96">
        <f>Table_14345[[#This Row],[COM 1 - 2023]]*100/25</f>
        <v>74.866666666666674</v>
      </c>
      <c r="AF8" s="96">
        <f>Table_14345[[#This Row],[COM 2 - 2023]]*100/35</f>
        <v>82.857142857142861</v>
      </c>
      <c r="AG8" s="96">
        <f>Table_14345[[#This Row],[COM 3 - 2023]]*100/25</f>
        <v>79.51111111111112</v>
      </c>
      <c r="AH8" s="96">
        <f>Table_14345[[#This Row],[COM 4 - 2023]]*100/15</f>
        <v>83.333333333333329</v>
      </c>
      <c r="AI8" s="97" t="s">
        <v>167</v>
      </c>
      <c r="AJ8" s="98" t="s">
        <v>168</v>
      </c>
      <c r="AK8" s="99">
        <v>0</v>
      </c>
      <c r="AL8" s="99">
        <v>3.666666666666667</v>
      </c>
      <c r="AM8" s="99">
        <v>0</v>
      </c>
      <c r="AN8" s="99">
        <v>1.5</v>
      </c>
      <c r="AO8" s="99">
        <v>0</v>
      </c>
      <c r="AP8" s="99">
        <v>3.7</v>
      </c>
      <c r="AQ8" s="99">
        <v>0</v>
      </c>
      <c r="AR8" s="99">
        <v>1.35</v>
      </c>
      <c r="AS8" s="99">
        <v>0</v>
      </c>
      <c r="AT8" s="99">
        <v>0</v>
      </c>
      <c r="AU8" s="99">
        <v>4.4000000000000004</v>
      </c>
      <c r="AV8" s="99">
        <v>0</v>
      </c>
      <c r="AW8" s="99">
        <v>4.0999999999999996</v>
      </c>
      <c r="AX8" s="100">
        <f t="shared" ref="AX8:AX39" si="0">(SUM(AK8:AW8))</f>
        <v>18.716666666666669</v>
      </c>
      <c r="AY8" s="99">
        <v>0</v>
      </c>
      <c r="AZ8" s="99">
        <v>0.8</v>
      </c>
      <c r="BA8" s="99">
        <v>2.2000000000000002</v>
      </c>
      <c r="BB8" s="99">
        <v>1</v>
      </c>
      <c r="BC8" s="99">
        <v>1.2</v>
      </c>
      <c r="BD8" s="99">
        <v>2.5</v>
      </c>
      <c r="BE8" s="99">
        <v>2.7</v>
      </c>
      <c r="BF8" s="99">
        <v>1</v>
      </c>
      <c r="BG8" s="99">
        <v>1</v>
      </c>
      <c r="BH8" s="99">
        <v>6.8</v>
      </c>
      <c r="BI8" s="99">
        <v>5.5</v>
      </c>
      <c r="BJ8" s="99">
        <v>2.2999999999999998</v>
      </c>
      <c r="BK8" s="99">
        <v>0.9</v>
      </c>
      <c r="BL8" s="99">
        <v>1.1000000000000001</v>
      </c>
      <c r="BM8" s="100">
        <f t="shared" ref="BM8:BM39" si="1">(SUM(AY8:BL8))</f>
        <v>29</v>
      </c>
      <c r="BN8" s="99">
        <v>15.377777777777778</v>
      </c>
      <c r="BO8" s="99">
        <v>2.2000000000000002</v>
      </c>
      <c r="BP8" s="99">
        <v>2.2999999999999998</v>
      </c>
      <c r="BQ8" s="100">
        <f t="shared" ref="BQ8:BQ39" si="2">(SUM(BN8:BP8))</f>
        <v>19.87777777777778</v>
      </c>
      <c r="BR8" s="99">
        <v>0</v>
      </c>
      <c r="BS8" s="99">
        <v>3</v>
      </c>
      <c r="BT8" s="99">
        <v>0.7</v>
      </c>
      <c r="BU8" s="99">
        <v>0.7</v>
      </c>
      <c r="BV8" s="99">
        <v>0.7</v>
      </c>
      <c r="BW8" s="99">
        <v>0.6</v>
      </c>
      <c r="BX8" s="99">
        <v>1</v>
      </c>
      <c r="BY8" s="99">
        <v>1</v>
      </c>
      <c r="BZ8" s="99">
        <v>4.8</v>
      </c>
      <c r="CA8" s="101">
        <f t="shared" ref="CA8:CA39" si="3">(SUM(BR8:BZ8))</f>
        <v>12.5</v>
      </c>
      <c r="CB8" s="99">
        <v>3</v>
      </c>
      <c r="CC8" s="99">
        <f>Table_14345[[#This Row],[PREAJUSTE
32]]+0.5</f>
        <v>3.5</v>
      </c>
      <c r="CD8" s="99">
        <f>Table_14345[[#This Row],[AJUSTADO
32]]-3</f>
        <v>0.5</v>
      </c>
      <c r="CE8" s="99">
        <f>Table_14345[[#This Row],[AJUSTADO
32]]-Table_14345[[#This Row],[DIFERENCIA
32]]</f>
        <v>3</v>
      </c>
      <c r="CF8" s="102">
        <v>0.8</v>
      </c>
      <c r="CG8" s="102">
        <f>Table_14345[[#This Row],[PREAJUSTE
38]]+0.5</f>
        <v>1.3</v>
      </c>
      <c r="CH8" s="102">
        <f>Table_14345[[#This Row],[AJUSTADO
38]]-1</f>
        <v>0.30000000000000004</v>
      </c>
      <c r="CI8" s="102">
        <f>Table_14345[[#This Row],[AJUSTADO
38]]-Table_14345[[#This Row],[DIFERENCIA
38]]</f>
        <v>1</v>
      </c>
    </row>
    <row r="9" spans="2:87" x14ac:dyDescent="0.3">
      <c r="B9" s="103">
        <f>Table_14345[[#This Row],[Resultado IIP
2019]]</f>
        <v>65.150000000000006</v>
      </c>
      <c r="C9" s="104">
        <f>Table_14345[[#This Row],[Resultado IIP
2021]]</f>
        <v>70.972999999999999</v>
      </c>
      <c r="D9" s="104">
        <f>Table_14345[[#This Row],[Resultado IIP
2023]]</f>
        <v>73.044761904761913</v>
      </c>
      <c r="E9" s="105"/>
      <c r="F9" s="223">
        <f>Table_14345[[#This Row],[POSICIÓN
2019]]</f>
        <v>1</v>
      </c>
      <c r="G9" s="223">
        <f>Table_14345[[#This Row],[POSICIÓN
2021]]</f>
        <v>2</v>
      </c>
      <c r="H9" s="223">
        <f>Table_14345[[#This Row],[POSICIÓN
2023]]</f>
        <v>2</v>
      </c>
      <c r="I9" s="220">
        <v>1</v>
      </c>
      <c r="J9" s="106">
        <v>85.33</v>
      </c>
      <c r="K9" s="107">
        <v>47.28</v>
      </c>
      <c r="L9" s="107">
        <v>80</v>
      </c>
      <c r="M9" s="107">
        <v>49.02</v>
      </c>
      <c r="N9" s="201">
        <v>65.150000000000006</v>
      </c>
      <c r="O9" s="204">
        <v>2</v>
      </c>
      <c r="P9" s="108">
        <v>18.599999999999998</v>
      </c>
      <c r="Q9" s="109">
        <v>23.42</v>
      </c>
      <c r="R9" s="109">
        <v>21.5</v>
      </c>
      <c r="S9" s="109">
        <v>7.4529999999999994</v>
      </c>
      <c r="T9" s="110">
        <f>Table_14345[[#This Row],[COM 1 - 2021]]+Table_14345[[#This Row],[COM 2 - 2021]]+Table_14345[[#This Row],[COM 3 - 2021]]+Table_14345[[#This Row],[COM 4 - 2021]]</f>
        <v>70.972999999999999</v>
      </c>
      <c r="U9" s="111">
        <v>2</v>
      </c>
      <c r="V9" s="111">
        <v>2</v>
      </c>
      <c r="W9" s="111">
        <v>2</v>
      </c>
      <c r="X9" s="210">
        <v>2</v>
      </c>
      <c r="Y9" s="112">
        <f>Table_14345[[#This Row],[COM 1 - 2023]]+Table_14345[[#This Row],[COM 2 - 2023]]+Table_14345[[#This Row],[COM 3 - 2023]]+Table_14345[[#This Row],[COM 4 - 2023]]</f>
        <v>73.044761904761913</v>
      </c>
      <c r="Z9" s="113">
        <f>Table_14345[[#This Row],[COM 1 (sumatoria)]]</f>
        <v>19.706666666666671</v>
      </c>
      <c r="AA9" s="113">
        <f>Table_14345[[#This Row],[COM 2 (sumatoria)]]</f>
        <v>21.738095238095237</v>
      </c>
      <c r="AB9" s="113">
        <f>Table_14345[[#This Row],[COM 3 (sumatoria)]]</f>
        <v>19.100000000000001</v>
      </c>
      <c r="AC9" s="114">
        <f>Table_14345[[#This Row],[COM 4 (sumatoria)]]</f>
        <v>12.5</v>
      </c>
      <c r="AD9" s="115">
        <f>Table_14345[[#This Row],[Resultado IIP
2023]]-Table_14345[[#This Row],[Resultado IIP
2021]]</f>
        <v>2.0717619047619138</v>
      </c>
      <c r="AE9" s="116">
        <f>Table_14345[[#This Row],[COM 1 - 2023]]*100/25</f>
        <v>78.826666666666682</v>
      </c>
      <c r="AF9" s="116">
        <f>Table_14345[[#This Row],[COM 2 - 2023]]*100/35</f>
        <v>62.10884353741497</v>
      </c>
      <c r="AG9" s="116">
        <f>Table_14345[[#This Row],[COM 3 - 2023]]*100/25</f>
        <v>76.400000000000006</v>
      </c>
      <c r="AH9" s="116">
        <f>Table_14345[[#This Row],[COM 4 - 2023]]*100/15</f>
        <v>83.333333333333329</v>
      </c>
      <c r="AI9" s="117" t="s">
        <v>167</v>
      </c>
      <c r="AJ9" s="118" t="s">
        <v>169</v>
      </c>
      <c r="AK9" s="119">
        <v>0</v>
      </c>
      <c r="AL9" s="99">
        <v>3.4666666666666668</v>
      </c>
      <c r="AM9" s="120">
        <v>0</v>
      </c>
      <c r="AN9" s="120">
        <v>4</v>
      </c>
      <c r="AO9" s="120">
        <v>0</v>
      </c>
      <c r="AP9" s="120">
        <v>3.7</v>
      </c>
      <c r="AQ9" s="120">
        <v>0</v>
      </c>
      <c r="AR9" s="120">
        <v>1.65</v>
      </c>
      <c r="AS9" s="120">
        <v>0</v>
      </c>
      <c r="AT9" s="120">
        <v>0</v>
      </c>
      <c r="AU9" s="120">
        <v>3.9</v>
      </c>
      <c r="AV9" s="120">
        <v>0</v>
      </c>
      <c r="AW9" s="120">
        <v>2.99</v>
      </c>
      <c r="AX9" s="100">
        <f t="shared" si="0"/>
        <v>19.706666666666671</v>
      </c>
      <c r="AY9" s="120">
        <v>1.25</v>
      </c>
      <c r="AZ9" s="120">
        <v>0.6</v>
      </c>
      <c r="BA9" s="120">
        <v>1.5</v>
      </c>
      <c r="BB9" s="120">
        <v>0.7</v>
      </c>
      <c r="BC9" s="120">
        <v>0.4</v>
      </c>
      <c r="BD9" s="120">
        <v>2.1</v>
      </c>
      <c r="BE9" s="120">
        <v>1.05</v>
      </c>
      <c r="BF9" s="120">
        <v>1</v>
      </c>
      <c r="BG9" s="120">
        <v>0.6</v>
      </c>
      <c r="BH9" s="120">
        <v>4.7714285714285714</v>
      </c>
      <c r="BI9" s="120">
        <v>5.0999999999999996</v>
      </c>
      <c r="BJ9" s="120">
        <v>1.5999999999999996</v>
      </c>
      <c r="BK9" s="120">
        <v>0.56666666666666665</v>
      </c>
      <c r="BL9" s="120">
        <v>0.5</v>
      </c>
      <c r="BM9" s="100">
        <f t="shared" si="1"/>
        <v>21.738095238095237</v>
      </c>
      <c r="BN9" s="120">
        <v>14.6</v>
      </c>
      <c r="BO9" s="120">
        <v>2.2000000000000002</v>
      </c>
      <c r="BP9" s="120">
        <v>2.2999999999999998</v>
      </c>
      <c r="BQ9" s="100">
        <f t="shared" si="2"/>
        <v>19.100000000000001</v>
      </c>
      <c r="BR9" s="120">
        <v>0</v>
      </c>
      <c r="BS9" s="99">
        <v>2.2999999999999998</v>
      </c>
      <c r="BT9" s="120">
        <v>1</v>
      </c>
      <c r="BU9" s="120">
        <v>1</v>
      </c>
      <c r="BV9" s="120">
        <v>1</v>
      </c>
      <c r="BW9" s="120">
        <v>1</v>
      </c>
      <c r="BX9" s="99">
        <v>1</v>
      </c>
      <c r="BY9" s="99">
        <v>1</v>
      </c>
      <c r="BZ9" s="120">
        <v>4.2</v>
      </c>
      <c r="CA9" s="101">
        <f t="shared" si="3"/>
        <v>12.5</v>
      </c>
      <c r="CB9" s="99">
        <v>1.8</v>
      </c>
      <c r="CC9" s="99">
        <f>Table_14345[[#This Row],[PREAJUSTE
32]]+0.5</f>
        <v>2.2999999999999998</v>
      </c>
      <c r="CD9" s="99"/>
      <c r="CE9" s="99">
        <f>Table_14345[[#This Row],[AJUSTADO
32]]-Table_14345[[#This Row],[DIFERENCIA
32]]</f>
        <v>2.2999999999999998</v>
      </c>
      <c r="CF9" s="102">
        <v>0.5</v>
      </c>
      <c r="CG9" s="102">
        <f>Table_14345[[#This Row],[PREAJUSTE
38]]+0.5</f>
        <v>1</v>
      </c>
      <c r="CH9" s="102"/>
      <c r="CI9" s="102">
        <f>Table_14345[[#This Row],[AJUSTADO
38]]-Table_14345[[#This Row],[DIFERENCIA
38]]</f>
        <v>1</v>
      </c>
    </row>
    <row r="10" spans="2:87" x14ac:dyDescent="0.3">
      <c r="B10" s="103">
        <f>Table_14345[[#This Row],[Resultado IIP
2019]]</f>
        <v>55.07</v>
      </c>
      <c r="C10" s="104">
        <f>Table_14345[[#This Row],[Resultado IIP
2021]]</f>
        <v>59.772999999999996</v>
      </c>
      <c r="D10" s="104">
        <f>Table_14345[[#This Row],[Resultado IIP
2023]]</f>
        <v>72.018015873015884</v>
      </c>
      <c r="E10" s="105"/>
      <c r="F10" s="223">
        <f>Table_14345[[#This Row],[POSICIÓN
2019]]</f>
        <v>8</v>
      </c>
      <c r="G10" s="223">
        <f>Table_14345[[#This Row],[POSICIÓN
2021]]</f>
        <v>11</v>
      </c>
      <c r="H10" s="223">
        <f>Table_14345[[#This Row],[POSICIÓN
2023]]</f>
        <v>3</v>
      </c>
      <c r="I10" s="220">
        <v>8</v>
      </c>
      <c r="J10" s="106">
        <v>37.619999999999997</v>
      </c>
      <c r="K10" s="107">
        <v>54.12</v>
      </c>
      <c r="L10" s="107">
        <v>73.33</v>
      </c>
      <c r="M10" s="107">
        <v>56.86</v>
      </c>
      <c r="N10" s="201">
        <v>55.07</v>
      </c>
      <c r="O10" s="204">
        <v>11</v>
      </c>
      <c r="P10" s="108">
        <v>15.200000000000001</v>
      </c>
      <c r="Q10" s="109">
        <v>15.62</v>
      </c>
      <c r="R10" s="109">
        <v>18.649999999999995</v>
      </c>
      <c r="S10" s="109">
        <v>10.303000000000001</v>
      </c>
      <c r="T10" s="110">
        <f>Table_14345[[#This Row],[COM 1 - 2021]]+Table_14345[[#This Row],[COM 2 - 2021]]+Table_14345[[#This Row],[COM 3 - 2021]]+Table_14345[[#This Row],[COM 4 - 2021]]</f>
        <v>59.772999999999996</v>
      </c>
      <c r="U10" s="111">
        <v>3</v>
      </c>
      <c r="V10" s="111">
        <v>3</v>
      </c>
      <c r="W10" s="111">
        <v>3</v>
      </c>
      <c r="X10" s="210">
        <v>3</v>
      </c>
      <c r="Y10" s="112">
        <f>Table_14345[[#This Row],[COM 1 - 2023]]+Table_14345[[#This Row],[COM 2 - 2023]]+Table_14345[[#This Row],[COM 3 - 2023]]+Table_14345[[#This Row],[COM 4 - 2023]]</f>
        <v>72.018015873015884</v>
      </c>
      <c r="Z10" s="113">
        <f>Table_14345[[#This Row],[COM 1 (sumatoria)]]</f>
        <v>15.311666666666666</v>
      </c>
      <c r="AA10" s="113">
        <f>Table_14345[[#This Row],[COM 2 (sumatoria)]]</f>
        <v>26.406349206349212</v>
      </c>
      <c r="AB10" s="113">
        <f>Table_14345[[#This Row],[COM 3 (sumatoria)]]</f>
        <v>18.150000000000002</v>
      </c>
      <c r="AC10" s="114">
        <f>Table_14345[[#This Row],[COM 4 (sumatoria)]]</f>
        <v>12.15</v>
      </c>
      <c r="AD10" s="115">
        <f>Table_14345[[#This Row],[Resultado IIP
2023]]-Table_14345[[#This Row],[Resultado IIP
2021]]</f>
        <v>12.245015873015888</v>
      </c>
      <c r="AE10" s="116">
        <f>Table_14345[[#This Row],[COM 1 - 2023]]*100/25</f>
        <v>61.246666666666663</v>
      </c>
      <c r="AF10" s="116">
        <f>Table_14345[[#This Row],[COM 2 - 2023]]*100/35</f>
        <v>75.446712018140616</v>
      </c>
      <c r="AG10" s="116">
        <f>Table_14345[[#This Row],[COM 3 - 2023]]*100/25</f>
        <v>72.600000000000009</v>
      </c>
      <c r="AH10" s="116">
        <f>Table_14345[[#This Row],[COM 4 - 2023]]*100/15</f>
        <v>81</v>
      </c>
      <c r="AI10" s="117" t="s">
        <v>167</v>
      </c>
      <c r="AJ10" s="118" t="s">
        <v>170</v>
      </c>
      <c r="AK10" s="121">
        <v>0</v>
      </c>
      <c r="AL10" s="99">
        <v>2.666666666666667</v>
      </c>
      <c r="AM10" s="99">
        <v>0</v>
      </c>
      <c r="AN10" s="99">
        <v>2.9</v>
      </c>
      <c r="AO10" s="99">
        <v>0</v>
      </c>
      <c r="AP10" s="99">
        <v>3.7</v>
      </c>
      <c r="AQ10" s="99">
        <v>0</v>
      </c>
      <c r="AR10" s="99">
        <v>1.35</v>
      </c>
      <c r="AS10" s="99">
        <v>0</v>
      </c>
      <c r="AT10" s="99">
        <v>0</v>
      </c>
      <c r="AU10" s="99">
        <v>2.1</v>
      </c>
      <c r="AV10" s="99">
        <v>0</v>
      </c>
      <c r="AW10" s="99">
        <v>2.5950000000000002</v>
      </c>
      <c r="AX10" s="100">
        <f t="shared" si="0"/>
        <v>15.311666666666666</v>
      </c>
      <c r="AY10" s="99">
        <v>1.75</v>
      </c>
      <c r="AZ10" s="99">
        <v>0.9</v>
      </c>
      <c r="BA10" s="99">
        <v>2.67</v>
      </c>
      <c r="BB10" s="99">
        <v>1.2</v>
      </c>
      <c r="BC10" s="99">
        <v>1.08</v>
      </c>
      <c r="BD10" s="99">
        <v>2.7</v>
      </c>
      <c r="BE10" s="99">
        <v>2.5</v>
      </c>
      <c r="BF10" s="99">
        <v>1</v>
      </c>
      <c r="BG10" s="99">
        <v>0.9</v>
      </c>
      <c r="BH10" s="99">
        <v>4.1619047619047622</v>
      </c>
      <c r="BI10" s="99">
        <v>4.1000000000000005</v>
      </c>
      <c r="BJ10" s="99">
        <v>1.7000000000000002</v>
      </c>
      <c r="BK10" s="99">
        <v>0.64444444444444449</v>
      </c>
      <c r="BL10" s="99">
        <v>1.1000000000000001</v>
      </c>
      <c r="BM10" s="100">
        <f t="shared" si="1"/>
        <v>26.406349206349212</v>
      </c>
      <c r="BN10" s="99">
        <v>13.65</v>
      </c>
      <c r="BO10" s="99">
        <v>2.2000000000000002</v>
      </c>
      <c r="BP10" s="99">
        <v>2.2999999999999998</v>
      </c>
      <c r="BQ10" s="100">
        <f t="shared" si="2"/>
        <v>18.150000000000002</v>
      </c>
      <c r="BR10" s="99">
        <v>0</v>
      </c>
      <c r="BS10" s="99">
        <v>2</v>
      </c>
      <c r="BT10" s="99">
        <v>1</v>
      </c>
      <c r="BU10" s="99">
        <v>1</v>
      </c>
      <c r="BV10" s="99">
        <v>0.95</v>
      </c>
      <c r="BW10" s="99">
        <v>1</v>
      </c>
      <c r="BX10" s="99">
        <v>1</v>
      </c>
      <c r="BY10" s="99">
        <v>1</v>
      </c>
      <c r="BZ10" s="99">
        <v>4.2</v>
      </c>
      <c r="CA10" s="101">
        <f t="shared" si="3"/>
        <v>12.15</v>
      </c>
      <c r="CB10" s="99">
        <v>1.5</v>
      </c>
      <c r="CC10" s="99">
        <f>Table_14345[[#This Row],[PREAJUSTE
32]]+0.5</f>
        <v>2</v>
      </c>
      <c r="CD10" s="99"/>
      <c r="CE10" s="99">
        <f>Table_14345[[#This Row],[AJUSTADO
32]]-Table_14345[[#This Row],[DIFERENCIA
32]]</f>
        <v>2</v>
      </c>
      <c r="CF10" s="102">
        <v>0.5</v>
      </c>
      <c r="CG10" s="102">
        <f>Table_14345[[#This Row],[PREAJUSTE
38]]+0.5</f>
        <v>1</v>
      </c>
      <c r="CH10" s="102"/>
      <c r="CI10" s="102">
        <f>Table_14345[[#This Row],[AJUSTADO
38]]-Table_14345[[#This Row],[DIFERENCIA
38]]</f>
        <v>1</v>
      </c>
    </row>
    <row r="11" spans="2:87" x14ac:dyDescent="0.3">
      <c r="B11" s="103">
        <f>Table_14345[[#This Row],[Resultado IIP
2019]]</f>
        <v>25.78</v>
      </c>
      <c r="C11" s="104">
        <f>Table_14345[[#This Row],[Resultado IIP
2021]]</f>
        <v>49.57</v>
      </c>
      <c r="D11" s="104">
        <f>Table_14345[[#This Row],[Resultado IIP
2023]]</f>
        <v>68.04296296296296</v>
      </c>
      <c r="E11" s="105"/>
      <c r="F11" s="223">
        <f>Table_14345[[#This Row],[POSICIÓN
2019]]</f>
        <v>27</v>
      </c>
      <c r="G11" s="223">
        <f>Table_14345[[#This Row],[POSICIÓN
2021]]</f>
        <v>17</v>
      </c>
      <c r="H11" s="223">
        <f>Table_14345[[#This Row],[POSICIÓN
2023]]</f>
        <v>4</v>
      </c>
      <c r="I11" s="219">
        <v>27</v>
      </c>
      <c r="J11" s="106">
        <v>20</v>
      </c>
      <c r="K11" s="107">
        <v>34.78</v>
      </c>
      <c r="L11" s="107">
        <v>0</v>
      </c>
      <c r="M11" s="107">
        <v>68.63</v>
      </c>
      <c r="N11" s="201">
        <v>25.78</v>
      </c>
      <c r="O11" s="203">
        <v>17</v>
      </c>
      <c r="P11" s="108">
        <v>18.700000000000003</v>
      </c>
      <c r="Q11" s="109">
        <v>17.55</v>
      </c>
      <c r="R11" s="109">
        <v>8.6</v>
      </c>
      <c r="S11" s="109">
        <v>4.7200000000000006</v>
      </c>
      <c r="T11" s="110">
        <f>Table_14345[[#This Row],[COM 1 - 2021]]+Table_14345[[#This Row],[COM 2 - 2021]]+Table_14345[[#This Row],[COM 3 - 2021]]+Table_14345[[#This Row],[COM 4 - 2021]]</f>
        <v>49.57</v>
      </c>
      <c r="U11" s="111">
        <v>4</v>
      </c>
      <c r="V11" s="111">
        <v>4</v>
      </c>
      <c r="W11" s="91">
        <v>4</v>
      </c>
      <c r="X11" s="209">
        <v>4</v>
      </c>
      <c r="Y11" s="112">
        <f>Table_14345[[#This Row],[COM 1 - 2023]]+Table_14345[[#This Row],[COM 2 - 2023]]+Table_14345[[#This Row],[COM 3 - 2023]]+Table_14345[[#This Row],[COM 4 - 2023]]</f>
        <v>68.04296296296296</v>
      </c>
      <c r="Z11" s="113">
        <f>Table_14345[[#This Row],[COM 1 (sumatoria)]]</f>
        <v>19.93333333333333</v>
      </c>
      <c r="AA11" s="113">
        <f>Table_14345[[#This Row],[COM 2 (sumatoria)]]</f>
        <v>21.194814814814816</v>
      </c>
      <c r="AB11" s="113">
        <f>Table_14345[[#This Row],[COM 3 (sumatoria)]]</f>
        <v>18.514814814814816</v>
      </c>
      <c r="AC11" s="114">
        <f>Table_14345[[#This Row],[COM 4 (sumatoria)]]</f>
        <v>8.4</v>
      </c>
      <c r="AD11" s="115">
        <f>Table_14345[[#This Row],[Resultado IIP
2023]]-Table_14345[[#This Row],[Resultado IIP
2021]]</f>
        <v>18.47296296296296</v>
      </c>
      <c r="AE11" s="116">
        <f>Table_14345[[#This Row],[COM 1 - 2023]]*100/25</f>
        <v>79.73333333333332</v>
      </c>
      <c r="AF11" s="116">
        <f>Table_14345[[#This Row],[COM 2 - 2023]]*100/35</f>
        <v>60.556613756613764</v>
      </c>
      <c r="AG11" s="116">
        <f>Table_14345[[#This Row],[COM 3 - 2023]]*100/25</f>
        <v>74.059259259259264</v>
      </c>
      <c r="AH11" s="116">
        <f>Table_14345[[#This Row],[COM 4 - 2023]]*100/15</f>
        <v>56</v>
      </c>
      <c r="AI11" s="117" t="s">
        <v>167</v>
      </c>
      <c r="AJ11" s="118" t="s">
        <v>171</v>
      </c>
      <c r="AK11" s="119">
        <v>0</v>
      </c>
      <c r="AL11" s="99">
        <v>3.4000000000000004</v>
      </c>
      <c r="AM11" s="120">
        <v>0</v>
      </c>
      <c r="AN11" s="120">
        <v>2.9</v>
      </c>
      <c r="AO11" s="120">
        <v>0</v>
      </c>
      <c r="AP11" s="120">
        <v>3.7</v>
      </c>
      <c r="AQ11" s="120">
        <v>0</v>
      </c>
      <c r="AR11" s="120">
        <v>1.95</v>
      </c>
      <c r="AS11" s="120">
        <v>0</v>
      </c>
      <c r="AT11" s="120">
        <v>0</v>
      </c>
      <c r="AU11" s="120">
        <v>4.7</v>
      </c>
      <c r="AV11" s="120">
        <v>0</v>
      </c>
      <c r="AW11" s="120">
        <v>3.2833333333333332</v>
      </c>
      <c r="AX11" s="100">
        <f t="shared" si="0"/>
        <v>19.93333333333333</v>
      </c>
      <c r="AY11" s="120">
        <v>0.75</v>
      </c>
      <c r="AZ11" s="120">
        <v>0.7</v>
      </c>
      <c r="BA11" s="120">
        <v>1.7</v>
      </c>
      <c r="BB11" s="120">
        <v>0.98</v>
      </c>
      <c r="BC11" s="120">
        <v>1.1000000000000001</v>
      </c>
      <c r="BD11" s="120">
        <v>2.7</v>
      </c>
      <c r="BE11" s="120">
        <v>1.3</v>
      </c>
      <c r="BF11" s="120">
        <v>0.95</v>
      </c>
      <c r="BG11" s="120">
        <v>0.95</v>
      </c>
      <c r="BH11" s="120">
        <v>4.1259259259259258</v>
      </c>
      <c r="BI11" s="120">
        <v>1.8</v>
      </c>
      <c r="BJ11" s="120">
        <v>2.1333333333333333</v>
      </c>
      <c r="BK11" s="120">
        <v>0.90555555555555545</v>
      </c>
      <c r="BL11" s="120">
        <v>1.1000000000000001</v>
      </c>
      <c r="BM11" s="100">
        <f t="shared" si="1"/>
        <v>21.194814814814816</v>
      </c>
      <c r="BN11" s="120">
        <v>14.114814814814816</v>
      </c>
      <c r="BO11" s="120">
        <v>2.2000000000000002</v>
      </c>
      <c r="BP11" s="120">
        <v>2.2000000000000002</v>
      </c>
      <c r="BQ11" s="100">
        <f t="shared" si="2"/>
        <v>18.514814814814816</v>
      </c>
      <c r="BR11" s="120">
        <v>0</v>
      </c>
      <c r="BS11" s="99">
        <v>1.4</v>
      </c>
      <c r="BT11" s="120">
        <v>1</v>
      </c>
      <c r="BU11" s="120">
        <v>0.85000000000000009</v>
      </c>
      <c r="BV11" s="120">
        <v>1</v>
      </c>
      <c r="BW11" s="120">
        <v>0.75</v>
      </c>
      <c r="BX11" s="99">
        <v>1</v>
      </c>
      <c r="BY11" s="99">
        <v>0.9</v>
      </c>
      <c r="BZ11" s="120">
        <v>1.5</v>
      </c>
      <c r="CA11" s="101">
        <f t="shared" si="3"/>
        <v>8.4</v>
      </c>
      <c r="CB11" s="99">
        <v>0.9</v>
      </c>
      <c r="CC11" s="99">
        <f>Table_14345[[#This Row],[PREAJUSTE
32]]+0.5</f>
        <v>1.4</v>
      </c>
      <c r="CD11" s="99"/>
      <c r="CE11" s="99">
        <f>Table_14345[[#This Row],[AJUSTADO
32]]-Table_14345[[#This Row],[DIFERENCIA
32]]</f>
        <v>1.4</v>
      </c>
      <c r="CF11" s="102">
        <v>0.4</v>
      </c>
      <c r="CG11" s="102">
        <f>Table_14345[[#This Row],[PREAJUSTE
38]]+0.5</f>
        <v>0.9</v>
      </c>
      <c r="CH11" s="102"/>
      <c r="CI11" s="102">
        <f>Table_14345[[#This Row],[AJUSTADO
38]]-Table_14345[[#This Row],[DIFERENCIA
38]]</f>
        <v>0.9</v>
      </c>
    </row>
    <row r="12" spans="2:87" hidden="1" x14ac:dyDescent="0.3">
      <c r="B12" s="103">
        <f>Table_14345[[#This Row],[Resultado IIP
2019]]</f>
        <v>0</v>
      </c>
      <c r="C12" s="104">
        <f>Table_14345[[#This Row],[Resultado IIP
2021]]</f>
        <v>65.17</v>
      </c>
      <c r="D12" s="104">
        <f>Table_14345[[#This Row],[Resultado IIP
2023]]</f>
        <v>64.81</v>
      </c>
      <c r="E12" s="105"/>
      <c r="F12" s="223"/>
      <c r="G12" s="223">
        <f>Table_14345[[#This Row],[POSICIÓN
2021]]</f>
        <v>5</v>
      </c>
      <c r="H12" s="223"/>
      <c r="I12" s="220"/>
      <c r="J12" s="106"/>
      <c r="K12" s="107"/>
      <c r="L12" s="107"/>
      <c r="M12" s="107"/>
      <c r="N12" s="201"/>
      <c r="O12" s="204">
        <v>5</v>
      </c>
      <c r="P12" s="108">
        <v>19.3</v>
      </c>
      <c r="Q12" s="109">
        <v>21.349999999999998</v>
      </c>
      <c r="R12" s="109">
        <v>15.6</v>
      </c>
      <c r="S12" s="109">
        <v>8.92</v>
      </c>
      <c r="T12" s="110">
        <f>Table_14345[[#This Row],[COM 1 - 2021]]+Table_14345[[#This Row],[COM 2 - 2021]]+Table_14345[[#This Row],[COM 3 - 2021]]+Table_14345[[#This Row],[COM 4 - 2021]]</f>
        <v>65.17</v>
      </c>
      <c r="U12" s="91">
        <v>5</v>
      </c>
      <c r="V12" s="91">
        <v>5</v>
      </c>
      <c r="W12" s="111">
        <v>5</v>
      </c>
      <c r="X12" s="210"/>
      <c r="Y12" s="112">
        <f>Table_14345[[#This Row],[COM 1 - 2023]]+Table_14345[[#This Row],[COM 2 - 2023]]+Table_14345[[#This Row],[COM 3 - 2023]]+Table_14345[[#This Row],[COM 4 - 2023]]</f>
        <v>64.81</v>
      </c>
      <c r="Z12" s="113">
        <f>Table_14345[[#This Row],[COM 1 (sumatoria)]]</f>
        <v>22.86</v>
      </c>
      <c r="AA12" s="113">
        <f>Table_14345[[#This Row],[COM 2 (sumatoria)]]</f>
        <v>16.683333333333334</v>
      </c>
      <c r="AB12" s="113">
        <f>Table_14345[[#This Row],[COM 3 (sumatoria)]]</f>
        <v>17.966666666666669</v>
      </c>
      <c r="AC12" s="114">
        <f>Table_14345[[#This Row],[COM 4 (sumatoria)]]</f>
        <v>7.3000000000000007</v>
      </c>
      <c r="AD12" s="115">
        <f>Table_14345[[#This Row],[Resultado IIP
2023]]-Table_14345[[#This Row],[Resultado IIP
2021]]</f>
        <v>-0.35999999999999943</v>
      </c>
      <c r="AE12" s="116">
        <f>Table_14345[[#This Row],[COM 1 - 2023]]*100/25</f>
        <v>91.44</v>
      </c>
      <c r="AF12" s="116">
        <f>Table_14345[[#This Row],[COM 2 - 2023]]*100/35</f>
        <v>47.666666666666664</v>
      </c>
      <c r="AG12" s="116">
        <f>Table_14345[[#This Row],[COM 3 - 2023]]*100/25</f>
        <v>71.866666666666674</v>
      </c>
      <c r="AH12" s="116">
        <f>Table_14345[[#This Row],[COM 4 - 2023]]*100/15</f>
        <v>48.666666666666671</v>
      </c>
      <c r="AI12" s="117" t="s">
        <v>172</v>
      </c>
      <c r="AJ12" s="122" t="s">
        <v>173</v>
      </c>
      <c r="AK12" s="119">
        <v>0</v>
      </c>
      <c r="AL12" s="99">
        <v>4</v>
      </c>
      <c r="AM12" s="120">
        <v>0</v>
      </c>
      <c r="AN12" s="120">
        <v>4</v>
      </c>
      <c r="AO12" s="120">
        <v>0</v>
      </c>
      <c r="AP12" s="120">
        <v>2.6500000000000004</v>
      </c>
      <c r="AQ12" s="120">
        <v>0</v>
      </c>
      <c r="AR12" s="120">
        <v>4</v>
      </c>
      <c r="AS12" s="120">
        <v>0</v>
      </c>
      <c r="AT12" s="120">
        <v>0</v>
      </c>
      <c r="AU12" s="120">
        <v>4.7</v>
      </c>
      <c r="AV12" s="120">
        <v>0</v>
      </c>
      <c r="AW12" s="120">
        <v>3.51</v>
      </c>
      <c r="AX12" s="100">
        <f t="shared" si="0"/>
        <v>22.86</v>
      </c>
      <c r="AY12" s="120">
        <v>0.75</v>
      </c>
      <c r="AZ12" s="120">
        <v>0.43</v>
      </c>
      <c r="BA12" s="120">
        <v>1.6</v>
      </c>
      <c r="BB12" s="120">
        <v>1.0899999999999999</v>
      </c>
      <c r="BC12" s="120">
        <v>0.8</v>
      </c>
      <c r="BD12" s="120">
        <v>0.8</v>
      </c>
      <c r="BE12" s="120">
        <v>1.1000000000000001</v>
      </c>
      <c r="BF12" s="120">
        <v>0.92999999999999994</v>
      </c>
      <c r="BG12" s="120">
        <v>0.85000000000000009</v>
      </c>
      <c r="BH12" s="120">
        <v>3.5000000000000004</v>
      </c>
      <c r="BI12" s="120">
        <v>2.1</v>
      </c>
      <c r="BJ12" s="120">
        <v>1.1000000000000001</v>
      </c>
      <c r="BK12" s="120">
        <v>0.53333333333333333</v>
      </c>
      <c r="BL12" s="120">
        <v>1.1000000000000001</v>
      </c>
      <c r="BM12" s="100">
        <f t="shared" si="1"/>
        <v>16.683333333333334</v>
      </c>
      <c r="BN12" s="120">
        <v>13.466666666666667</v>
      </c>
      <c r="BO12" s="120">
        <v>2.2000000000000002</v>
      </c>
      <c r="BP12" s="120">
        <v>2.2999999999999998</v>
      </c>
      <c r="BQ12" s="100">
        <f t="shared" si="2"/>
        <v>17.966666666666669</v>
      </c>
      <c r="BR12" s="120">
        <f>[1]Matriz!$M$99</f>
        <v>0</v>
      </c>
      <c r="BS12" s="99">
        <v>2.6</v>
      </c>
      <c r="BT12" s="120">
        <v>0</v>
      </c>
      <c r="BU12" s="120">
        <v>0</v>
      </c>
      <c r="BV12" s="120">
        <v>0</v>
      </c>
      <c r="BW12" s="120">
        <v>0</v>
      </c>
      <c r="BX12" s="99">
        <v>0</v>
      </c>
      <c r="BY12" s="99">
        <v>0.5</v>
      </c>
      <c r="BZ12" s="120">
        <f>[1]Matriz!$M$111</f>
        <v>4.2</v>
      </c>
      <c r="CA12" s="101">
        <f t="shared" si="3"/>
        <v>7.3000000000000007</v>
      </c>
      <c r="CB12" s="99">
        <v>2.1</v>
      </c>
      <c r="CC12" s="99">
        <f>Table_14345[[#This Row],[PREAJUSTE
32]]+0.5</f>
        <v>2.6</v>
      </c>
      <c r="CD12" s="99"/>
      <c r="CE12" s="99">
        <f>Table_14345[[#This Row],[AJUSTADO
32]]-Table_14345[[#This Row],[DIFERENCIA
32]]</f>
        <v>2.6</v>
      </c>
      <c r="CF12" s="102">
        <v>0</v>
      </c>
      <c r="CG12" s="102">
        <f>Table_14345[[#This Row],[PREAJUSTE
38]]+0.5</f>
        <v>0.5</v>
      </c>
      <c r="CH12" s="102"/>
      <c r="CI12" s="102">
        <f>Table_14345[[#This Row],[AJUSTADO
38]]-Table_14345[[#This Row],[DIFERENCIA
38]]</f>
        <v>0.5</v>
      </c>
    </row>
    <row r="13" spans="2:87" x14ac:dyDescent="0.3">
      <c r="B13" s="103">
        <f>Table_14345[[#This Row],[Resultado IIP
2019]]</f>
        <v>57.58</v>
      </c>
      <c r="C13" s="104">
        <f>Table_14345[[#This Row],[Resultado IIP
2021]]</f>
        <v>63.835999999999999</v>
      </c>
      <c r="D13" s="104">
        <f>Table_14345[[#This Row],[Resultado IIP
2023]]</f>
        <v>64.48</v>
      </c>
      <c r="E13" s="105"/>
      <c r="F13" s="223">
        <f>Table_14345[[#This Row],[POSICIÓN
2019]]</f>
        <v>7</v>
      </c>
      <c r="G13" s="223">
        <f>Table_14345[[#This Row],[POSICIÓN
2021]]</f>
        <v>6</v>
      </c>
      <c r="H13" s="223">
        <f>Table_14345[[#This Row],[POSICIÓN
2023]]</f>
        <v>5</v>
      </c>
      <c r="I13" s="220">
        <v>7</v>
      </c>
      <c r="J13" s="106">
        <v>54.46</v>
      </c>
      <c r="K13" s="107">
        <v>65.069999999999993</v>
      </c>
      <c r="L13" s="107">
        <v>60</v>
      </c>
      <c r="M13" s="107">
        <v>29.41</v>
      </c>
      <c r="N13" s="201">
        <v>57.58</v>
      </c>
      <c r="O13" s="204">
        <v>6</v>
      </c>
      <c r="P13" s="108">
        <v>14.299999999999999</v>
      </c>
      <c r="Q13" s="109">
        <v>26.25</v>
      </c>
      <c r="R13" s="109">
        <v>15.5</v>
      </c>
      <c r="S13" s="109">
        <v>7.7859999999999996</v>
      </c>
      <c r="T13" s="110">
        <f>Table_14345[[#This Row],[COM 1 - 2021]]+Table_14345[[#This Row],[COM 2 - 2021]]+Table_14345[[#This Row],[COM 3 - 2021]]+Table_14345[[#This Row],[COM 4 - 2021]]</f>
        <v>63.835999999999999</v>
      </c>
      <c r="U13" s="111">
        <v>6</v>
      </c>
      <c r="V13" s="111">
        <v>6</v>
      </c>
      <c r="W13" s="111">
        <v>6</v>
      </c>
      <c r="X13" s="210">
        <v>5</v>
      </c>
      <c r="Y13" s="112">
        <f>Table_14345[[#This Row],[COM 1 - 2023]]+Table_14345[[#This Row],[COM 2 - 2023]]+Table_14345[[#This Row],[COM 3 - 2023]]+Table_14345[[#This Row],[COM 4 - 2023]]</f>
        <v>64.48</v>
      </c>
      <c r="Z13" s="113">
        <f>Table_14345[[#This Row],[COM 1 (sumatoria)]]</f>
        <v>15.766666666666667</v>
      </c>
      <c r="AA13" s="113">
        <f>Table_14345[[#This Row],[COM 2 (sumatoria)]]</f>
        <v>20.863333333333333</v>
      </c>
      <c r="AB13" s="113">
        <f>Table_14345[[#This Row],[COM 3 (sumatoria)]]</f>
        <v>17.400000000000002</v>
      </c>
      <c r="AC13" s="114">
        <f>Table_14345[[#This Row],[COM 4 (sumatoria)]]</f>
        <v>10.45</v>
      </c>
      <c r="AD13" s="115">
        <f>Table_14345[[#This Row],[Resultado IIP
2023]]-Table_14345[[#This Row],[Resultado IIP
2021]]</f>
        <v>0.64400000000000546</v>
      </c>
      <c r="AE13" s="116">
        <f>Table_14345[[#This Row],[COM 1 - 2023]]*100/25</f>
        <v>63.06666666666667</v>
      </c>
      <c r="AF13" s="116">
        <f>Table_14345[[#This Row],[COM 2 - 2023]]*100/35</f>
        <v>59.609523809523814</v>
      </c>
      <c r="AG13" s="116">
        <f>Table_14345[[#This Row],[COM 3 - 2023]]*100/25</f>
        <v>69.600000000000009</v>
      </c>
      <c r="AH13" s="116">
        <f>Table_14345[[#This Row],[COM 4 - 2023]]*100/15</f>
        <v>69.666666666666671</v>
      </c>
      <c r="AI13" s="117" t="s">
        <v>167</v>
      </c>
      <c r="AJ13" s="118" t="s">
        <v>174</v>
      </c>
      <c r="AK13" s="119">
        <v>0</v>
      </c>
      <c r="AL13" s="99">
        <v>3.166666666666667</v>
      </c>
      <c r="AM13" s="120">
        <v>0</v>
      </c>
      <c r="AN13" s="120">
        <v>2.15</v>
      </c>
      <c r="AO13" s="120">
        <v>0</v>
      </c>
      <c r="AP13" s="120">
        <v>3.05</v>
      </c>
      <c r="AQ13" s="120">
        <v>0</v>
      </c>
      <c r="AR13" s="120">
        <v>3</v>
      </c>
      <c r="AS13" s="120">
        <v>0</v>
      </c>
      <c r="AT13" s="120">
        <v>0</v>
      </c>
      <c r="AU13" s="120">
        <v>1.8</v>
      </c>
      <c r="AV13" s="120">
        <v>0</v>
      </c>
      <c r="AW13" s="120">
        <v>2.6</v>
      </c>
      <c r="AX13" s="100">
        <f t="shared" si="0"/>
        <v>15.766666666666667</v>
      </c>
      <c r="AY13" s="120">
        <v>1.75</v>
      </c>
      <c r="AZ13" s="120">
        <v>0.4</v>
      </c>
      <c r="BA13" s="120">
        <v>1.9</v>
      </c>
      <c r="BB13" s="120">
        <v>1.02</v>
      </c>
      <c r="BC13" s="120">
        <v>0.6</v>
      </c>
      <c r="BD13" s="120">
        <v>1.1000000000000001</v>
      </c>
      <c r="BE13" s="120">
        <v>2.17</v>
      </c>
      <c r="BF13" s="120">
        <v>0.8</v>
      </c>
      <c r="BG13" s="120">
        <v>0.73</v>
      </c>
      <c r="BH13" s="120">
        <v>4.7266666666666666</v>
      </c>
      <c r="BI13" s="120">
        <v>3</v>
      </c>
      <c r="BJ13" s="120">
        <v>1.5</v>
      </c>
      <c r="BK13" s="120">
        <v>0.66666666666666663</v>
      </c>
      <c r="BL13" s="120">
        <v>0.5</v>
      </c>
      <c r="BM13" s="100">
        <f t="shared" si="1"/>
        <v>20.863333333333333</v>
      </c>
      <c r="BN13" s="120">
        <v>14.5</v>
      </c>
      <c r="BO13" s="120">
        <v>1.8</v>
      </c>
      <c r="BP13" s="120">
        <v>1.1000000000000001</v>
      </c>
      <c r="BQ13" s="100">
        <f t="shared" si="2"/>
        <v>17.400000000000002</v>
      </c>
      <c r="BR13" s="120">
        <f>[2]Matriz!$M$99</f>
        <v>0</v>
      </c>
      <c r="BS13" s="99">
        <v>1.5</v>
      </c>
      <c r="BT13" s="120">
        <v>1</v>
      </c>
      <c r="BU13" s="120">
        <v>1</v>
      </c>
      <c r="BV13" s="120">
        <v>1</v>
      </c>
      <c r="BW13" s="120">
        <v>1</v>
      </c>
      <c r="BX13" s="99">
        <v>0.95</v>
      </c>
      <c r="BY13" s="99">
        <v>1</v>
      </c>
      <c r="BZ13" s="120">
        <f>[2]Matriz!$M$114</f>
        <v>3</v>
      </c>
      <c r="CA13" s="101">
        <f t="shared" si="3"/>
        <v>10.45</v>
      </c>
      <c r="CB13" s="99">
        <v>1</v>
      </c>
      <c r="CC13" s="99">
        <f>Table_14345[[#This Row],[PREAJUSTE
32]]+0.5</f>
        <v>1.5</v>
      </c>
      <c r="CD13" s="99"/>
      <c r="CE13" s="99">
        <f>Table_14345[[#This Row],[AJUSTADO
32]]-Table_14345[[#This Row],[DIFERENCIA
32]]</f>
        <v>1.5</v>
      </c>
      <c r="CF13" s="102">
        <v>0.8</v>
      </c>
      <c r="CG13" s="102">
        <f>Table_14345[[#This Row],[PREAJUSTE
38]]+0.5</f>
        <v>1.3</v>
      </c>
      <c r="CH13" s="102">
        <f>Table_14345[[#This Row],[AJUSTADO
38]]-1</f>
        <v>0.30000000000000004</v>
      </c>
      <c r="CI13" s="102">
        <f>Table_14345[[#This Row],[AJUSTADO
38]]-Table_14345[[#This Row],[DIFERENCIA
38]]</f>
        <v>1</v>
      </c>
    </row>
    <row r="14" spans="2:87" x14ac:dyDescent="0.3">
      <c r="B14" s="103">
        <f>Table_14345[[#This Row],[Resultado IIP
2019]]</f>
        <v>52.07</v>
      </c>
      <c r="C14" s="104">
        <f>Table_14345[[#This Row],[Resultado IIP
2021]]</f>
        <v>55.43</v>
      </c>
      <c r="D14" s="104">
        <f>Table_14345[[#This Row],[Resultado IIP
2023]]</f>
        <v>62.827986111111116</v>
      </c>
      <c r="E14" s="105"/>
      <c r="F14" s="223">
        <f>Table_14345[[#This Row],[POSICIÓN
2019]]</f>
        <v>10</v>
      </c>
      <c r="G14" s="223">
        <f>Table_14345[[#This Row],[POSICIÓN
2021]]</f>
        <v>13</v>
      </c>
      <c r="H14" s="223">
        <f>Table_14345[[#This Row],[POSICIÓN
2023]]</f>
        <v>6</v>
      </c>
      <c r="I14" s="219">
        <v>10</v>
      </c>
      <c r="J14" s="106">
        <v>49.62</v>
      </c>
      <c r="K14" s="107">
        <v>45.98</v>
      </c>
      <c r="L14" s="107">
        <v>73.33</v>
      </c>
      <c r="M14" s="107">
        <v>29.41</v>
      </c>
      <c r="N14" s="201">
        <v>52.07</v>
      </c>
      <c r="O14" s="203">
        <v>13</v>
      </c>
      <c r="P14" s="108">
        <v>14.8</v>
      </c>
      <c r="Q14" s="109">
        <v>21</v>
      </c>
      <c r="R14" s="109">
        <v>14.35</v>
      </c>
      <c r="S14" s="109">
        <v>5.2800000000000011</v>
      </c>
      <c r="T14" s="110">
        <f>Table_14345[[#This Row],[COM 1 - 2021]]+Table_14345[[#This Row],[COM 2 - 2021]]+Table_14345[[#This Row],[COM 3 - 2021]]+Table_14345[[#This Row],[COM 4 - 2021]]</f>
        <v>55.43</v>
      </c>
      <c r="U14" s="111">
        <v>10</v>
      </c>
      <c r="V14" s="111">
        <v>10</v>
      </c>
      <c r="W14" s="91">
        <v>7</v>
      </c>
      <c r="X14" s="209">
        <v>6</v>
      </c>
      <c r="Y14" s="112">
        <f>Table_14345[[#This Row],[COM 1 - 2023]]+Table_14345[[#This Row],[COM 2 - 2023]]+Table_14345[[#This Row],[COM 3 - 2023]]+Table_14345[[#This Row],[COM 4 - 2023]]</f>
        <v>62.827986111111116</v>
      </c>
      <c r="Z14" s="113">
        <f>Table_14345[[#This Row],[COM 1 (sumatoria)]]</f>
        <v>16.730208333333334</v>
      </c>
      <c r="AA14" s="113">
        <f>Table_14345[[#This Row],[COM 2 (sumatoria)]]</f>
        <v>23.425555555555558</v>
      </c>
      <c r="AB14" s="113">
        <f>Table_14345[[#This Row],[COM 3 (sumatoria)]]</f>
        <v>13.322222222222223</v>
      </c>
      <c r="AC14" s="114">
        <f>Table_14345[[#This Row],[COM 4 (sumatoria)]]</f>
        <v>9.3500000000000014</v>
      </c>
      <c r="AD14" s="115">
        <f>Table_14345[[#This Row],[Resultado IIP
2023]]-Table_14345[[#This Row],[Resultado IIP
2021]]</f>
        <v>7.3979861111111163</v>
      </c>
      <c r="AE14" s="116">
        <f>Table_14345[[#This Row],[COM 1 - 2023]]*100/25</f>
        <v>66.920833333333334</v>
      </c>
      <c r="AF14" s="116">
        <f>Table_14345[[#This Row],[COM 2 - 2023]]*100/35</f>
        <v>66.930158730158738</v>
      </c>
      <c r="AG14" s="116">
        <f>Table_14345[[#This Row],[COM 3 - 2023]]*100/25</f>
        <v>53.288888888888884</v>
      </c>
      <c r="AH14" s="116">
        <f>Table_14345[[#This Row],[COM 4 - 2023]]*100/15</f>
        <v>62.333333333333343</v>
      </c>
      <c r="AI14" s="117" t="s">
        <v>167</v>
      </c>
      <c r="AJ14" s="118" t="s">
        <v>175</v>
      </c>
      <c r="AK14" s="121">
        <v>0</v>
      </c>
      <c r="AL14" s="99">
        <v>3.7333333333333334</v>
      </c>
      <c r="AM14" s="99">
        <v>0</v>
      </c>
      <c r="AN14" s="99">
        <v>1.55</v>
      </c>
      <c r="AO14" s="99">
        <v>0</v>
      </c>
      <c r="AP14" s="99">
        <v>3.7</v>
      </c>
      <c r="AQ14" s="99">
        <v>0</v>
      </c>
      <c r="AR14" s="99">
        <v>4</v>
      </c>
      <c r="AS14" s="99">
        <v>0</v>
      </c>
      <c r="AT14" s="99">
        <v>0</v>
      </c>
      <c r="AU14" s="99">
        <v>1.8</v>
      </c>
      <c r="AV14" s="99">
        <v>0</v>
      </c>
      <c r="AW14" s="99">
        <v>1.9468749999999999</v>
      </c>
      <c r="AX14" s="100">
        <f t="shared" si="0"/>
        <v>16.730208333333334</v>
      </c>
      <c r="AY14" s="99">
        <v>1.7</v>
      </c>
      <c r="AZ14" s="99">
        <v>0.6</v>
      </c>
      <c r="BA14" s="99">
        <v>2.4</v>
      </c>
      <c r="BB14" s="99">
        <v>1.2</v>
      </c>
      <c r="BC14" s="99">
        <v>1</v>
      </c>
      <c r="BD14" s="99">
        <v>1.3</v>
      </c>
      <c r="BE14" s="99">
        <v>2.5</v>
      </c>
      <c r="BF14" s="99">
        <v>1</v>
      </c>
      <c r="BG14" s="99">
        <v>1</v>
      </c>
      <c r="BH14" s="99">
        <v>3.0277777777777777</v>
      </c>
      <c r="BI14" s="99">
        <v>4.2</v>
      </c>
      <c r="BJ14" s="99">
        <v>2.42</v>
      </c>
      <c r="BK14" s="99">
        <v>0.57777777777777772</v>
      </c>
      <c r="BL14" s="99">
        <v>0.5</v>
      </c>
      <c r="BM14" s="100">
        <f t="shared" si="1"/>
        <v>23.425555555555558</v>
      </c>
      <c r="BN14" s="99">
        <v>12.222222222222223</v>
      </c>
      <c r="BO14" s="99">
        <v>1.1000000000000001</v>
      </c>
      <c r="BP14" s="99">
        <v>0</v>
      </c>
      <c r="BQ14" s="100">
        <f t="shared" si="2"/>
        <v>13.322222222222223</v>
      </c>
      <c r="BR14" s="99">
        <v>0</v>
      </c>
      <c r="BS14" s="99">
        <v>3</v>
      </c>
      <c r="BT14" s="99">
        <v>0.95</v>
      </c>
      <c r="BU14" s="99">
        <v>0.85000000000000009</v>
      </c>
      <c r="BV14" s="99">
        <v>0.95</v>
      </c>
      <c r="BW14" s="99">
        <v>0.75</v>
      </c>
      <c r="BX14" s="99">
        <v>0.85000000000000009</v>
      </c>
      <c r="BY14" s="99">
        <v>0.8</v>
      </c>
      <c r="BZ14" s="99">
        <v>1.2</v>
      </c>
      <c r="CA14" s="101">
        <f t="shared" si="3"/>
        <v>9.3500000000000014</v>
      </c>
      <c r="CB14" s="99">
        <v>2.7</v>
      </c>
      <c r="CC14" s="99">
        <f>Table_14345[[#This Row],[PREAJUSTE
32]]+0.5</f>
        <v>3.2</v>
      </c>
      <c r="CD14" s="99">
        <f>Table_14345[[#This Row],[AJUSTADO
32]]-3</f>
        <v>0.20000000000000018</v>
      </c>
      <c r="CE14" s="99">
        <f>Table_14345[[#This Row],[AJUSTADO
32]]-Table_14345[[#This Row],[DIFERENCIA
32]]</f>
        <v>3</v>
      </c>
      <c r="CF14" s="102">
        <v>0.3</v>
      </c>
      <c r="CG14" s="102">
        <f>Table_14345[[#This Row],[PREAJUSTE
38]]+0.5</f>
        <v>0.8</v>
      </c>
      <c r="CH14" s="102"/>
      <c r="CI14" s="102">
        <f>Table_14345[[#This Row],[AJUSTADO
38]]-Table_14345[[#This Row],[DIFERENCIA
38]]</f>
        <v>0.8</v>
      </c>
    </row>
    <row r="15" spans="2:87" x14ac:dyDescent="0.3">
      <c r="B15" s="103">
        <f>Table_14345[[#This Row],[Resultado IIP
2019]]</f>
        <v>48.19</v>
      </c>
      <c r="C15" s="104">
        <f>Table_14345[[#This Row],[Resultado IIP
2021]]</f>
        <v>40</v>
      </c>
      <c r="D15" s="104">
        <f>Table_14345[[#This Row],[Resultado IIP
2023]]</f>
        <v>62.45</v>
      </c>
      <c r="E15" s="105"/>
      <c r="F15" s="223">
        <f>Table_14345[[#This Row],[POSICIÓN
2019]]</f>
        <v>15</v>
      </c>
      <c r="G15" s="223">
        <f>Table_14345[[#This Row],[POSICIÓN
2021]]</f>
        <v>30</v>
      </c>
      <c r="H15" s="223">
        <f>Table_14345[[#This Row],[POSICIÓN
2023]]</f>
        <v>7</v>
      </c>
      <c r="I15" s="220">
        <v>15</v>
      </c>
      <c r="J15" s="106">
        <v>38.119999999999997</v>
      </c>
      <c r="K15" s="107">
        <v>41.75</v>
      </c>
      <c r="L15" s="107">
        <v>80</v>
      </c>
      <c r="M15" s="107">
        <v>19.61</v>
      </c>
      <c r="N15" s="201">
        <v>48.19</v>
      </c>
      <c r="O15" s="204">
        <v>30</v>
      </c>
      <c r="P15" s="108">
        <v>10.000000000000002</v>
      </c>
      <c r="Q15" s="109">
        <v>10.5</v>
      </c>
      <c r="R15" s="109">
        <v>16</v>
      </c>
      <c r="S15" s="109">
        <v>3.5</v>
      </c>
      <c r="T15" s="110">
        <f>Table_14345[[#This Row],[COM 1 - 2021]]+Table_14345[[#This Row],[COM 2 - 2021]]+Table_14345[[#This Row],[COM 3 - 2021]]+Table_14345[[#This Row],[COM 4 - 2021]]</f>
        <v>40</v>
      </c>
      <c r="U15" s="111">
        <v>11</v>
      </c>
      <c r="V15" s="111">
        <v>11</v>
      </c>
      <c r="W15" s="111">
        <v>8</v>
      </c>
      <c r="X15" s="210">
        <v>7</v>
      </c>
      <c r="Y15" s="112">
        <f>Table_14345[[#This Row],[COM 1 - 2023]]+Table_14345[[#This Row],[COM 2 - 2023]]+Table_14345[[#This Row],[COM 3 - 2023]]+Table_14345[[#This Row],[COM 4 - 2023]]</f>
        <v>62.45</v>
      </c>
      <c r="Z15" s="113">
        <f>Table_14345[[#This Row],[COM 1 (sumatoria)]]</f>
        <v>16.98</v>
      </c>
      <c r="AA15" s="113">
        <f>Table_14345[[#This Row],[COM 2 (sumatoria)]]</f>
        <v>23.019999999999996</v>
      </c>
      <c r="AB15" s="113">
        <f>Table_14345[[#This Row],[COM 3 (sumatoria)]]</f>
        <v>14.600000000000001</v>
      </c>
      <c r="AC15" s="114">
        <f>Table_14345[[#This Row],[COM 4 (sumatoria)]]</f>
        <v>7.8500000000000005</v>
      </c>
      <c r="AD15" s="115">
        <f>Table_14345[[#This Row],[Resultado IIP
2023]]-Table_14345[[#This Row],[Resultado IIP
2021]]</f>
        <v>22.450000000000003</v>
      </c>
      <c r="AE15" s="116">
        <f>Table_14345[[#This Row],[COM 1 - 2023]]*100/25</f>
        <v>67.92</v>
      </c>
      <c r="AF15" s="116">
        <f>Table_14345[[#This Row],[COM 2 - 2023]]*100/35</f>
        <v>65.771428571428558</v>
      </c>
      <c r="AG15" s="116">
        <f>Table_14345[[#This Row],[COM 3 - 2023]]*100/25</f>
        <v>58.400000000000006</v>
      </c>
      <c r="AH15" s="116">
        <f>Table_14345[[#This Row],[COM 4 - 2023]]*100/15</f>
        <v>52.333333333333336</v>
      </c>
      <c r="AI15" s="117" t="s">
        <v>167</v>
      </c>
      <c r="AJ15" s="118" t="s">
        <v>176</v>
      </c>
      <c r="AK15" s="119">
        <v>0</v>
      </c>
      <c r="AL15" s="99">
        <v>2.15</v>
      </c>
      <c r="AM15" s="120">
        <v>0</v>
      </c>
      <c r="AN15" s="120">
        <v>0</v>
      </c>
      <c r="AO15" s="120">
        <v>0</v>
      </c>
      <c r="AP15" s="120">
        <v>3.7</v>
      </c>
      <c r="AQ15" s="120">
        <v>0</v>
      </c>
      <c r="AR15" s="120">
        <v>3</v>
      </c>
      <c r="AS15" s="120">
        <v>0</v>
      </c>
      <c r="AT15" s="120">
        <v>0</v>
      </c>
      <c r="AU15" s="120">
        <v>3.9</v>
      </c>
      <c r="AV15" s="120">
        <v>0</v>
      </c>
      <c r="AW15" s="120">
        <v>4.2300000000000004</v>
      </c>
      <c r="AX15" s="100">
        <f t="shared" si="0"/>
        <v>16.98</v>
      </c>
      <c r="AY15" s="120">
        <v>1.65</v>
      </c>
      <c r="AZ15" s="120">
        <v>0.97</v>
      </c>
      <c r="BA15" s="120">
        <v>1.82</v>
      </c>
      <c r="BB15" s="120">
        <v>0.8</v>
      </c>
      <c r="BC15" s="120">
        <v>1.2</v>
      </c>
      <c r="BD15" s="120">
        <v>2.4</v>
      </c>
      <c r="BE15" s="120">
        <v>2.7</v>
      </c>
      <c r="BF15" s="120">
        <v>0.73</v>
      </c>
      <c r="BG15" s="120">
        <v>1</v>
      </c>
      <c r="BH15" s="120">
        <v>5.13</v>
      </c>
      <c r="BI15" s="120">
        <v>2.2000000000000002</v>
      </c>
      <c r="BJ15" s="120">
        <v>1.42</v>
      </c>
      <c r="BK15" s="120">
        <v>1</v>
      </c>
      <c r="BL15" s="120">
        <v>0</v>
      </c>
      <c r="BM15" s="100">
        <f t="shared" si="1"/>
        <v>23.019999999999996</v>
      </c>
      <c r="BN15" s="120">
        <v>10.1</v>
      </c>
      <c r="BO15" s="120">
        <v>2.2000000000000002</v>
      </c>
      <c r="BP15" s="120">
        <v>2.2999999999999998</v>
      </c>
      <c r="BQ15" s="100">
        <f t="shared" si="2"/>
        <v>14.600000000000001</v>
      </c>
      <c r="BR15" s="120">
        <v>0</v>
      </c>
      <c r="BS15" s="99">
        <v>2</v>
      </c>
      <c r="BT15" s="120">
        <v>0.95</v>
      </c>
      <c r="BU15" s="120">
        <v>0.95</v>
      </c>
      <c r="BV15" s="120">
        <v>0.95</v>
      </c>
      <c r="BW15" s="120">
        <v>0.95</v>
      </c>
      <c r="BX15" s="99">
        <v>0.95</v>
      </c>
      <c r="BY15" s="99">
        <v>0.5</v>
      </c>
      <c r="BZ15" s="120">
        <v>0.6</v>
      </c>
      <c r="CA15" s="101">
        <f t="shared" si="3"/>
        <v>7.8500000000000005</v>
      </c>
      <c r="CB15" s="99">
        <v>1.5</v>
      </c>
      <c r="CC15" s="99">
        <f>Table_14345[[#This Row],[PREAJUSTE
32]]+0.5</f>
        <v>2</v>
      </c>
      <c r="CD15" s="99"/>
      <c r="CE15" s="99">
        <f>Table_14345[[#This Row],[AJUSTADO
32]]-Table_14345[[#This Row],[DIFERENCIA
32]]</f>
        <v>2</v>
      </c>
      <c r="CF15" s="102">
        <v>0</v>
      </c>
      <c r="CG15" s="102">
        <f>Table_14345[[#This Row],[PREAJUSTE
38]]+0.5</f>
        <v>0.5</v>
      </c>
      <c r="CH15" s="102"/>
      <c r="CI15" s="102">
        <f>Table_14345[[#This Row],[AJUSTADO
38]]-Table_14345[[#This Row],[DIFERENCIA
38]]</f>
        <v>0.5</v>
      </c>
    </row>
    <row r="16" spans="2:87" x14ac:dyDescent="0.3">
      <c r="B16" s="103">
        <f>Table_14345[[#This Row],[Resultado IIP
2019]]</f>
        <v>26.4</v>
      </c>
      <c r="C16" s="104">
        <f>Table_14345[[#This Row],[Resultado IIP
2021]]</f>
        <v>42.499999999999993</v>
      </c>
      <c r="D16" s="104">
        <f>Table_14345[[#This Row],[Resultado IIP
2023]]</f>
        <v>62.26</v>
      </c>
      <c r="E16" s="105"/>
      <c r="F16" s="223">
        <f>Table_14345[[#This Row],[POSICIÓN
2019]]</f>
        <v>26</v>
      </c>
      <c r="G16" s="223">
        <f>Table_14345[[#This Row],[POSICIÓN
2021]]</f>
        <v>25</v>
      </c>
      <c r="H16" s="223">
        <f>Table_14345[[#This Row],[POSICIÓN
2023]]</f>
        <v>8</v>
      </c>
      <c r="I16" s="220">
        <v>26</v>
      </c>
      <c r="J16" s="106">
        <v>20</v>
      </c>
      <c r="K16" s="107">
        <v>42.24</v>
      </c>
      <c r="L16" s="107">
        <v>0</v>
      </c>
      <c r="M16" s="107">
        <v>45.1</v>
      </c>
      <c r="N16" s="201">
        <v>26.4</v>
      </c>
      <c r="O16" s="204">
        <v>25</v>
      </c>
      <c r="P16" s="108">
        <v>13.9</v>
      </c>
      <c r="Q16" s="109">
        <v>17.449999999999996</v>
      </c>
      <c r="R16" s="109">
        <v>8.5</v>
      </c>
      <c r="S16" s="109">
        <v>2.65</v>
      </c>
      <c r="T16" s="110">
        <f>Table_14345[[#This Row],[COM 1 - 2021]]+Table_14345[[#This Row],[COM 2 - 2021]]+Table_14345[[#This Row],[COM 3 - 2021]]+Table_14345[[#This Row],[COM 4 - 2021]]</f>
        <v>42.499999999999993</v>
      </c>
      <c r="U16" s="91">
        <v>9</v>
      </c>
      <c r="V16" s="91">
        <v>8</v>
      </c>
      <c r="W16" s="111">
        <v>9</v>
      </c>
      <c r="X16" s="210">
        <v>8</v>
      </c>
      <c r="Y16" s="112">
        <f>Table_14345[[#This Row],[COM 1 - 2023]]+Table_14345[[#This Row],[COM 2 - 2023]]+Table_14345[[#This Row],[COM 3 - 2023]]+Table_14345[[#This Row],[COM 4 - 2023]]</f>
        <v>62.26</v>
      </c>
      <c r="Z16" s="113">
        <f>Table_14345[[#This Row],[COM 1 (sumatoria)]]</f>
        <v>16.669999999999998</v>
      </c>
      <c r="AA16" s="113">
        <f>Table_14345[[#This Row],[COM 2 (sumatoria)]]</f>
        <v>22.63</v>
      </c>
      <c r="AB16" s="113">
        <f>Table_14345[[#This Row],[COM 3 (sumatoria)]]</f>
        <v>14.96</v>
      </c>
      <c r="AC16" s="114">
        <f>Table_14345[[#This Row],[COM 4 (sumatoria)]]</f>
        <v>8</v>
      </c>
      <c r="AD16" s="115">
        <f>Table_14345[[#This Row],[Resultado IIP
2023]]-Table_14345[[#This Row],[Resultado IIP
2021]]</f>
        <v>19.760000000000005</v>
      </c>
      <c r="AE16" s="116">
        <f>Table_14345[[#This Row],[COM 1 - 2023]]*100/25</f>
        <v>66.679999999999993</v>
      </c>
      <c r="AF16" s="116">
        <f>Table_14345[[#This Row],[COM 2 - 2023]]*100/35</f>
        <v>64.657142857142858</v>
      </c>
      <c r="AG16" s="116">
        <f>Table_14345[[#This Row],[COM 3 - 2023]]*100/25</f>
        <v>59.84</v>
      </c>
      <c r="AH16" s="116">
        <f>Table_14345[[#This Row],[COM 4 - 2023]]*100/15</f>
        <v>53.333333333333336</v>
      </c>
      <c r="AI16" s="117" t="s">
        <v>167</v>
      </c>
      <c r="AJ16" s="118" t="s">
        <v>177</v>
      </c>
      <c r="AK16" s="121">
        <v>0</v>
      </c>
      <c r="AL16" s="99">
        <v>3.52</v>
      </c>
      <c r="AM16" s="99">
        <v>0</v>
      </c>
      <c r="AN16" s="99">
        <v>2.6</v>
      </c>
      <c r="AO16" s="99">
        <v>0</v>
      </c>
      <c r="AP16" s="99">
        <v>1.9</v>
      </c>
      <c r="AQ16" s="99">
        <v>0</v>
      </c>
      <c r="AR16" s="99">
        <v>1.95</v>
      </c>
      <c r="AS16" s="99">
        <v>0</v>
      </c>
      <c r="AT16" s="99">
        <v>0</v>
      </c>
      <c r="AU16" s="99">
        <v>3.9</v>
      </c>
      <c r="AV16" s="99">
        <v>0</v>
      </c>
      <c r="AW16" s="99">
        <v>2.8</v>
      </c>
      <c r="AX16" s="100">
        <f t="shared" si="0"/>
        <v>16.669999999999998</v>
      </c>
      <c r="AY16" s="99">
        <v>2</v>
      </c>
      <c r="AZ16" s="99">
        <v>0.83</v>
      </c>
      <c r="BA16" s="99">
        <v>2.15</v>
      </c>
      <c r="BB16" s="99">
        <v>0.7</v>
      </c>
      <c r="BC16" s="99">
        <v>1</v>
      </c>
      <c r="BD16" s="99">
        <v>1.8</v>
      </c>
      <c r="BE16" s="99">
        <v>2.4500000000000002</v>
      </c>
      <c r="BF16" s="99">
        <v>0.7</v>
      </c>
      <c r="BG16" s="99">
        <v>0.5</v>
      </c>
      <c r="BH16" s="99">
        <v>4.18</v>
      </c>
      <c r="BI16" s="99">
        <v>3.5</v>
      </c>
      <c r="BJ16" s="99">
        <v>2</v>
      </c>
      <c r="BK16" s="99">
        <v>0.82</v>
      </c>
      <c r="BL16" s="99">
        <v>0</v>
      </c>
      <c r="BM16" s="100">
        <f t="shared" si="1"/>
        <v>22.63</v>
      </c>
      <c r="BN16" s="99">
        <v>11.56</v>
      </c>
      <c r="BO16" s="99">
        <v>1.1000000000000001</v>
      </c>
      <c r="BP16" s="99">
        <v>2.2999999999999998</v>
      </c>
      <c r="BQ16" s="100">
        <f t="shared" si="2"/>
        <v>14.96</v>
      </c>
      <c r="BR16" s="99">
        <v>0</v>
      </c>
      <c r="BS16" s="99">
        <v>2</v>
      </c>
      <c r="BT16" s="99">
        <v>0.3</v>
      </c>
      <c r="BU16" s="99">
        <v>0.4</v>
      </c>
      <c r="BV16" s="99">
        <v>0.5</v>
      </c>
      <c r="BW16" s="99">
        <v>0.5</v>
      </c>
      <c r="BX16" s="99">
        <v>0.4</v>
      </c>
      <c r="BY16" s="99">
        <v>0.9</v>
      </c>
      <c r="BZ16" s="99">
        <v>3</v>
      </c>
      <c r="CA16" s="101">
        <f t="shared" si="3"/>
        <v>8</v>
      </c>
      <c r="CB16" s="99">
        <v>1.5</v>
      </c>
      <c r="CC16" s="99">
        <f>Table_14345[[#This Row],[PREAJUSTE
32]]+0.5</f>
        <v>2</v>
      </c>
      <c r="CD16" s="99"/>
      <c r="CE16" s="99">
        <f>Table_14345[[#This Row],[AJUSTADO
32]]-Table_14345[[#This Row],[DIFERENCIA
32]]</f>
        <v>2</v>
      </c>
      <c r="CF16" s="102">
        <v>0.4</v>
      </c>
      <c r="CG16" s="102">
        <f>Table_14345[[#This Row],[PREAJUSTE
38]]+0.5</f>
        <v>0.9</v>
      </c>
      <c r="CH16" s="102"/>
      <c r="CI16" s="102">
        <f>Table_14345[[#This Row],[AJUSTADO
38]]-Table_14345[[#This Row],[DIFERENCIA
38]]</f>
        <v>0.9</v>
      </c>
    </row>
    <row r="17" spans="2:87" x14ac:dyDescent="0.3">
      <c r="B17" s="103">
        <f>Table_14345[[#This Row],[Resultado IIP
2019]]</f>
        <v>42.41</v>
      </c>
      <c r="C17" s="104">
        <f>Table_14345[[#This Row],[Resultado IIP
2021]]</f>
        <v>66.289999999999992</v>
      </c>
      <c r="D17" s="104">
        <f>Table_14345[[#This Row],[Resultado IIP
2023]]</f>
        <v>61.881333333333323</v>
      </c>
      <c r="E17" s="105"/>
      <c r="F17" s="223">
        <f>Table_14345[[#This Row],[POSICIÓN
2019]]</f>
        <v>17</v>
      </c>
      <c r="G17" s="223">
        <f>Table_14345[[#This Row],[POSICIÓN
2021]]</f>
        <v>3</v>
      </c>
      <c r="H17" s="223">
        <f>Table_14345[[#This Row],[POSICIÓN
2023]]</f>
        <v>9</v>
      </c>
      <c r="I17" s="219">
        <v>17</v>
      </c>
      <c r="J17" s="106">
        <v>33.75</v>
      </c>
      <c r="K17" s="107">
        <v>35.18</v>
      </c>
      <c r="L17" s="107">
        <v>60</v>
      </c>
      <c r="M17" s="107">
        <v>49.02</v>
      </c>
      <c r="N17" s="201">
        <v>42.41</v>
      </c>
      <c r="O17" s="203">
        <v>3</v>
      </c>
      <c r="P17" s="108">
        <v>16.149999999999999</v>
      </c>
      <c r="Q17" s="109">
        <v>25.049999999999997</v>
      </c>
      <c r="R17" s="109">
        <v>15.6</v>
      </c>
      <c r="S17" s="109">
        <v>9.49</v>
      </c>
      <c r="T17" s="110">
        <f>Table_14345[[#This Row],[COM 1 - 2021]]+Table_14345[[#This Row],[COM 2 - 2021]]+Table_14345[[#This Row],[COM 3 - 2021]]+Table_14345[[#This Row],[COM 4 - 2021]]</f>
        <v>66.289999999999992</v>
      </c>
      <c r="U17" s="111">
        <v>12</v>
      </c>
      <c r="V17" s="111">
        <v>12</v>
      </c>
      <c r="W17" s="91">
        <v>10</v>
      </c>
      <c r="X17" s="209">
        <v>9</v>
      </c>
      <c r="Y17" s="112">
        <f>Table_14345[[#This Row],[COM 1 - 2023]]+Table_14345[[#This Row],[COM 2 - 2023]]+Table_14345[[#This Row],[COM 3 - 2023]]+Table_14345[[#This Row],[COM 4 - 2023]]</f>
        <v>61.881333333333323</v>
      </c>
      <c r="Z17" s="113">
        <f>Table_14345[[#This Row],[COM 1 (sumatoria)]]</f>
        <v>15.681333333333331</v>
      </c>
      <c r="AA17" s="113">
        <f>Table_14345[[#This Row],[COM 2 (sumatoria)]]</f>
        <v>21.333333333333329</v>
      </c>
      <c r="AB17" s="113">
        <f>Table_14345[[#This Row],[COM 3 (sumatoria)]]</f>
        <v>13.866666666666667</v>
      </c>
      <c r="AC17" s="114">
        <f>Table_14345[[#This Row],[COM 4 (sumatoria)]]</f>
        <v>11</v>
      </c>
      <c r="AD17" s="115">
        <f>Table_14345[[#This Row],[Resultado IIP
2023]]-Table_14345[[#This Row],[Resultado IIP
2021]]</f>
        <v>-4.4086666666666687</v>
      </c>
      <c r="AE17" s="116">
        <f>Table_14345[[#This Row],[COM 1 - 2023]]*100/25</f>
        <v>62.725333333333332</v>
      </c>
      <c r="AF17" s="116">
        <f>Table_14345[[#This Row],[COM 2 - 2023]]*100/35</f>
        <v>60.952380952380942</v>
      </c>
      <c r="AG17" s="116">
        <f>Table_14345[[#This Row],[COM 3 - 2023]]*100/25</f>
        <v>55.466666666666669</v>
      </c>
      <c r="AH17" s="116">
        <f>Table_14345[[#This Row],[COM 4 - 2023]]*100/15</f>
        <v>73.333333333333329</v>
      </c>
      <c r="AI17" s="117" t="s">
        <v>167</v>
      </c>
      <c r="AJ17" s="118" t="s">
        <v>178</v>
      </c>
      <c r="AK17" s="119">
        <v>0</v>
      </c>
      <c r="AL17" s="99">
        <v>2.7333333333333329</v>
      </c>
      <c r="AM17" s="120">
        <v>0</v>
      </c>
      <c r="AN17" s="120">
        <v>4</v>
      </c>
      <c r="AO17" s="120">
        <v>0</v>
      </c>
      <c r="AP17" s="120">
        <v>1.2999999999999998</v>
      </c>
      <c r="AQ17" s="120">
        <v>0</v>
      </c>
      <c r="AR17" s="120">
        <v>1.65</v>
      </c>
      <c r="AS17" s="120">
        <v>0</v>
      </c>
      <c r="AT17" s="120">
        <v>0</v>
      </c>
      <c r="AU17" s="120">
        <v>2.4</v>
      </c>
      <c r="AV17" s="120">
        <v>0</v>
      </c>
      <c r="AW17" s="120">
        <v>3.5979999999999999</v>
      </c>
      <c r="AX17" s="100">
        <f t="shared" si="0"/>
        <v>15.681333333333331</v>
      </c>
      <c r="AY17" s="120">
        <v>1.25</v>
      </c>
      <c r="AZ17" s="120">
        <v>0.6</v>
      </c>
      <c r="BA17" s="120">
        <v>1.85</v>
      </c>
      <c r="BB17" s="120">
        <v>1.08</v>
      </c>
      <c r="BC17" s="120">
        <v>0.99</v>
      </c>
      <c r="BD17" s="120">
        <v>1.73</v>
      </c>
      <c r="BE17" s="120">
        <v>1.85</v>
      </c>
      <c r="BF17" s="120">
        <v>0.6</v>
      </c>
      <c r="BG17" s="120">
        <v>0.6</v>
      </c>
      <c r="BH17" s="120">
        <v>4.666666666666667</v>
      </c>
      <c r="BI17" s="120">
        <v>3.15</v>
      </c>
      <c r="BJ17" s="120">
        <v>1.7666666666666666</v>
      </c>
      <c r="BK17" s="120">
        <v>0.7</v>
      </c>
      <c r="BL17" s="120">
        <v>0.5</v>
      </c>
      <c r="BM17" s="100">
        <f t="shared" si="1"/>
        <v>21.333333333333329</v>
      </c>
      <c r="BN17" s="120">
        <v>10.466666666666667</v>
      </c>
      <c r="BO17" s="120">
        <v>1.1000000000000001</v>
      </c>
      <c r="BP17" s="120">
        <v>2.2999999999999998</v>
      </c>
      <c r="BQ17" s="100">
        <f t="shared" si="2"/>
        <v>13.866666666666667</v>
      </c>
      <c r="BR17" s="120">
        <v>0</v>
      </c>
      <c r="BS17" s="99">
        <v>2</v>
      </c>
      <c r="BT17" s="120">
        <v>1</v>
      </c>
      <c r="BU17" s="120">
        <v>1</v>
      </c>
      <c r="BV17" s="120">
        <v>1</v>
      </c>
      <c r="BW17" s="120">
        <v>1</v>
      </c>
      <c r="BX17" s="99">
        <v>1</v>
      </c>
      <c r="BY17" s="99">
        <v>1</v>
      </c>
      <c r="BZ17" s="120">
        <v>3</v>
      </c>
      <c r="CA17" s="101">
        <f t="shared" si="3"/>
        <v>11</v>
      </c>
      <c r="CB17" s="99">
        <v>1.5</v>
      </c>
      <c r="CC17" s="99">
        <f>Table_14345[[#This Row],[PREAJUSTE
32]]+0.5</f>
        <v>2</v>
      </c>
      <c r="CD17" s="99"/>
      <c r="CE17" s="99">
        <f>Table_14345[[#This Row],[AJUSTADO
32]]-Table_14345[[#This Row],[DIFERENCIA
32]]</f>
        <v>2</v>
      </c>
      <c r="CF17" s="102">
        <v>0.6</v>
      </c>
      <c r="CG17" s="102">
        <f>Table_14345[[#This Row],[PREAJUSTE
38]]+0.5</f>
        <v>1.1000000000000001</v>
      </c>
      <c r="CH17" s="102">
        <f>Table_14345[[#This Row],[AJUSTADO
38]]-1</f>
        <v>0.10000000000000009</v>
      </c>
      <c r="CI17" s="102">
        <f>Table_14345[[#This Row],[AJUSTADO
38]]-Table_14345[[#This Row],[DIFERENCIA
38]]</f>
        <v>1</v>
      </c>
    </row>
    <row r="18" spans="2:87" x14ac:dyDescent="0.3">
      <c r="B18" s="103">
        <f>Table_14345[[#This Row],[Resultado IIP
2019]]</f>
        <v>50.93</v>
      </c>
      <c r="C18" s="104">
        <f>Table_14345[[#This Row],[Resultado IIP
2021]]</f>
        <v>60.82</v>
      </c>
      <c r="D18" s="104">
        <f>Table_14345[[#This Row],[Resultado IIP
2023]]</f>
        <v>60.34</v>
      </c>
      <c r="E18" s="105"/>
      <c r="F18" s="223">
        <f>Table_14345[[#This Row],[POSICIÓN
2019]]</f>
        <v>13</v>
      </c>
      <c r="G18" s="223">
        <f>Table_14345[[#This Row],[POSICIÓN
2021]]</f>
        <v>10</v>
      </c>
      <c r="H18" s="223">
        <f>Table_14345[[#This Row],[POSICIÓN
2023]]</f>
        <v>10</v>
      </c>
      <c r="I18" s="220">
        <v>13</v>
      </c>
      <c r="J18" s="106">
        <v>66.459999999999994</v>
      </c>
      <c r="K18" s="107">
        <v>32.19</v>
      </c>
      <c r="L18" s="107">
        <v>74</v>
      </c>
      <c r="M18" s="107">
        <v>29.41</v>
      </c>
      <c r="N18" s="201">
        <v>50.93</v>
      </c>
      <c r="O18" s="204">
        <v>10</v>
      </c>
      <c r="P18" s="108">
        <v>19.55</v>
      </c>
      <c r="Q18" s="109">
        <v>19.200000000000003</v>
      </c>
      <c r="R18" s="109">
        <v>15.649999999999999</v>
      </c>
      <c r="S18" s="109">
        <v>6.4200000000000008</v>
      </c>
      <c r="T18" s="110">
        <f>Table_14345[[#This Row],[COM 1 - 2021]]+Table_14345[[#This Row],[COM 2 - 2021]]+Table_14345[[#This Row],[COM 3 - 2021]]+Table_14345[[#This Row],[COM 4 - 2021]]</f>
        <v>60.82</v>
      </c>
      <c r="U18" s="111">
        <v>15</v>
      </c>
      <c r="V18" s="111">
        <v>18</v>
      </c>
      <c r="W18" s="111">
        <v>11</v>
      </c>
      <c r="X18" s="210">
        <v>10</v>
      </c>
      <c r="Y18" s="112">
        <f>Table_14345[[#This Row],[COM 1 - 2023]]+Table_14345[[#This Row],[COM 2 - 2023]]+Table_14345[[#This Row],[COM 3 - 2023]]+Table_14345[[#This Row],[COM 4 - 2023]]</f>
        <v>60.34</v>
      </c>
      <c r="Z18" s="113">
        <f>Table_14345[[#This Row],[COM 1 (sumatoria)]]</f>
        <v>17.880000000000003</v>
      </c>
      <c r="AA18" s="113">
        <f>Table_14345[[#This Row],[COM 2 (sumatoria)]]</f>
        <v>16.32</v>
      </c>
      <c r="AB18" s="113">
        <f>Table_14345[[#This Row],[COM 3 (sumatoria)]]</f>
        <v>16.34</v>
      </c>
      <c r="AC18" s="114">
        <f>Table_14345[[#This Row],[COM 4 (sumatoria)]]</f>
        <v>9.8000000000000007</v>
      </c>
      <c r="AD18" s="115">
        <f>Table_14345[[#This Row],[Resultado IIP
2023]]-Table_14345[[#This Row],[Resultado IIP
2021]]</f>
        <v>-0.47999999999999687</v>
      </c>
      <c r="AE18" s="116">
        <f>Table_14345[[#This Row],[COM 1 - 2023]]*100/25</f>
        <v>71.52000000000001</v>
      </c>
      <c r="AF18" s="116">
        <f>Table_14345[[#This Row],[COM 2 - 2023]]*100/35</f>
        <v>46.628571428571426</v>
      </c>
      <c r="AG18" s="116">
        <f>Table_14345[[#This Row],[COM 3 - 2023]]*100/25</f>
        <v>65.36</v>
      </c>
      <c r="AH18" s="116">
        <f>Table_14345[[#This Row],[COM 4 - 2023]]*100/15</f>
        <v>65.333333333333343</v>
      </c>
      <c r="AI18" s="117" t="s">
        <v>167</v>
      </c>
      <c r="AJ18" s="118" t="s">
        <v>179</v>
      </c>
      <c r="AK18" s="121">
        <v>0</v>
      </c>
      <c r="AL18" s="99">
        <v>3.7</v>
      </c>
      <c r="AM18" s="99">
        <v>0</v>
      </c>
      <c r="AN18" s="99">
        <v>0</v>
      </c>
      <c r="AO18" s="99">
        <v>0</v>
      </c>
      <c r="AP18" s="99">
        <v>1.9</v>
      </c>
      <c r="AQ18" s="99">
        <v>0</v>
      </c>
      <c r="AR18" s="99">
        <v>4</v>
      </c>
      <c r="AS18" s="99">
        <v>0</v>
      </c>
      <c r="AT18" s="99">
        <v>0</v>
      </c>
      <c r="AU18" s="99">
        <v>4.7</v>
      </c>
      <c r="AV18" s="99">
        <v>0</v>
      </c>
      <c r="AW18" s="99">
        <v>3.58</v>
      </c>
      <c r="AX18" s="100">
        <f t="shared" si="0"/>
        <v>17.880000000000003</v>
      </c>
      <c r="AY18" s="99">
        <v>1.25</v>
      </c>
      <c r="AZ18" s="99">
        <v>0.7</v>
      </c>
      <c r="BA18" s="99">
        <v>2.52</v>
      </c>
      <c r="BB18" s="99">
        <v>0.7</v>
      </c>
      <c r="BC18" s="99">
        <v>0.85</v>
      </c>
      <c r="BD18" s="99">
        <v>0</v>
      </c>
      <c r="BE18" s="99">
        <v>0</v>
      </c>
      <c r="BF18" s="99">
        <v>1</v>
      </c>
      <c r="BG18" s="99">
        <v>0.88</v>
      </c>
      <c r="BH18" s="99">
        <v>3.26</v>
      </c>
      <c r="BI18" s="99">
        <v>1.5</v>
      </c>
      <c r="BJ18" s="99">
        <v>2.56</v>
      </c>
      <c r="BK18" s="99">
        <v>0.6</v>
      </c>
      <c r="BL18" s="99">
        <v>0.5</v>
      </c>
      <c r="BM18" s="100">
        <f t="shared" si="1"/>
        <v>16.32</v>
      </c>
      <c r="BN18" s="99">
        <v>14.14</v>
      </c>
      <c r="BO18" s="99">
        <v>1.1000000000000001</v>
      </c>
      <c r="BP18" s="99">
        <v>1.1000000000000001</v>
      </c>
      <c r="BQ18" s="100">
        <f t="shared" si="2"/>
        <v>16.34</v>
      </c>
      <c r="BR18" s="99">
        <v>0</v>
      </c>
      <c r="BS18" s="99">
        <v>3</v>
      </c>
      <c r="BT18" s="99">
        <v>0.4</v>
      </c>
      <c r="BU18" s="99">
        <v>0.4</v>
      </c>
      <c r="BV18" s="99">
        <v>0.4</v>
      </c>
      <c r="BW18" s="99">
        <v>0</v>
      </c>
      <c r="BX18" s="99">
        <v>0.4</v>
      </c>
      <c r="BY18" s="99">
        <v>1</v>
      </c>
      <c r="BZ18" s="99">
        <v>4.2</v>
      </c>
      <c r="CA18" s="101">
        <f t="shared" si="3"/>
        <v>9.8000000000000007</v>
      </c>
      <c r="CB18" s="99">
        <v>3</v>
      </c>
      <c r="CC18" s="99">
        <f>Table_14345[[#This Row],[PREAJUSTE
32]]+0.5</f>
        <v>3.5</v>
      </c>
      <c r="CD18" s="99">
        <f>Table_14345[[#This Row],[AJUSTADO
32]]-3</f>
        <v>0.5</v>
      </c>
      <c r="CE18" s="99">
        <f>Table_14345[[#This Row],[AJUSTADO
32]]-Table_14345[[#This Row],[DIFERENCIA
32]]</f>
        <v>3</v>
      </c>
      <c r="CF18" s="102">
        <v>1</v>
      </c>
      <c r="CG18" s="102">
        <f>Table_14345[[#This Row],[PREAJUSTE
38]]+0.5</f>
        <v>1.5</v>
      </c>
      <c r="CH18" s="102">
        <f>Table_14345[[#This Row],[AJUSTADO
38]]-1</f>
        <v>0.5</v>
      </c>
      <c r="CI18" s="102">
        <f>Table_14345[[#This Row],[AJUSTADO
38]]-Table_14345[[#This Row],[DIFERENCIA
38]]</f>
        <v>1</v>
      </c>
    </row>
    <row r="19" spans="2:87" x14ac:dyDescent="0.3">
      <c r="B19" s="103">
        <f>Table_14345[[#This Row],[Resultado IIP
2019]]</f>
        <v>58.22</v>
      </c>
      <c r="C19" s="104">
        <f>Table_14345[[#This Row],[Resultado IIP
2021]]</f>
        <v>62.300000000000004</v>
      </c>
      <c r="D19" s="104">
        <f>Table_14345[[#This Row],[Resultado IIP
2023]]</f>
        <v>59.889999999999993</v>
      </c>
      <c r="E19" s="105"/>
      <c r="F19" s="223">
        <f>Table_14345[[#This Row],[POSICIÓN
2019]]</f>
        <v>3</v>
      </c>
      <c r="G19" s="223">
        <f>Table_14345[[#This Row],[POSICIÓN
2021]]</f>
        <v>8</v>
      </c>
      <c r="H19" s="223">
        <f>Table_14345[[#This Row],[POSICIÓN
2023]]</f>
        <v>11</v>
      </c>
      <c r="I19" s="220">
        <v>3</v>
      </c>
      <c r="J19" s="106">
        <v>65.709999999999994</v>
      </c>
      <c r="K19" s="107">
        <v>60.84</v>
      </c>
      <c r="L19" s="107">
        <v>66.67</v>
      </c>
      <c r="M19" s="107">
        <v>7.84</v>
      </c>
      <c r="N19" s="201">
        <v>58.22</v>
      </c>
      <c r="O19" s="204">
        <v>8</v>
      </c>
      <c r="P19" s="108">
        <v>16.600000000000001</v>
      </c>
      <c r="Q19" s="109">
        <v>22.4</v>
      </c>
      <c r="R19" s="109">
        <v>17.2</v>
      </c>
      <c r="S19" s="109">
        <v>6.1</v>
      </c>
      <c r="T19" s="110">
        <f>Table_14345[[#This Row],[COM 1 - 2021]]+Table_14345[[#This Row],[COM 2 - 2021]]+Table_14345[[#This Row],[COM 3 - 2021]]+Table_14345[[#This Row],[COM 4 - 2021]]</f>
        <v>62.300000000000004</v>
      </c>
      <c r="U19" s="111">
        <v>14</v>
      </c>
      <c r="V19" s="111">
        <v>14</v>
      </c>
      <c r="W19" s="111">
        <v>12</v>
      </c>
      <c r="X19" s="210">
        <v>11</v>
      </c>
      <c r="Y19" s="112">
        <f>Table_14345[[#This Row],[COM 1 - 2023]]+Table_14345[[#This Row],[COM 2 - 2023]]+Table_14345[[#This Row],[COM 3 - 2023]]+Table_14345[[#This Row],[COM 4 - 2023]]</f>
        <v>59.889999999999993</v>
      </c>
      <c r="Z19" s="113">
        <f>Table_14345[[#This Row],[COM 1 (sumatoria)]]</f>
        <v>19.766666666666666</v>
      </c>
      <c r="AA19" s="113">
        <f>Table_14345[[#This Row],[COM 2 (sumatoria)]]</f>
        <v>20.673333333333336</v>
      </c>
      <c r="AB19" s="113">
        <f>Table_14345[[#This Row],[COM 3 (sumatoria)]]</f>
        <v>12.049999999999999</v>
      </c>
      <c r="AC19" s="114">
        <f>Table_14345[[#This Row],[COM 4 (sumatoria)]]</f>
        <v>7.4</v>
      </c>
      <c r="AD19" s="115">
        <f>Table_14345[[#This Row],[Resultado IIP
2023]]-Table_14345[[#This Row],[Resultado IIP
2021]]</f>
        <v>-2.4100000000000108</v>
      </c>
      <c r="AE19" s="116">
        <f>Table_14345[[#This Row],[COM 1 - 2023]]*100/25</f>
        <v>79.066666666666663</v>
      </c>
      <c r="AF19" s="116">
        <f>Table_14345[[#This Row],[COM 2 - 2023]]*100/35</f>
        <v>59.06666666666667</v>
      </c>
      <c r="AG19" s="116">
        <f>Table_14345[[#This Row],[COM 3 - 2023]]*100/25</f>
        <v>48.2</v>
      </c>
      <c r="AH19" s="116">
        <f>Table_14345[[#This Row],[COM 4 - 2023]]*100/15</f>
        <v>49.333333333333336</v>
      </c>
      <c r="AI19" s="117" t="s">
        <v>167</v>
      </c>
      <c r="AJ19" s="118" t="s">
        <v>180</v>
      </c>
      <c r="AK19" s="119">
        <v>0</v>
      </c>
      <c r="AL19" s="99">
        <v>2.6</v>
      </c>
      <c r="AM19" s="120">
        <v>0</v>
      </c>
      <c r="AN19" s="120">
        <v>3.3</v>
      </c>
      <c r="AO19" s="120">
        <v>0</v>
      </c>
      <c r="AP19" s="120">
        <v>3.7</v>
      </c>
      <c r="AQ19" s="120">
        <v>0</v>
      </c>
      <c r="AR19" s="120">
        <v>3</v>
      </c>
      <c r="AS19" s="120">
        <v>0</v>
      </c>
      <c r="AT19" s="120">
        <v>0</v>
      </c>
      <c r="AU19" s="120">
        <v>4.7</v>
      </c>
      <c r="AV19" s="120">
        <v>0</v>
      </c>
      <c r="AW19" s="120">
        <v>2.4666666666666668</v>
      </c>
      <c r="AX19" s="100">
        <f t="shared" si="0"/>
        <v>19.766666666666666</v>
      </c>
      <c r="AY19" s="120">
        <v>1.25</v>
      </c>
      <c r="AZ19" s="120">
        <v>0.47</v>
      </c>
      <c r="BA19" s="120">
        <v>1.8</v>
      </c>
      <c r="BB19" s="120">
        <v>0.8</v>
      </c>
      <c r="BC19" s="120">
        <v>1.08</v>
      </c>
      <c r="BD19" s="120">
        <v>2.25</v>
      </c>
      <c r="BE19" s="120">
        <v>1.9</v>
      </c>
      <c r="BF19" s="120">
        <v>0.91999999999999993</v>
      </c>
      <c r="BG19" s="120">
        <v>0.66999999999999993</v>
      </c>
      <c r="BH19" s="120">
        <v>3.25</v>
      </c>
      <c r="BI19" s="99">
        <v>3.15</v>
      </c>
      <c r="BJ19" s="120">
        <v>1.5333333333333334</v>
      </c>
      <c r="BK19" s="120">
        <v>0.5</v>
      </c>
      <c r="BL19" s="120">
        <v>1.1000000000000001</v>
      </c>
      <c r="BM19" s="100">
        <f t="shared" si="1"/>
        <v>20.673333333333336</v>
      </c>
      <c r="BN19" s="120">
        <v>10.95</v>
      </c>
      <c r="BO19" s="120">
        <v>1.1000000000000001</v>
      </c>
      <c r="BP19" s="120">
        <v>0</v>
      </c>
      <c r="BQ19" s="100">
        <f t="shared" si="2"/>
        <v>12.049999999999999</v>
      </c>
      <c r="BR19" s="120">
        <v>0</v>
      </c>
      <c r="BS19" s="99">
        <v>2.9</v>
      </c>
      <c r="BT19" s="120">
        <v>1</v>
      </c>
      <c r="BU19" s="120">
        <v>1</v>
      </c>
      <c r="BV19" s="120">
        <v>1</v>
      </c>
      <c r="BW19" s="120">
        <v>1</v>
      </c>
      <c r="BX19" s="99">
        <v>0</v>
      </c>
      <c r="BY19" s="99">
        <v>0.5</v>
      </c>
      <c r="BZ19" s="120">
        <v>0</v>
      </c>
      <c r="CA19" s="101">
        <f t="shared" si="3"/>
        <v>7.4</v>
      </c>
      <c r="CB19" s="99">
        <v>2.4</v>
      </c>
      <c r="CC19" s="99">
        <f>Table_14345[[#This Row],[PREAJUSTE
32]]+0.5</f>
        <v>2.9</v>
      </c>
      <c r="CD19" s="99"/>
      <c r="CE19" s="99">
        <f>Table_14345[[#This Row],[AJUSTADO
32]]-Table_14345[[#This Row],[DIFERENCIA
32]]</f>
        <v>2.9</v>
      </c>
      <c r="CF19" s="102">
        <v>0</v>
      </c>
      <c r="CG19" s="102">
        <f>Table_14345[[#This Row],[PREAJUSTE
38]]+0.5</f>
        <v>0.5</v>
      </c>
      <c r="CH19" s="102"/>
      <c r="CI19" s="102">
        <f>Table_14345[[#This Row],[AJUSTADO
38]]-Table_14345[[#This Row],[DIFERENCIA
38]]</f>
        <v>0.5</v>
      </c>
    </row>
    <row r="20" spans="2:87" x14ac:dyDescent="0.3">
      <c r="B20" s="103">
        <f>Table_14345[[#This Row],[Resultado IIP
2019]]</f>
        <v>49.91</v>
      </c>
      <c r="C20" s="104">
        <f>Table_14345[[#This Row],[Resultado IIP
2021]]</f>
        <v>55.045999999999999</v>
      </c>
      <c r="D20" s="104">
        <f>Table_14345[[#This Row],[Resultado IIP
2023]]</f>
        <v>59.141249999999999</v>
      </c>
      <c r="E20" s="105"/>
      <c r="F20" s="223">
        <f>Table_14345[[#This Row],[POSICIÓN
2019]]</f>
        <v>14</v>
      </c>
      <c r="G20" s="223">
        <f>Table_14345[[#This Row],[POSICIÓN
2021]]</f>
        <v>14</v>
      </c>
      <c r="H20" s="223">
        <f>Table_14345[[#This Row],[POSICIÓN
2023]]</f>
        <v>12</v>
      </c>
      <c r="I20" s="219">
        <v>14</v>
      </c>
      <c r="J20" s="106">
        <v>47.58</v>
      </c>
      <c r="K20" s="107">
        <v>55.6</v>
      </c>
      <c r="L20" s="107">
        <v>51.33</v>
      </c>
      <c r="M20" s="107">
        <v>29.41</v>
      </c>
      <c r="N20" s="201">
        <v>49.91</v>
      </c>
      <c r="O20" s="203">
        <v>14</v>
      </c>
      <c r="P20" s="108">
        <v>15.1</v>
      </c>
      <c r="Q20" s="109">
        <v>21.250000000000004</v>
      </c>
      <c r="R20" s="109">
        <v>12.75</v>
      </c>
      <c r="S20" s="109">
        <v>5.9460000000000006</v>
      </c>
      <c r="T20" s="110">
        <f>Table_14345[[#This Row],[COM 1 - 2021]]+Table_14345[[#This Row],[COM 2 - 2021]]+Table_14345[[#This Row],[COM 3 - 2021]]+Table_14345[[#This Row],[COM 4 - 2021]]</f>
        <v>55.045999999999999</v>
      </c>
      <c r="U20" s="91">
        <v>17</v>
      </c>
      <c r="V20" s="91">
        <v>16</v>
      </c>
      <c r="W20" s="123">
        <v>14</v>
      </c>
      <c r="X20" s="209">
        <v>12</v>
      </c>
      <c r="Y20" s="112">
        <f>Table_14345[[#This Row],[COM 1 - 2023]]+Table_14345[[#This Row],[COM 2 - 2023]]+Table_14345[[#This Row],[COM 3 - 2023]]+Table_14345[[#This Row],[COM 4 - 2023]]</f>
        <v>59.141249999999999</v>
      </c>
      <c r="Z20" s="113">
        <f>Table_14345[[#This Row],[COM 1 (sumatoria)]]</f>
        <v>13.811250000000001</v>
      </c>
      <c r="AA20" s="113">
        <f>Table_14345[[#This Row],[COM 2 (sumatoria)]]</f>
        <v>21.191111111111113</v>
      </c>
      <c r="AB20" s="113">
        <f>Table_14345[[#This Row],[COM 3 (sumatoria)]]</f>
        <v>13.588888888888889</v>
      </c>
      <c r="AC20" s="114">
        <f>Table_14345[[#This Row],[COM 4 (sumatoria)]]</f>
        <v>10.55</v>
      </c>
      <c r="AD20" s="115">
        <f>Table_14345[[#This Row],[Resultado IIP
2023]]-Table_14345[[#This Row],[Resultado IIP
2021]]</f>
        <v>4.0952500000000001</v>
      </c>
      <c r="AE20" s="116">
        <f>Table_14345[[#This Row],[COM 1 - 2023]]*100/25</f>
        <v>55.244999999999997</v>
      </c>
      <c r="AF20" s="116">
        <f>Table_14345[[#This Row],[COM 2 - 2023]]*100/35</f>
        <v>60.546031746031751</v>
      </c>
      <c r="AG20" s="116">
        <f>Table_14345[[#This Row],[COM 3 - 2023]]*100/25</f>
        <v>54.355555555555554</v>
      </c>
      <c r="AH20" s="116">
        <f>Table_14345[[#This Row],[COM 4 - 2023]]*100/15</f>
        <v>70.333333333333329</v>
      </c>
      <c r="AI20" s="117" t="s">
        <v>167</v>
      </c>
      <c r="AJ20" s="118" t="s">
        <v>181</v>
      </c>
      <c r="AK20" s="121">
        <v>0</v>
      </c>
      <c r="AL20" s="99">
        <v>4</v>
      </c>
      <c r="AM20" s="99">
        <v>0</v>
      </c>
      <c r="AN20" s="99">
        <v>0</v>
      </c>
      <c r="AO20" s="99">
        <v>0</v>
      </c>
      <c r="AP20" s="99">
        <v>2.6500000000000004</v>
      </c>
      <c r="AQ20" s="99">
        <v>0</v>
      </c>
      <c r="AR20" s="99">
        <v>1.95</v>
      </c>
      <c r="AS20" s="99">
        <v>0</v>
      </c>
      <c r="AT20" s="99">
        <v>0</v>
      </c>
      <c r="AU20" s="99">
        <v>1.8</v>
      </c>
      <c r="AV20" s="99">
        <v>0</v>
      </c>
      <c r="AW20" s="99">
        <v>3.4112499999999999</v>
      </c>
      <c r="AX20" s="100">
        <f t="shared" si="0"/>
        <v>13.811250000000001</v>
      </c>
      <c r="AY20" s="99">
        <v>1</v>
      </c>
      <c r="AZ20" s="99">
        <v>0.5</v>
      </c>
      <c r="BA20" s="99">
        <v>1.5999999999999999</v>
      </c>
      <c r="BB20" s="99">
        <v>0.78</v>
      </c>
      <c r="BC20" s="99">
        <v>0.7</v>
      </c>
      <c r="BD20" s="99">
        <v>2.81</v>
      </c>
      <c r="BE20" s="99">
        <v>2.2000000000000002</v>
      </c>
      <c r="BF20" s="99">
        <v>0.84000000000000008</v>
      </c>
      <c r="BG20" s="99">
        <v>0.75</v>
      </c>
      <c r="BH20" s="99">
        <v>4.4444444444444446</v>
      </c>
      <c r="BI20" s="99">
        <v>2.1</v>
      </c>
      <c r="BJ20" s="99">
        <v>1.8</v>
      </c>
      <c r="BK20" s="99">
        <v>0.56666666666666665</v>
      </c>
      <c r="BL20" s="99">
        <v>1.1000000000000001</v>
      </c>
      <c r="BM20" s="100">
        <f t="shared" si="1"/>
        <v>21.191111111111113</v>
      </c>
      <c r="BN20" s="99">
        <v>12.488888888888889</v>
      </c>
      <c r="BO20" s="99">
        <v>1.1000000000000001</v>
      </c>
      <c r="BP20" s="99">
        <v>0</v>
      </c>
      <c r="BQ20" s="100">
        <f t="shared" si="2"/>
        <v>13.588888888888889</v>
      </c>
      <c r="BR20" s="99">
        <v>0</v>
      </c>
      <c r="BS20" s="99">
        <v>2.2999999999999998</v>
      </c>
      <c r="BT20" s="99">
        <v>0.95</v>
      </c>
      <c r="BU20" s="99">
        <v>0.95</v>
      </c>
      <c r="BV20" s="99">
        <v>1</v>
      </c>
      <c r="BW20" s="99">
        <v>1</v>
      </c>
      <c r="BX20" s="99">
        <v>0.95</v>
      </c>
      <c r="BY20" s="99">
        <v>1</v>
      </c>
      <c r="BZ20" s="99">
        <v>2.4</v>
      </c>
      <c r="CA20" s="101">
        <f t="shared" si="3"/>
        <v>10.55</v>
      </c>
      <c r="CB20" s="99">
        <v>1.8</v>
      </c>
      <c r="CC20" s="99">
        <f>Table_14345[[#This Row],[PREAJUSTE
32]]+0.5</f>
        <v>2.2999999999999998</v>
      </c>
      <c r="CD20" s="99"/>
      <c r="CE20" s="99">
        <f>Table_14345[[#This Row],[AJUSTADO
32]]-Table_14345[[#This Row],[DIFERENCIA
32]]</f>
        <v>2.2999999999999998</v>
      </c>
      <c r="CF20" s="102">
        <v>0.5</v>
      </c>
      <c r="CG20" s="102">
        <f>Table_14345[[#This Row],[PREAJUSTE
38]]+0.5</f>
        <v>1</v>
      </c>
      <c r="CH20" s="102"/>
      <c r="CI20" s="102">
        <f>Table_14345[[#This Row],[AJUSTADO
38]]-Table_14345[[#This Row],[DIFERENCIA
38]]</f>
        <v>1</v>
      </c>
    </row>
    <row r="21" spans="2:87" x14ac:dyDescent="0.3">
      <c r="B21" s="103">
        <f>Table_14345[[#This Row],[Resultado IIP
2019]]</f>
        <v>57.88</v>
      </c>
      <c r="C21" s="104">
        <f>Table_14345[[#This Row],[Resultado IIP
2021]]</f>
        <v>61.649999999999991</v>
      </c>
      <c r="D21" s="104">
        <f>Table_14345[[#This Row],[Resultado IIP
2023]]</f>
        <v>58.99666666666667</v>
      </c>
      <c r="E21" s="105"/>
      <c r="F21" s="223">
        <f>Table_14345[[#This Row],[POSICIÓN
2019]]</f>
        <v>4</v>
      </c>
      <c r="G21" s="223">
        <f>Table_14345[[#This Row],[POSICIÓN
2021]]</f>
        <v>9</v>
      </c>
      <c r="H21" s="223">
        <f>Table_14345[[#This Row],[POSICIÓN
2023]]</f>
        <v>13</v>
      </c>
      <c r="I21" s="220">
        <v>4</v>
      </c>
      <c r="J21" s="106">
        <v>55.37</v>
      </c>
      <c r="K21" s="107">
        <v>48.81</v>
      </c>
      <c r="L21" s="107">
        <v>80</v>
      </c>
      <c r="M21" s="107">
        <v>45.1</v>
      </c>
      <c r="N21" s="201">
        <v>57.88</v>
      </c>
      <c r="O21" s="204">
        <v>9</v>
      </c>
      <c r="P21" s="108">
        <v>14.700000000000001</v>
      </c>
      <c r="Q21" s="109">
        <v>22.139999999999997</v>
      </c>
      <c r="R21" s="109">
        <v>15.15</v>
      </c>
      <c r="S21" s="109">
        <v>9.66</v>
      </c>
      <c r="T21" s="110">
        <f>Table_14345[[#This Row],[COM 1 - 2021]]+Table_14345[[#This Row],[COM 2 - 2021]]+Table_14345[[#This Row],[COM 3 - 2021]]+Table_14345[[#This Row],[COM 4 - 2021]]</f>
        <v>61.649999999999991</v>
      </c>
      <c r="U21" s="111">
        <v>16</v>
      </c>
      <c r="V21" s="111">
        <v>15</v>
      </c>
      <c r="W21" s="124">
        <v>13</v>
      </c>
      <c r="X21" s="210">
        <v>13</v>
      </c>
      <c r="Y21" s="112">
        <f>Table_14345[[#This Row],[COM 1 - 2023]]+Table_14345[[#This Row],[COM 2 - 2023]]+Table_14345[[#This Row],[COM 3 - 2023]]+Table_14345[[#This Row],[COM 4 - 2023]]</f>
        <v>58.99666666666667</v>
      </c>
      <c r="Z21" s="113">
        <f>Table_14345[[#This Row],[COM 1 (sumatoria)]]</f>
        <v>15.18</v>
      </c>
      <c r="AA21" s="113">
        <f>Table_14345[[#This Row],[COM 2 (sumatoria)]]</f>
        <v>18.233333333333334</v>
      </c>
      <c r="AB21" s="113">
        <f>Table_14345[[#This Row],[COM 3 (sumatoria)]]</f>
        <v>13.733333333333333</v>
      </c>
      <c r="AC21" s="114">
        <f>Table_14345[[#This Row],[COM 4 (sumatoria)]]</f>
        <v>11.85</v>
      </c>
      <c r="AD21" s="115">
        <f>Table_14345[[#This Row],[Resultado IIP
2023]]-Table_14345[[#This Row],[Resultado IIP
2021]]</f>
        <v>-2.6533333333333218</v>
      </c>
      <c r="AE21" s="116">
        <f>Table_14345[[#This Row],[COM 1 - 2023]]*100/25</f>
        <v>60.72</v>
      </c>
      <c r="AF21" s="116">
        <f>Table_14345[[#This Row],[COM 2 - 2023]]*100/35</f>
        <v>52.095238095238102</v>
      </c>
      <c r="AG21" s="116">
        <f>Table_14345[[#This Row],[COM 3 - 2023]]*100/25</f>
        <v>54.93333333333333</v>
      </c>
      <c r="AH21" s="116">
        <f>Table_14345[[#This Row],[COM 4 - 2023]]*100/15</f>
        <v>79</v>
      </c>
      <c r="AI21" s="117" t="s">
        <v>167</v>
      </c>
      <c r="AJ21" s="118" t="s">
        <v>182</v>
      </c>
      <c r="AK21" s="119">
        <v>0</v>
      </c>
      <c r="AL21" s="99">
        <v>4</v>
      </c>
      <c r="AM21" s="120">
        <v>0</v>
      </c>
      <c r="AN21" s="120">
        <v>1.4</v>
      </c>
      <c r="AO21" s="120">
        <v>0</v>
      </c>
      <c r="AP21" s="120">
        <v>2.6500000000000004</v>
      </c>
      <c r="AQ21" s="120">
        <v>0</v>
      </c>
      <c r="AR21" s="120">
        <v>1.95</v>
      </c>
      <c r="AS21" s="120">
        <v>0</v>
      </c>
      <c r="AT21" s="120">
        <v>0</v>
      </c>
      <c r="AU21" s="120">
        <v>2.1</v>
      </c>
      <c r="AV21" s="120">
        <v>0</v>
      </c>
      <c r="AW21" s="120">
        <v>3.08</v>
      </c>
      <c r="AX21" s="100">
        <f t="shared" si="0"/>
        <v>15.18</v>
      </c>
      <c r="AY21" s="120">
        <v>2.25</v>
      </c>
      <c r="AZ21" s="120">
        <v>1</v>
      </c>
      <c r="BA21" s="120">
        <v>1.45</v>
      </c>
      <c r="BB21" s="120">
        <v>0.6</v>
      </c>
      <c r="BC21" s="120">
        <v>0.75</v>
      </c>
      <c r="BD21" s="120">
        <v>2.7</v>
      </c>
      <c r="BE21" s="120">
        <v>1.5</v>
      </c>
      <c r="BF21" s="120">
        <v>0.6</v>
      </c>
      <c r="BG21" s="120">
        <v>0.9</v>
      </c>
      <c r="BH21" s="120">
        <v>2</v>
      </c>
      <c r="BI21" s="99">
        <v>1.2</v>
      </c>
      <c r="BJ21" s="120">
        <v>1.5</v>
      </c>
      <c r="BK21" s="120">
        <v>0.68333333333333335</v>
      </c>
      <c r="BL21" s="120">
        <v>1.1000000000000001</v>
      </c>
      <c r="BM21" s="100">
        <f t="shared" si="1"/>
        <v>18.233333333333334</v>
      </c>
      <c r="BN21" s="120">
        <v>11.533333333333333</v>
      </c>
      <c r="BO21" s="120">
        <v>1.1000000000000001</v>
      </c>
      <c r="BP21" s="120">
        <v>1.1000000000000001</v>
      </c>
      <c r="BQ21" s="100">
        <f t="shared" si="2"/>
        <v>13.733333333333333</v>
      </c>
      <c r="BR21" s="120">
        <v>0</v>
      </c>
      <c r="BS21" s="99">
        <v>2.2999999999999998</v>
      </c>
      <c r="BT21" s="120">
        <v>1</v>
      </c>
      <c r="BU21" s="120">
        <v>1</v>
      </c>
      <c r="BV21" s="120">
        <v>0.95</v>
      </c>
      <c r="BW21" s="120">
        <v>1</v>
      </c>
      <c r="BX21" s="99">
        <v>1</v>
      </c>
      <c r="BY21" s="99">
        <v>1</v>
      </c>
      <c r="BZ21" s="120">
        <v>3.6</v>
      </c>
      <c r="CA21" s="101">
        <f t="shared" si="3"/>
        <v>11.85</v>
      </c>
      <c r="CB21" s="99">
        <v>1.8</v>
      </c>
      <c r="CC21" s="99">
        <f>Table_14345[[#This Row],[PREAJUSTE
32]]+0.5</f>
        <v>2.2999999999999998</v>
      </c>
      <c r="CD21" s="99"/>
      <c r="CE21" s="99">
        <f>Table_14345[[#This Row],[AJUSTADO
32]]-Table_14345[[#This Row],[DIFERENCIA
32]]</f>
        <v>2.2999999999999998</v>
      </c>
      <c r="CF21" s="102">
        <v>0.8</v>
      </c>
      <c r="CG21" s="102">
        <f>Table_14345[[#This Row],[PREAJUSTE
38]]+0.5</f>
        <v>1.3</v>
      </c>
      <c r="CH21" s="102">
        <f>Table_14345[[#This Row],[AJUSTADO
38]]-1</f>
        <v>0.30000000000000004</v>
      </c>
      <c r="CI21" s="102">
        <f>Table_14345[[#This Row],[AJUSTADO
38]]-Table_14345[[#This Row],[DIFERENCIA
38]]</f>
        <v>1</v>
      </c>
    </row>
    <row r="22" spans="2:87" x14ac:dyDescent="0.3">
      <c r="B22" s="103">
        <f>Table_14345[[#This Row],[Resultado IIP
2019]]</f>
        <v>0</v>
      </c>
      <c r="C22" s="104">
        <f>Table_14345[[#This Row],[Resultado IIP
2021]]</f>
        <v>40.680000000000007</v>
      </c>
      <c r="D22" s="104">
        <f>Table_14345[[#This Row],[Resultado IIP
2023]]</f>
        <v>58.59</v>
      </c>
      <c r="E22" s="105"/>
      <c r="F22" s="223"/>
      <c r="G22" s="223">
        <f>Table_14345[[#This Row],[POSICIÓN
2021]]</f>
        <v>29</v>
      </c>
      <c r="H22" s="223">
        <f>Table_14345[[#This Row],[POSICIÓN
2023]]</f>
        <v>14</v>
      </c>
      <c r="I22" s="220"/>
      <c r="J22" s="106"/>
      <c r="K22" s="107"/>
      <c r="L22" s="107"/>
      <c r="M22" s="107"/>
      <c r="N22" s="201"/>
      <c r="O22" s="204">
        <v>29</v>
      </c>
      <c r="P22" s="108">
        <v>12.05</v>
      </c>
      <c r="Q22" s="109">
        <v>14.65</v>
      </c>
      <c r="R22" s="109">
        <v>8</v>
      </c>
      <c r="S22" s="109">
        <v>5.98</v>
      </c>
      <c r="T22" s="110">
        <f>Table_14345[[#This Row],[COM 1 - 2021]]+Table_14345[[#This Row],[COM 2 - 2021]]+Table_14345[[#This Row],[COM 3 - 2021]]+Table_14345[[#This Row],[COM 4 - 2021]]</f>
        <v>40.680000000000007</v>
      </c>
      <c r="U22" s="111">
        <v>20</v>
      </c>
      <c r="V22" s="111">
        <v>19</v>
      </c>
      <c r="W22" s="111">
        <v>15</v>
      </c>
      <c r="X22" s="210">
        <v>14</v>
      </c>
      <c r="Y22" s="112">
        <f>Table_14345[[#This Row],[COM 1 - 2023]]+Table_14345[[#This Row],[COM 2 - 2023]]+Table_14345[[#This Row],[COM 3 - 2023]]+Table_14345[[#This Row],[COM 4 - 2023]]</f>
        <v>58.59</v>
      </c>
      <c r="Z22" s="113">
        <f>Table_14345[[#This Row],[COM 1 (sumatoria)]]</f>
        <v>18.11</v>
      </c>
      <c r="AA22" s="113">
        <f>Table_14345[[#This Row],[COM 2 (sumatoria)]]</f>
        <v>18.350000000000001</v>
      </c>
      <c r="AB22" s="113">
        <f>Table_14345[[#This Row],[COM 3 (sumatoria)]]</f>
        <v>12.530000000000001</v>
      </c>
      <c r="AC22" s="114">
        <f>Table_14345[[#This Row],[COM 4 (sumatoria)]]</f>
        <v>9.6</v>
      </c>
      <c r="AD22" s="115">
        <f>Table_14345[[#This Row],[Resultado IIP
2023]]-Table_14345[[#This Row],[Resultado IIP
2021]]</f>
        <v>17.909999999999997</v>
      </c>
      <c r="AE22" s="116">
        <f>Table_14345[[#This Row],[COM 1 - 2023]]*100/25</f>
        <v>72.44</v>
      </c>
      <c r="AF22" s="116">
        <f>Table_14345[[#This Row],[COM 2 - 2023]]*100/35</f>
        <v>52.428571428571438</v>
      </c>
      <c r="AG22" s="116">
        <f>Table_14345[[#This Row],[COM 3 - 2023]]*100/25</f>
        <v>50.12</v>
      </c>
      <c r="AH22" s="116">
        <f>Table_14345[[#This Row],[COM 4 - 2023]]*100/15</f>
        <v>64</v>
      </c>
      <c r="AI22" s="117" t="s">
        <v>167</v>
      </c>
      <c r="AJ22" s="118" t="s">
        <v>183</v>
      </c>
      <c r="AK22" s="121">
        <v>0</v>
      </c>
      <c r="AL22" s="99">
        <v>2.91</v>
      </c>
      <c r="AM22" s="99">
        <v>0</v>
      </c>
      <c r="AN22" s="99">
        <v>3</v>
      </c>
      <c r="AO22" s="99">
        <v>0</v>
      </c>
      <c r="AP22" s="99">
        <v>3.35</v>
      </c>
      <c r="AQ22" s="99">
        <v>0</v>
      </c>
      <c r="AR22" s="99">
        <v>3</v>
      </c>
      <c r="AS22" s="99">
        <v>0</v>
      </c>
      <c r="AT22" s="99">
        <v>0</v>
      </c>
      <c r="AU22" s="99">
        <v>3.4</v>
      </c>
      <c r="AV22" s="99">
        <v>0</v>
      </c>
      <c r="AW22" s="99">
        <v>2.4500000000000002</v>
      </c>
      <c r="AX22" s="100">
        <f t="shared" si="0"/>
        <v>18.11</v>
      </c>
      <c r="AY22" s="99">
        <v>0</v>
      </c>
      <c r="AZ22" s="99">
        <v>0.6</v>
      </c>
      <c r="BA22" s="99">
        <v>2.15</v>
      </c>
      <c r="BB22" s="99">
        <v>0.7</v>
      </c>
      <c r="BC22" s="99">
        <v>0.9</v>
      </c>
      <c r="BD22" s="99">
        <v>1.85</v>
      </c>
      <c r="BE22" s="99">
        <v>2.4300000000000002</v>
      </c>
      <c r="BF22" s="99">
        <v>0.9</v>
      </c>
      <c r="BG22" s="99">
        <v>0.85</v>
      </c>
      <c r="BH22" s="99">
        <v>2.77</v>
      </c>
      <c r="BI22" s="99">
        <v>2.9</v>
      </c>
      <c r="BJ22" s="99">
        <v>1.7</v>
      </c>
      <c r="BK22" s="99">
        <v>0.6</v>
      </c>
      <c r="BL22" s="99">
        <v>0</v>
      </c>
      <c r="BM22" s="100">
        <f t="shared" si="1"/>
        <v>18.350000000000001</v>
      </c>
      <c r="BN22" s="99">
        <v>9.1300000000000008</v>
      </c>
      <c r="BO22" s="99">
        <v>1.1000000000000001</v>
      </c>
      <c r="BP22" s="99">
        <v>2.2999999999999998</v>
      </c>
      <c r="BQ22" s="100">
        <f t="shared" si="2"/>
        <v>12.530000000000001</v>
      </c>
      <c r="BR22" s="99">
        <v>0</v>
      </c>
      <c r="BS22" s="99">
        <v>1.5</v>
      </c>
      <c r="BT22" s="99">
        <v>1</v>
      </c>
      <c r="BU22" s="99">
        <v>1</v>
      </c>
      <c r="BV22" s="99">
        <v>0.85000000000000009</v>
      </c>
      <c r="BW22" s="99">
        <v>0.95</v>
      </c>
      <c r="BX22" s="99">
        <v>0.95</v>
      </c>
      <c r="BY22" s="99">
        <v>0.95</v>
      </c>
      <c r="BZ22" s="99">
        <v>2.4</v>
      </c>
      <c r="CA22" s="101">
        <f t="shared" si="3"/>
        <v>9.6</v>
      </c>
      <c r="CB22" s="99">
        <v>1</v>
      </c>
      <c r="CC22" s="99">
        <f>Table_14345[[#This Row],[PREAJUSTE
32]]+0.5</f>
        <v>1.5</v>
      </c>
      <c r="CD22" s="99"/>
      <c r="CE22" s="99">
        <f>Table_14345[[#This Row],[AJUSTADO
32]]-Table_14345[[#This Row],[DIFERENCIA
32]]</f>
        <v>1.5</v>
      </c>
      <c r="CF22" s="102">
        <v>0.45</v>
      </c>
      <c r="CG22" s="102">
        <f>Table_14345[[#This Row],[PREAJUSTE
38]]+0.5</f>
        <v>0.95</v>
      </c>
      <c r="CH22" s="102"/>
      <c r="CI22" s="102">
        <f>Table_14345[[#This Row],[AJUSTADO
38]]-Table_14345[[#This Row],[DIFERENCIA
38]]</f>
        <v>0.95</v>
      </c>
    </row>
    <row r="23" spans="2:87" x14ac:dyDescent="0.3">
      <c r="B23" s="103">
        <f>Table_14345[[#This Row],[Resultado IIP
2019]]</f>
        <v>51.07</v>
      </c>
      <c r="C23" s="104">
        <f>Table_14345[[#This Row],[Resultado IIP
2021]]</f>
        <v>56.414999999999999</v>
      </c>
      <c r="D23" s="104">
        <f>Table_14345[[#This Row],[Resultado IIP
2023]]</f>
        <v>58.18333333333333</v>
      </c>
      <c r="E23" s="105"/>
      <c r="F23" s="223">
        <f>Table_14345[[#This Row],[POSICIÓN
2019]]</f>
        <v>12</v>
      </c>
      <c r="G23" s="223">
        <f>Table_14345[[#This Row],[POSICIÓN
2021]]</f>
        <v>12</v>
      </c>
      <c r="H23" s="223">
        <f>Table_14345[[#This Row],[POSICIÓN
2023]]</f>
        <v>15</v>
      </c>
      <c r="I23" s="219">
        <v>12</v>
      </c>
      <c r="J23" s="106">
        <v>54.46</v>
      </c>
      <c r="K23" s="107">
        <v>48.79</v>
      </c>
      <c r="L23" s="107">
        <v>46.67</v>
      </c>
      <c r="M23" s="107">
        <v>62.75</v>
      </c>
      <c r="N23" s="201">
        <v>51.07</v>
      </c>
      <c r="O23" s="203">
        <v>12</v>
      </c>
      <c r="P23" s="108">
        <v>14.674999999999999</v>
      </c>
      <c r="Q23" s="109">
        <v>19.8</v>
      </c>
      <c r="R23" s="109">
        <v>11.65</v>
      </c>
      <c r="S23" s="109">
        <v>10.290000000000001</v>
      </c>
      <c r="T23" s="110">
        <f>Table_14345[[#This Row],[COM 1 - 2021]]+Table_14345[[#This Row],[COM 2 - 2021]]+Table_14345[[#This Row],[COM 3 - 2021]]+Table_14345[[#This Row],[COM 4 - 2021]]</f>
        <v>56.414999999999999</v>
      </c>
      <c r="U23" s="111">
        <v>21</v>
      </c>
      <c r="V23" s="111">
        <v>20</v>
      </c>
      <c r="W23" s="91">
        <v>16</v>
      </c>
      <c r="X23" s="209">
        <v>15</v>
      </c>
      <c r="Y23" s="112">
        <f>Table_14345[[#This Row],[COM 1 - 2023]]+Table_14345[[#This Row],[COM 2 - 2023]]+Table_14345[[#This Row],[COM 3 - 2023]]+Table_14345[[#This Row],[COM 4 - 2023]]</f>
        <v>58.18333333333333</v>
      </c>
      <c r="Z23" s="113">
        <f>Table_14345[[#This Row],[COM 1 (sumatoria)]]</f>
        <v>16.599999999999998</v>
      </c>
      <c r="AA23" s="113">
        <f>Table_14345[[#This Row],[COM 2 (sumatoria)]]</f>
        <v>17.400000000000002</v>
      </c>
      <c r="AB23" s="113">
        <f>Table_14345[[#This Row],[COM 3 (sumatoria)]]</f>
        <v>14.033333333333335</v>
      </c>
      <c r="AC23" s="114">
        <f>Table_14345[[#This Row],[COM 4 (sumatoria)]]</f>
        <v>10.15</v>
      </c>
      <c r="AD23" s="115">
        <f>Table_14345[[#This Row],[Resultado IIP
2023]]-Table_14345[[#This Row],[Resultado IIP
2021]]</f>
        <v>1.7683333333333309</v>
      </c>
      <c r="AE23" s="116">
        <f>Table_14345[[#This Row],[COM 1 - 2023]]*100/25</f>
        <v>66.399999999999991</v>
      </c>
      <c r="AF23" s="116">
        <f>Table_14345[[#This Row],[COM 2 - 2023]]*100/35</f>
        <v>49.714285714285722</v>
      </c>
      <c r="AG23" s="116">
        <f>Table_14345[[#This Row],[COM 3 - 2023]]*100/25</f>
        <v>56.13333333333334</v>
      </c>
      <c r="AH23" s="116">
        <f>Table_14345[[#This Row],[COM 4 - 2023]]*100/15</f>
        <v>67.666666666666671</v>
      </c>
      <c r="AI23" s="117" t="s">
        <v>167</v>
      </c>
      <c r="AJ23" s="118" t="s">
        <v>184</v>
      </c>
      <c r="AK23" s="119">
        <v>0</v>
      </c>
      <c r="AL23" s="99">
        <v>3</v>
      </c>
      <c r="AM23" s="120">
        <v>0</v>
      </c>
      <c r="AN23" s="120">
        <v>2.2999999999999998</v>
      </c>
      <c r="AO23" s="120">
        <v>0</v>
      </c>
      <c r="AP23" s="120">
        <v>3.7</v>
      </c>
      <c r="AQ23" s="120">
        <v>0</v>
      </c>
      <c r="AR23" s="120">
        <v>2.7</v>
      </c>
      <c r="AS23" s="120">
        <v>0</v>
      </c>
      <c r="AT23" s="120">
        <v>0</v>
      </c>
      <c r="AU23" s="120">
        <v>2.35</v>
      </c>
      <c r="AV23" s="120">
        <v>0</v>
      </c>
      <c r="AW23" s="120">
        <v>2.5499999999999998</v>
      </c>
      <c r="AX23" s="100">
        <f t="shared" si="0"/>
        <v>16.599999999999998</v>
      </c>
      <c r="AY23" s="120">
        <v>1.75</v>
      </c>
      <c r="AZ23" s="120">
        <v>0.35</v>
      </c>
      <c r="BA23" s="120">
        <v>0.89999999999999991</v>
      </c>
      <c r="BB23" s="120">
        <v>1</v>
      </c>
      <c r="BC23" s="120">
        <v>0.8</v>
      </c>
      <c r="BD23" s="120">
        <v>1.1000000000000001</v>
      </c>
      <c r="BE23" s="120">
        <v>0.8</v>
      </c>
      <c r="BF23" s="120">
        <v>1</v>
      </c>
      <c r="BG23" s="120">
        <v>1</v>
      </c>
      <c r="BH23" s="120">
        <v>4.4000000000000004</v>
      </c>
      <c r="BI23" s="99">
        <v>1.3</v>
      </c>
      <c r="BJ23" s="120">
        <v>1.2999999999999998</v>
      </c>
      <c r="BK23" s="120">
        <v>0.60000000000000009</v>
      </c>
      <c r="BL23" s="120">
        <v>1.1000000000000001</v>
      </c>
      <c r="BM23" s="100">
        <f t="shared" si="1"/>
        <v>17.400000000000002</v>
      </c>
      <c r="BN23" s="120">
        <v>9.5333333333333332</v>
      </c>
      <c r="BO23" s="120">
        <v>2.2000000000000002</v>
      </c>
      <c r="BP23" s="120">
        <v>2.2999999999999998</v>
      </c>
      <c r="BQ23" s="100">
        <f t="shared" si="2"/>
        <v>14.033333333333335</v>
      </c>
      <c r="BR23" s="120">
        <v>0</v>
      </c>
      <c r="BS23" s="99">
        <v>2</v>
      </c>
      <c r="BT23" s="120">
        <v>1</v>
      </c>
      <c r="BU23" s="120">
        <v>0.5</v>
      </c>
      <c r="BV23" s="120">
        <v>0.85000000000000009</v>
      </c>
      <c r="BW23" s="120">
        <v>0.95</v>
      </c>
      <c r="BX23" s="99">
        <v>0.95</v>
      </c>
      <c r="BY23" s="99">
        <v>0.9</v>
      </c>
      <c r="BZ23" s="120">
        <v>3</v>
      </c>
      <c r="CA23" s="101">
        <f t="shared" si="3"/>
        <v>10.15</v>
      </c>
      <c r="CB23" s="99">
        <v>1.5</v>
      </c>
      <c r="CC23" s="99">
        <f>Table_14345[[#This Row],[PREAJUSTE
32]]+0.5</f>
        <v>2</v>
      </c>
      <c r="CD23" s="99"/>
      <c r="CE23" s="99">
        <f>Table_14345[[#This Row],[AJUSTADO
32]]-Table_14345[[#This Row],[DIFERENCIA
32]]</f>
        <v>2</v>
      </c>
      <c r="CF23" s="102">
        <v>0.4</v>
      </c>
      <c r="CG23" s="102">
        <f>Table_14345[[#This Row],[PREAJUSTE
38]]+0.5</f>
        <v>0.9</v>
      </c>
      <c r="CH23" s="102"/>
      <c r="CI23" s="102">
        <f>Table_14345[[#This Row],[AJUSTADO
38]]-Table_14345[[#This Row],[DIFERENCIA
38]]</f>
        <v>0.9</v>
      </c>
    </row>
    <row r="24" spans="2:87" x14ac:dyDescent="0.3">
      <c r="B24" s="103">
        <f>Table_14345[[#This Row],[Resultado IIP
2019]]</f>
        <v>17</v>
      </c>
      <c r="C24" s="104">
        <f>Table_14345[[#This Row],[Resultado IIP
2021]]</f>
        <v>28.59</v>
      </c>
      <c r="D24" s="104">
        <f>Table_14345[[#This Row],[Resultado IIP
2023]]</f>
        <v>57.973471874037919</v>
      </c>
      <c r="E24" s="105"/>
      <c r="F24" s="223">
        <f>Table_14345[[#This Row],[POSICIÓN
2019]]</f>
        <v>33</v>
      </c>
      <c r="G24" s="223">
        <f>Table_14345[[#This Row],[POSICIÓN
2021]]</f>
        <v>57</v>
      </c>
      <c r="H24" s="223">
        <f>Table_14345[[#This Row],[POSICIÓN
2023]]</f>
        <v>16</v>
      </c>
      <c r="I24" s="220">
        <v>33</v>
      </c>
      <c r="J24" s="106">
        <v>0</v>
      </c>
      <c r="K24" s="107">
        <v>33.19</v>
      </c>
      <c r="L24" s="107">
        <v>0</v>
      </c>
      <c r="M24" s="107">
        <v>37.25</v>
      </c>
      <c r="N24" s="201">
        <v>17</v>
      </c>
      <c r="O24" s="204">
        <v>57</v>
      </c>
      <c r="P24" s="108">
        <v>7.6000000000000005</v>
      </c>
      <c r="Q24" s="109">
        <v>10.7</v>
      </c>
      <c r="R24" s="109">
        <v>6.85</v>
      </c>
      <c r="S24" s="109">
        <v>3.44</v>
      </c>
      <c r="T24" s="110">
        <f>Table_14345[[#This Row],[COM 1 - 2021]]+Table_14345[[#This Row],[COM 2 - 2021]]+Table_14345[[#This Row],[COM 3 - 2021]]+Table_14345[[#This Row],[COM 4 - 2021]]</f>
        <v>28.59</v>
      </c>
      <c r="U24" s="91">
        <v>18</v>
      </c>
      <c r="V24" s="91">
        <v>17</v>
      </c>
      <c r="W24" s="111">
        <v>17</v>
      </c>
      <c r="X24" s="210">
        <v>16</v>
      </c>
      <c r="Y24" s="112">
        <f>Table_14345[[#This Row],[COM 1 - 2023]]+Table_14345[[#This Row],[COM 2 - 2023]]+Table_14345[[#This Row],[COM 3 - 2023]]+Table_14345[[#This Row],[COM 4 - 2023]]</f>
        <v>57.973471874037919</v>
      </c>
      <c r="Z24" s="113">
        <f>Table_14345[[#This Row],[COM 1 (sumatoria)]]</f>
        <v>12.614615384615384</v>
      </c>
      <c r="AA24" s="113">
        <f>Table_14345[[#This Row],[COM 2 (sumatoria)]]</f>
        <v>22.856969696969703</v>
      </c>
      <c r="AB24" s="113">
        <f>Table_14345[[#This Row],[COM 3 (sumatoria)]]</f>
        <v>13.70188679245283</v>
      </c>
      <c r="AC24" s="114">
        <f>Table_14345[[#This Row],[COM 4 (sumatoria)]]</f>
        <v>8.7999999999999989</v>
      </c>
      <c r="AD24" s="115">
        <f>Table_14345[[#This Row],[Resultado IIP
2023]]-Table_14345[[#This Row],[Resultado IIP
2021]]</f>
        <v>29.383471874037919</v>
      </c>
      <c r="AE24" s="116">
        <f>Table_14345[[#This Row],[COM 1 - 2023]]*100/25</f>
        <v>50.458461538461535</v>
      </c>
      <c r="AF24" s="116">
        <f>Table_14345[[#This Row],[COM 2 - 2023]]*100/35</f>
        <v>65.305627705627728</v>
      </c>
      <c r="AG24" s="116">
        <f>Table_14345[[#This Row],[COM 3 - 2023]]*100/25</f>
        <v>54.807547169811322</v>
      </c>
      <c r="AH24" s="116">
        <f>Table_14345[[#This Row],[COM 4 - 2023]]*100/15</f>
        <v>58.666666666666657</v>
      </c>
      <c r="AI24" s="117" t="s">
        <v>167</v>
      </c>
      <c r="AJ24" s="118" t="s">
        <v>185</v>
      </c>
      <c r="AK24" s="121">
        <v>0</v>
      </c>
      <c r="AL24" s="99">
        <v>3</v>
      </c>
      <c r="AM24" s="99">
        <v>0</v>
      </c>
      <c r="AN24" s="99">
        <v>1.55</v>
      </c>
      <c r="AO24" s="99">
        <v>0</v>
      </c>
      <c r="AP24" s="99">
        <v>1.6</v>
      </c>
      <c r="AQ24" s="99">
        <v>0</v>
      </c>
      <c r="AR24" s="99">
        <v>1.35</v>
      </c>
      <c r="AS24" s="99">
        <v>0</v>
      </c>
      <c r="AT24" s="99">
        <v>0</v>
      </c>
      <c r="AU24" s="99">
        <v>2.1</v>
      </c>
      <c r="AV24" s="99">
        <v>0</v>
      </c>
      <c r="AW24" s="99">
        <v>3.0146153846153845</v>
      </c>
      <c r="AX24" s="100">
        <f t="shared" si="0"/>
        <v>12.614615384615384</v>
      </c>
      <c r="AY24" s="99">
        <v>0.75</v>
      </c>
      <c r="AZ24" s="99">
        <v>0.69</v>
      </c>
      <c r="BA24" s="99">
        <v>1.9</v>
      </c>
      <c r="BB24" s="99">
        <v>0.96</v>
      </c>
      <c r="BC24" s="99">
        <v>0.94</v>
      </c>
      <c r="BD24" s="99">
        <v>2.0699999999999998</v>
      </c>
      <c r="BE24" s="99">
        <v>2.06</v>
      </c>
      <c r="BF24" s="99">
        <v>0.9</v>
      </c>
      <c r="BG24" s="99">
        <v>0.85</v>
      </c>
      <c r="BH24" s="99">
        <v>2.8036363636363637</v>
      </c>
      <c r="BI24" s="99">
        <v>4.8</v>
      </c>
      <c r="BJ24" s="99">
        <v>2.1</v>
      </c>
      <c r="BK24" s="99">
        <v>0.93333333333333335</v>
      </c>
      <c r="BL24" s="99">
        <v>1.1000000000000001</v>
      </c>
      <c r="BM24" s="100">
        <f t="shared" si="1"/>
        <v>22.856969696969703</v>
      </c>
      <c r="BN24" s="99">
        <v>11.501886792452831</v>
      </c>
      <c r="BO24" s="99">
        <v>1.1000000000000001</v>
      </c>
      <c r="BP24" s="99">
        <v>1.1000000000000001</v>
      </c>
      <c r="BQ24" s="100">
        <f t="shared" si="2"/>
        <v>13.70188679245283</v>
      </c>
      <c r="BR24" s="99">
        <v>0</v>
      </c>
      <c r="BS24" s="99">
        <v>2.6</v>
      </c>
      <c r="BT24" s="99">
        <v>1</v>
      </c>
      <c r="BU24" s="99">
        <v>1</v>
      </c>
      <c r="BV24" s="99">
        <v>1</v>
      </c>
      <c r="BW24" s="99">
        <v>1</v>
      </c>
      <c r="BX24" s="99">
        <v>0</v>
      </c>
      <c r="BY24" s="99">
        <v>1</v>
      </c>
      <c r="BZ24" s="99">
        <v>1.2</v>
      </c>
      <c r="CA24" s="101">
        <f t="shared" si="3"/>
        <v>8.7999999999999989</v>
      </c>
      <c r="CB24" s="99">
        <v>2.1</v>
      </c>
      <c r="CC24" s="99">
        <f>Table_14345[[#This Row],[PREAJUSTE
32]]+0.5</f>
        <v>2.6</v>
      </c>
      <c r="CD24" s="99"/>
      <c r="CE24" s="99">
        <f>Table_14345[[#This Row],[AJUSTADO
32]]-Table_14345[[#This Row],[DIFERENCIA
32]]</f>
        <v>2.6</v>
      </c>
      <c r="CF24" s="102">
        <v>0.6</v>
      </c>
      <c r="CG24" s="102">
        <f>Table_14345[[#This Row],[PREAJUSTE
38]]+0.5</f>
        <v>1.1000000000000001</v>
      </c>
      <c r="CH24" s="102">
        <f>Table_14345[[#This Row],[AJUSTADO
38]]-1</f>
        <v>0.10000000000000009</v>
      </c>
      <c r="CI24" s="102">
        <f>Table_14345[[#This Row],[AJUSTADO
38]]-Table_14345[[#This Row],[DIFERENCIA
38]]</f>
        <v>1</v>
      </c>
    </row>
    <row r="25" spans="2:87" x14ac:dyDescent="0.3">
      <c r="B25" s="103">
        <f>Table_14345[[#This Row],[Resultado IIP
2019]]</f>
        <v>15.39</v>
      </c>
      <c r="C25" s="104">
        <f>Table_14345[[#This Row],[Resultado IIP
2021]]</f>
        <v>35.999000000000002</v>
      </c>
      <c r="D25" s="104">
        <f>Table_14345[[#This Row],[Resultado IIP
2023]]</f>
        <v>57.333910256410256</v>
      </c>
      <c r="E25" s="105"/>
      <c r="F25" s="223">
        <f>Table_14345[[#This Row],[POSICIÓN
2019]]</f>
        <v>34</v>
      </c>
      <c r="G25" s="223">
        <f>Table_14345[[#This Row],[POSICIÓN
2021]]</f>
        <v>45</v>
      </c>
      <c r="H25" s="223">
        <f>Table_14345[[#This Row],[POSICIÓN
2023]]</f>
        <v>17</v>
      </c>
      <c r="I25" s="220">
        <v>34</v>
      </c>
      <c r="J25" s="106">
        <v>20</v>
      </c>
      <c r="K25" s="107">
        <v>14.7</v>
      </c>
      <c r="L25" s="107">
        <v>0</v>
      </c>
      <c r="M25" s="107">
        <v>45.1</v>
      </c>
      <c r="N25" s="201">
        <v>15.39</v>
      </c>
      <c r="O25" s="204">
        <v>45</v>
      </c>
      <c r="P25" s="108">
        <v>6.2</v>
      </c>
      <c r="Q25" s="109">
        <v>16.650000000000002</v>
      </c>
      <c r="R25" s="109">
        <v>6.8</v>
      </c>
      <c r="S25" s="109">
        <v>6.3490000000000002</v>
      </c>
      <c r="T25" s="110">
        <f>Table_14345[[#This Row],[COM 1 - 2021]]+Table_14345[[#This Row],[COM 2 - 2021]]+Table_14345[[#This Row],[COM 3 - 2021]]+Table_14345[[#This Row],[COM 4 - 2021]]</f>
        <v>35.999000000000002</v>
      </c>
      <c r="U25" s="111">
        <v>22</v>
      </c>
      <c r="V25" s="111">
        <v>22</v>
      </c>
      <c r="W25" s="111">
        <v>18</v>
      </c>
      <c r="X25" s="210">
        <v>17</v>
      </c>
      <c r="Y25" s="112">
        <f>Table_14345[[#This Row],[COM 1 - 2023]]+Table_14345[[#This Row],[COM 2 - 2023]]+Table_14345[[#This Row],[COM 3 - 2023]]+Table_14345[[#This Row],[COM 4 - 2023]]</f>
        <v>57.333910256410256</v>
      </c>
      <c r="Z25" s="113">
        <f>Table_14345[[#This Row],[COM 1 (sumatoria)]]</f>
        <v>13.537500000000001</v>
      </c>
      <c r="AA25" s="113">
        <f>Table_14345[[#This Row],[COM 2 (sumatoria)]]</f>
        <v>20.796410256410255</v>
      </c>
      <c r="AB25" s="113">
        <f>Table_14345[[#This Row],[COM 3 (sumatoria)]]</f>
        <v>13</v>
      </c>
      <c r="AC25" s="114">
        <f>Table_14345[[#This Row],[COM 4 (sumatoria)]]</f>
        <v>10</v>
      </c>
      <c r="AD25" s="115">
        <f>Table_14345[[#This Row],[Resultado IIP
2023]]-Table_14345[[#This Row],[Resultado IIP
2021]]</f>
        <v>21.334910256410254</v>
      </c>
      <c r="AE25" s="116">
        <f>Table_14345[[#This Row],[COM 1 - 2023]]*100/25</f>
        <v>54.150000000000006</v>
      </c>
      <c r="AF25" s="116">
        <f>Table_14345[[#This Row],[COM 2 - 2023]]*100/35</f>
        <v>59.418315018315013</v>
      </c>
      <c r="AG25" s="116">
        <f>Table_14345[[#This Row],[COM 3 - 2023]]*100/25</f>
        <v>52</v>
      </c>
      <c r="AH25" s="116">
        <f>Table_14345[[#This Row],[COM 4 - 2023]]*100/15</f>
        <v>66.666666666666671</v>
      </c>
      <c r="AI25" s="117" t="s">
        <v>167</v>
      </c>
      <c r="AJ25" s="118" t="s">
        <v>186</v>
      </c>
      <c r="AK25" s="119">
        <v>0</v>
      </c>
      <c r="AL25" s="99">
        <v>4</v>
      </c>
      <c r="AM25" s="120">
        <v>0</v>
      </c>
      <c r="AN25" s="120">
        <v>2.6</v>
      </c>
      <c r="AO25" s="120">
        <v>0</v>
      </c>
      <c r="AP25" s="120">
        <v>1.2999999999999998</v>
      </c>
      <c r="AQ25" s="120">
        <v>0</v>
      </c>
      <c r="AR25" s="120">
        <v>1.35</v>
      </c>
      <c r="AS25" s="120">
        <v>0</v>
      </c>
      <c r="AT25" s="120">
        <v>0</v>
      </c>
      <c r="AU25" s="120">
        <v>1.8</v>
      </c>
      <c r="AV25" s="120">
        <v>0</v>
      </c>
      <c r="AW25" s="120">
        <v>2.4874999999999998</v>
      </c>
      <c r="AX25" s="100">
        <f t="shared" si="0"/>
        <v>13.537500000000001</v>
      </c>
      <c r="AY25" s="120">
        <v>2.25</v>
      </c>
      <c r="AZ25" s="120">
        <v>0.5</v>
      </c>
      <c r="BA25" s="120">
        <v>1.4</v>
      </c>
      <c r="BB25" s="120">
        <v>0.94</v>
      </c>
      <c r="BC25" s="120">
        <v>0.89999999999999991</v>
      </c>
      <c r="BD25" s="120">
        <v>1</v>
      </c>
      <c r="BE25" s="120">
        <v>1.5</v>
      </c>
      <c r="BF25" s="120">
        <v>0.5</v>
      </c>
      <c r="BG25" s="120">
        <v>0.7</v>
      </c>
      <c r="BH25" s="120">
        <v>4.4230769230769234</v>
      </c>
      <c r="BI25" s="99">
        <v>4.05</v>
      </c>
      <c r="BJ25" s="120">
        <v>1.7666666666666666</v>
      </c>
      <c r="BK25" s="120">
        <v>0.3666666666666667</v>
      </c>
      <c r="BL25" s="120">
        <v>0.5</v>
      </c>
      <c r="BM25" s="100">
        <f t="shared" si="1"/>
        <v>20.796410256410255</v>
      </c>
      <c r="BN25" s="120">
        <v>10.8</v>
      </c>
      <c r="BO25" s="120">
        <v>1.1000000000000001</v>
      </c>
      <c r="BP25" s="120">
        <v>1.1000000000000001</v>
      </c>
      <c r="BQ25" s="100">
        <f t="shared" si="2"/>
        <v>13</v>
      </c>
      <c r="BR25" s="120">
        <v>0</v>
      </c>
      <c r="BS25" s="99">
        <v>3</v>
      </c>
      <c r="BT25" s="120">
        <v>1</v>
      </c>
      <c r="BU25" s="120">
        <v>0.85000000000000009</v>
      </c>
      <c r="BV25" s="120">
        <v>0.85000000000000009</v>
      </c>
      <c r="BW25" s="120">
        <v>0.75</v>
      </c>
      <c r="BX25" s="99">
        <v>0.95</v>
      </c>
      <c r="BY25" s="99">
        <v>0.8</v>
      </c>
      <c r="BZ25" s="120">
        <v>1.8</v>
      </c>
      <c r="CA25" s="101">
        <f t="shared" si="3"/>
        <v>10</v>
      </c>
      <c r="CB25" s="99">
        <v>2.7</v>
      </c>
      <c r="CC25" s="99">
        <f>Table_14345[[#This Row],[PREAJUSTE
32]]+0.5</f>
        <v>3.2</v>
      </c>
      <c r="CD25" s="99">
        <f>Table_14345[[#This Row],[AJUSTADO
32]]-3</f>
        <v>0.20000000000000018</v>
      </c>
      <c r="CE25" s="99">
        <f>Table_14345[[#This Row],[AJUSTADO
32]]-Table_14345[[#This Row],[DIFERENCIA
32]]</f>
        <v>3</v>
      </c>
      <c r="CF25" s="102">
        <v>0.3</v>
      </c>
      <c r="CG25" s="102">
        <f>Table_14345[[#This Row],[PREAJUSTE
38]]+0.5</f>
        <v>0.8</v>
      </c>
      <c r="CH25" s="102"/>
      <c r="CI25" s="102">
        <f>Table_14345[[#This Row],[AJUSTADO
38]]-Table_14345[[#This Row],[DIFERENCIA
38]]</f>
        <v>0.8</v>
      </c>
    </row>
    <row r="26" spans="2:87" x14ac:dyDescent="0.3">
      <c r="B26" s="103">
        <f>Table_14345[[#This Row],[Resultado IIP
2019]]</f>
        <v>60.31</v>
      </c>
      <c r="C26" s="104">
        <f>Table_14345[[#This Row],[Resultado IIP
2021]]</f>
        <v>66.05</v>
      </c>
      <c r="D26" s="104">
        <f>Table_14345[[#This Row],[Resultado IIP
2023]]</f>
        <v>56.094761904761903</v>
      </c>
      <c r="E26" s="105"/>
      <c r="F26" s="223">
        <f>Table_14345[[#This Row],[POSICIÓN
2019]]</f>
        <v>2</v>
      </c>
      <c r="G26" s="223">
        <f>Table_14345[[#This Row],[POSICIÓN
2021]]</f>
        <v>4</v>
      </c>
      <c r="H26" s="223">
        <f>Table_14345[[#This Row],[POSICIÓN
2023]]</f>
        <v>18</v>
      </c>
      <c r="I26" s="219">
        <v>2</v>
      </c>
      <c r="J26" s="106">
        <v>34.17</v>
      </c>
      <c r="K26" s="107">
        <v>71.59</v>
      </c>
      <c r="L26" s="107">
        <v>66.67</v>
      </c>
      <c r="M26" s="107">
        <v>64.7</v>
      </c>
      <c r="N26" s="201">
        <v>60.31</v>
      </c>
      <c r="O26" s="203">
        <v>4</v>
      </c>
      <c r="P26" s="108">
        <v>15</v>
      </c>
      <c r="Q26" s="109">
        <v>23.72</v>
      </c>
      <c r="R26" s="109">
        <v>17.5</v>
      </c>
      <c r="S26" s="109">
        <v>9.8300000000000018</v>
      </c>
      <c r="T26" s="110">
        <f>Table_14345[[#This Row],[COM 1 - 2021]]+Table_14345[[#This Row],[COM 2 - 2021]]+Table_14345[[#This Row],[COM 3 - 2021]]+Table_14345[[#This Row],[COM 4 - 2021]]</f>
        <v>66.05</v>
      </c>
      <c r="U26" s="111">
        <v>23</v>
      </c>
      <c r="V26" s="111">
        <v>23</v>
      </c>
      <c r="W26" s="91">
        <v>19</v>
      </c>
      <c r="X26" s="209">
        <v>18</v>
      </c>
      <c r="Y26" s="112">
        <f>Table_14345[[#This Row],[COM 1 - 2023]]+Table_14345[[#This Row],[COM 2 - 2023]]+Table_14345[[#This Row],[COM 3 - 2023]]+Table_14345[[#This Row],[COM 4 - 2023]]</f>
        <v>56.094761904761903</v>
      </c>
      <c r="Z26" s="113">
        <f>Table_14345[[#This Row],[COM 1 (sumatoria)]]</f>
        <v>13.761428571428572</v>
      </c>
      <c r="AA26" s="113">
        <f>Table_14345[[#This Row],[COM 2 (sumatoria)]]</f>
        <v>14.483333333333333</v>
      </c>
      <c r="AB26" s="113">
        <f>Table_14345[[#This Row],[COM 3 (sumatoria)]]</f>
        <v>15.1</v>
      </c>
      <c r="AC26" s="114">
        <f>Table_14345[[#This Row],[COM 4 (sumatoria)]]</f>
        <v>12.75</v>
      </c>
      <c r="AD26" s="115">
        <f>Table_14345[[#This Row],[Resultado IIP
2023]]-Table_14345[[#This Row],[Resultado IIP
2021]]</f>
        <v>-9.9552380952380943</v>
      </c>
      <c r="AE26" s="116">
        <f>Table_14345[[#This Row],[COM 1 - 2023]]*100/25</f>
        <v>55.045714285714297</v>
      </c>
      <c r="AF26" s="116">
        <f>Table_14345[[#This Row],[COM 2 - 2023]]*100/35</f>
        <v>41.38095238095238</v>
      </c>
      <c r="AG26" s="116">
        <f>Table_14345[[#This Row],[COM 3 - 2023]]*100/25</f>
        <v>60.4</v>
      </c>
      <c r="AH26" s="116">
        <f>Table_14345[[#This Row],[COM 4 - 2023]]*100/15</f>
        <v>85</v>
      </c>
      <c r="AI26" s="117" t="s">
        <v>167</v>
      </c>
      <c r="AJ26" s="118" t="s">
        <v>187</v>
      </c>
      <c r="AK26" s="121">
        <v>0</v>
      </c>
      <c r="AL26" s="99">
        <v>4</v>
      </c>
      <c r="AM26" s="99">
        <v>0</v>
      </c>
      <c r="AN26" s="99">
        <v>1.55</v>
      </c>
      <c r="AO26" s="99">
        <v>0</v>
      </c>
      <c r="AP26" s="99">
        <v>1.6</v>
      </c>
      <c r="AQ26" s="99">
        <v>0</v>
      </c>
      <c r="AR26" s="99">
        <v>1.65</v>
      </c>
      <c r="AS26" s="99">
        <v>0</v>
      </c>
      <c r="AT26" s="99">
        <v>0</v>
      </c>
      <c r="AU26" s="99">
        <v>1.8</v>
      </c>
      <c r="AV26" s="99">
        <v>0</v>
      </c>
      <c r="AW26" s="99">
        <v>3.1614285714285715</v>
      </c>
      <c r="AX26" s="100">
        <f t="shared" si="0"/>
        <v>13.761428571428572</v>
      </c>
      <c r="AY26" s="99">
        <v>1</v>
      </c>
      <c r="AZ26" s="99">
        <v>0.4</v>
      </c>
      <c r="BA26" s="99">
        <v>1</v>
      </c>
      <c r="BB26" s="99">
        <v>1.2</v>
      </c>
      <c r="BC26" s="99">
        <v>0.65</v>
      </c>
      <c r="BD26" s="99">
        <v>0.8</v>
      </c>
      <c r="BE26" s="99">
        <v>0.8</v>
      </c>
      <c r="BF26" s="99">
        <v>0.7</v>
      </c>
      <c r="BG26" s="99">
        <v>0.9</v>
      </c>
      <c r="BH26" s="99">
        <v>3.6666666666666665</v>
      </c>
      <c r="BI26" s="99">
        <v>0.6</v>
      </c>
      <c r="BJ26" s="99">
        <v>1.1000000000000001</v>
      </c>
      <c r="BK26" s="99">
        <v>0.56666666666666665</v>
      </c>
      <c r="BL26" s="99">
        <v>1.1000000000000001</v>
      </c>
      <c r="BM26" s="100">
        <f t="shared" si="1"/>
        <v>14.483333333333333</v>
      </c>
      <c r="BN26" s="99">
        <v>11.8</v>
      </c>
      <c r="BO26" s="99">
        <v>2.2000000000000002</v>
      </c>
      <c r="BP26" s="99">
        <v>1.1000000000000001</v>
      </c>
      <c r="BQ26" s="100">
        <f t="shared" si="2"/>
        <v>15.1</v>
      </c>
      <c r="BR26" s="99">
        <f>[3]Matriz!$M$102</f>
        <v>0</v>
      </c>
      <c r="BS26" s="99">
        <v>2.6</v>
      </c>
      <c r="BT26" s="99">
        <v>1</v>
      </c>
      <c r="BU26" s="99">
        <v>1</v>
      </c>
      <c r="BV26" s="99">
        <v>0.95</v>
      </c>
      <c r="BW26" s="99">
        <v>1</v>
      </c>
      <c r="BX26" s="99">
        <v>1</v>
      </c>
      <c r="BY26" s="99">
        <v>1</v>
      </c>
      <c r="BZ26" s="99">
        <f>[3]Matriz!$M$114</f>
        <v>4.2</v>
      </c>
      <c r="CA26" s="101">
        <f t="shared" si="3"/>
        <v>12.75</v>
      </c>
      <c r="CB26" s="99">
        <v>2.1</v>
      </c>
      <c r="CC26" s="99">
        <f>Table_14345[[#This Row],[PREAJUSTE
32]]+0.5</f>
        <v>2.6</v>
      </c>
      <c r="CD26" s="99"/>
      <c r="CE26" s="99">
        <f>Table_14345[[#This Row],[AJUSTADO
32]]-Table_14345[[#This Row],[DIFERENCIA
32]]</f>
        <v>2.6</v>
      </c>
      <c r="CF26" s="102">
        <v>0.7</v>
      </c>
      <c r="CG26" s="102">
        <f>Table_14345[[#This Row],[PREAJUSTE
38]]+0.5</f>
        <v>1.2</v>
      </c>
      <c r="CH26" s="102">
        <f>Table_14345[[#This Row],[AJUSTADO
38]]-1</f>
        <v>0.19999999999999996</v>
      </c>
      <c r="CI26" s="102">
        <f>Table_14345[[#This Row],[AJUSTADO
38]]-Table_14345[[#This Row],[DIFERENCIA
38]]</f>
        <v>1</v>
      </c>
    </row>
    <row r="27" spans="2:87" x14ac:dyDescent="0.3">
      <c r="B27" s="103">
        <f>Table_14345[[#This Row],[Resultado IIP
2019]]</f>
        <v>35.14</v>
      </c>
      <c r="C27" s="104">
        <f>Table_14345[[#This Row],[Resultado IIP
2021]]</f>
        <v>48.32</v>
      </c>
      <c r="D27" s="104">
        <f>Table_14345[[#This Row],[Resultado IIP
2023]]</f>
        <v>56.059166666666663</v>
      </c>
      <c r="E27" s="105"/>
      <c r="F27" s="223">
        <f>Table_14345[[#This Row],[POSICIÓN
2019]]</f>
        <v>22</v>
      </c>
      <c r="G27" s="223">
        <f>Table_14345[[#This Row],[POSICIÓN
2021]]</f>
        <v>19</v>
      </c>
      <c r="H27" s="223">
        <f>Table_14345[[#This Row],[POSICIÓN
2023]]</f>
        <v>19</v>
      </c>
      <c r="I27" s="220">
        <v>22</v>
      </c>
      <c r="J27" s="106">
        <v>32</v>
      </c>
      <c r="K27" s="107">
        <v>15.92</v>
      </c>
      <c r="L27" s="107">
        <v>71.33</v>
      </c>
      <c r="M27" s="107">
        <v>29.41</v>
      </c>
      <c r="N27" s="201">
        <v>35.14</v>
      </c>
      <c r="O27" s="204">
        <v>19</v>
      </c>
      <c r="P27" s="108">
        <v>11.7</v>
      </c>
      <c r="Q27" s="109">
        <v>16.3</v>
      </c>
      <c r="R27" s="109">
        <v>11.7</v>
      </c>
      <c r="S27" s="109">
        <v>8.6199999999999992</v>
      </c>
      <c r="T27" s="110">
        <f>Table_14345[[#This Row],[COM 1 - 2021]]+Table_14345[[#This Row],[COM 2 - 2021]]+Table_14345[[#This Row],[COM 3 - 2021]]+Table_14345[[#This Row],[COM 4 - 2021]]</f>
        <v>48.32</v>
      </c>
      <c r="U27" s="111">
        <v>19</v>
      </c>
      <c r="V27" s="111">
        <v>21</v>
      </c>
      <c r="W27" s="111">
        <v>20</v>
      </c>
      <c r="X27" s="210">
        <v>19</v>
      </c>
      <c r="Y27" s="112">
        <f>Table_14345[[#This Row],[COM 1 - 2023]]+Table_14345[[#This Row],[COM 2 - 2023]]+Table_14345[[#This Row],[COM 3 - 2023]]+Table_14345[[#This Row],[COM 4 - 2023]]</f>
        <v>56.059166666666663</v>
      </c>
      <c r="Z27" s="113">
        <f>Table_14345[[#This Row],[COM 1 (sumatoria)]]</f>
        <v>18.559166666666663</v>
      </c>
      <c r="AA27" s="113">
        <f>Table_14345[[#This Row],[COM 2 (sumatoria)]]</f>
        <v>15.27</v>
      </c>
      <c r="AB27" s="113">
        <f>Table_14345[[#This Row],[COM 3 (sumatoria)]]</f>
        <v>15.330000000000002</v>
      </c>
      <c r="AC27" s="114">
        <f>Table_14345[[#This Row],[COM 4 (sumatoria)]]</f>
        <v>6.8999999999999995</v>
      </c>
      <c r="AD27" s="115">
        <f>Table_14345[[#This Row],[Resultado IIP
2023]]-Table_14345[[#This Row],[Resultado IIP
2021]]</f>
        <v>7.7391666666666623</v>
      </c>
      <c r="AE27" s="116">
        <f>Table_14345[[#This Row],[COM 1 - 2023]]*100/25</f>
        <v>74.23666666666665</v>
      </c>
      <c r="AF27" s="116">
        <f>Table_14345[[#This Row],[COM 2 - 2023]]*100/35</f>
        <v>43.628571428571426</v>
      </c>
      <c r="AG27" s="116">
        <f>Table_14345[[#This Row],[COM 3 - 2023]]*100/25</f>
        <v>61.320000000000007</v>
      </c>
      <c r="AH27" s="116">
        <f>Table_14345[[#This Row],[COM 4 - 2023]]*100/15</f>
        <v>46</v>
      </c>
      <c r="AI27" s="117" t="s">
        <v>167</v>
      </c>
      <c r="AJ27" s="118" t="s">
        <v>188</v>
      </c>
      <c r="AK27" s="119">
        <v>0</v>
      </c>
      <c r="AL27" s="99">
        <v>3.1333333333333329</v>
      </c>
      <c r="AM27" s="120">
        <v>0</v>
      </c>
      <c r="AN27" s="120">
        <v>0</v>
      </c>
      <c r="AO27" s="120">
        <v>0</v>
      </c>
      <c r="AP27" s="120">
        <v>3.7</v>
      </c>
      <c r="AQ27" s="120">
        <v>0</v>
      </c>
      <c r="AR27" s="120">
        <v>4</v>
      </c>
      <c r="AS27" s="120">
        <v>0</v>
      </c>
      <c r="AT27" s="120">
        <v>0</v>
      </c>
      <c r="AU27" s="120">
        <v>4.7</v>
      </c>
      <c r="AV27" s="120">
        <v>0</v>
      </c>
      <c r="AW27" s="120">
        <v>3.0258333333333329</v>
      </c>
      <c r="AX27" s="100">
        <f t="shared" si="0"/>
        <v>18.559166666666663</v>
      </c>
      <c r="AY27" s="120">
        <v>0</v>
      </c>
      <c r="AZ27" s="120">
        <v>0.6</v>
      </c>
      <c r="BA27" s="120">
        <v>1</v>
      </c>
      <c r="BB27" s="120">
        <v>0.8</v>
      </c>
      <c r="BC27" s="120">
        <v>0.8</v>
      </c>
      <c r="BD27" s="120">
        <v>1.1000000000000001</v>
      </c>
      <c r="BE27" s="120">
        <v>1.4</v>
      </c>
      <c r="BF27" s="120">
        <v>0.60000000000000009</v>
      </c>
      <c r="BG27" s="120">
        <v>0.60000000000000009</v>
      </c>
      <c r="BH27" s="120">
        <v>6.87</v>
      </c>
      <c r="BI27" s="99">
        <v>1.5</v>
      </c>
      <c r="BJ27" s="120">
        <v>0</v>
      </c>
      <c r="BK27" s="120">
        <v>0</v>
      </c>
      <c r="BL27" s="120">
        <v>0</v>
      </c>
      <c r="BM27" s="100">
        <f t="shared" si="1"/>
        <v>15.27</v>
      </c>
      <c r="BN27" s="120">
        <v>10.83</v>
      </c>
      <c r="BO27" s="120">
        <v>2.2000000000000002</v>
      </c>
      <c r="BP27" s="120">
        <v>2.2999999999999998</v>
      </c>
      <c r="BQ27" s="100">
        <f t="shared" si="2"/>
        <v>15.330000000000002</v>
      </c>
      <c r="BR27" s="120">
        <v>0</v>
      </c>
      <c r="BS27" s="99">
        <v>2.2999999999999998</v>
      </c>
      <c r="BT27" s="120">
        <v>0</v>
      </c>
      <c r="BU27" s="120">
        <v>0</v>
      </c>
      <c r="BV27" s="120">
        <v>1</v>
      </c>
      <c r="BW27" s="120">
        <v>0</v>
      </c>
      <c r="BX27" s="99">
        <v>1</v>
      </c>
      <c r="BY27" s="99">
        <v>0.8</v>
      </c>
      <c r="BZ27" s="120">
        <v>1.8</v>
      </c>
      <c r="CA27" s="101">
        <f t="shared" si="3"/>
        <v>6.8999999999999995</v>
      </c>
      <c r="CB27" s="99">
        <v>1.8</v>
      </c>
      <c r="CC27" s="99">
        <f>Table_14345[[#This Row],[PREAJUSTE
32]]+0.5</f>
        <v>2.2999999999999998</v>
      </c>
      <c r="CD27" s="99"/>
      <c r="CE27" s="99">
        <f>Table_14345[[#This Row],[AJUSTADO
32]]-Table_14345[[#This Row],[DIFERENCIA
32]]</f>
        <v>2.2999999999999998</v>
      </c>
      <c r="CF27" s="102">
        <v>0.3</v>
      </c>
      <c r="CG27" s="102">
        <f>Table_14345[[#This Row],[PREAJUSTE
38]]+0.5</f>
        <v>0.8</v>
      </c>
      <c r="CH27" s="102"/>
      <c r="CI27" s="102">
        <f>Table_14345[[#This Row],[AJUSTADO
38]]-Table_14345[[#This Row],[DIFERENCIA
38]]</f>
        <v>0.8</v>
      </c>
    </row>
    <row r="28" spans="2:87" x14ac:dyDescent="0.3">
      <c r="B28" s="103">
        <f>Table_14345[[#This Row],[Resultado IIP
2019]]</f>
        <v>52.49</v>
      </c>
      <c r="C28" s="104">
        <f>Table_14345[[#This Row],[Resultado IIP
2021]]</f>
        <v>52.344999999999999</v>
      </c>
      <c r="D28" s="104">
        <f>Table_14345[[#This Row],[Resultado IIP
2023]]</f>
        <v>55.533333333333331</v>
      </c>
      <c r="E28" s="105"/>
      <c r="F28" s="223">
        <f>Table_14345[[#This Row],[POSICIÓN
2019]]</f>
        <v>9</v>
      </c>
      <c r="G28" s="223">
        <f>Table_14345[[#This Row],[POSICIÓN
2021]]</f>
        <v>15</v>
      </c>
      <c r="H28" s="223">
        <f>Table_14345[[#This Row],[POSICIÓN
2023]]</f>
        <v>20</v>
      </c>
      <c r="I28" s="220">
        <v>9</v>
      </c>
      <c r="J28" s="106">
        <v>68.12</v>
      </c>
      <c r="K28" s="107">
        <v>41.4</v>
      </c>
      <c r="L28" s="107">
        <v>56</v>
      </c>
      <c r="M28" s="107">
        <v>49.02</v>
      </c>
      <c r="N28" s="201">
        <v>52.49</v>
      </c>
      <c r="O28" s="204">
        <v>15</v>
      </c>
      <c r="P28" s="108">
        <v>13.2</v>
      </c>
      <c r="Q28" s="109">
        <v>16.224999999999998</v>
      </c>
      <c r="R28" s="109">
        <v>14.5</v>
      </c>
      <c r="S28" s="109">
        <v>8.42</v>
      </c>
      <c r="T28" s="110">
        <f>Table_14345[[#This Row],[COM 1 - 2021]]+Table_14345[[#This Row],[COM 2 - 2021]]+Table_14345[[#This Row],[COM 3 - 2021]]+Table_14345[[#This Row],[COM 4 - 2021]]</f>
        <v>52.344999999999999</v>
      </c>
      <c r="U28" s="91">
        <v>26</v>
      </c>
      <c r="V28" s="91">
        <v>26</v>
      </c>
      <c r="W28" s="111">
        <v>21</v>
      </c>
      <c r="X28" s="210">
        <v>20</v>
      </c>
      <c r="Y28" s="112">
        <f>Table_14345[[#This Row],[COM 1 - 2023]]+Table_14345[[#This Row],[COM 2 - 2023]]+Table_14345[[#This Row],[COM 3 - 2023]]+Table_14345[[#This Row],[COM 4 - 2023]]</f>
        <v>55.533333333333331</v>
      </c>
      <c r="Z28" s="113">
        <f>Table_14345[[#This Row],[COM 1 (sumatoria)]]</f>
        <v>14.883333333333333</v>
      </c>
      <c r="AA28" s="113">
        <f>Table_14345[[#This Row],[COM 2 (sumatoria)]]</f>
        <v>18.150000000000002</v>
      </c>
      <c r="AB28" s="113">
        <f>Table_14345[[#This Row],[COM 3 (sumatoria)]]</f>
        <v>13.3</v>
      </c>
      <c r="AC28" s="114">
        <f>Table_14345[[#This Row],[COM 4 (sumatoria)]]</f>
        <v>9.1999999999999993</v>
      </c>
      <c r="AD28" s="115">
        <f>Table_14345[[#This Row],[Resultado IIP
2023]]-Table_14345[[#This Row],[Resultado IIP
2021]]</f>
        <v>3.1883333333333326</v>
      </c>
      <c r="AE28" s="116">
        <f>Table_14345[[#This Row],[COM 1 - 2023]]*100/25</f>
        <v>59.533333333333331</v>
      </c>
      <c r="AF28" s="116">
        <f>Table_14345[[#This Row],[COM 2 - 2023]]*100/35</f>
        <v>51.857142857142861</v>
      </c>
      <c r="AG28" s="116">
        <f>Table_14345[[#This Row],[COM 3 - 2023]]*100/25</f>
        <v>53.2</v>
      </c>
      <c r="AH28" s="116">
        <f>Table_14345[[#This Row],[COM 4 - 2023]]*100/15</f>
        <v>61.333333333333329</v>
      </c>
      <c r="AI28" s="117" t="s">
        <v>167</v>
      </c>
      <c r="AJ28" s="118" t="s">
        <v>189</v>
      </c>
      <c r="AK28" s="121">
        <v>0</v>
      </c>
      <c r="AL28" s="99">
        <v>2.1333333333333333</v>
      </c>
      <c r="AM28" s="99">
        <v>0</v>
      </c>
      <c r="AN28" s="99">
        <v>1.55</v>
      </c>
      <c r="AO28" s="99">
        <v>0</v>
      </c>
      <c r="AP28" s="99">
        <v>1.6</v>
      </c>
      <c r="AQ28" s="99">
        <v>0</v>
      </c>
      <c r="AR28" s="99">
        <v>1.65</v>
      </c>
      <c r="AS28" s="99">
        <v>0</v>
      </c>
      <c r="AT28" s="99">
        <v>0</v>
      </c>
      <c r="AU28" s="99">
        <v>4.7</v>
      </c>
      <c r="AV28" s="99">
        <v>0</v>
      </c>
      <c r="AW28" s="99">
        <v>3.25</v>
      </c>
      <c r="AX28" s="100">
        <f t="shared" si="0"/>
        <v>14.883333333333333</v>
      </c>
      <c r="AY28" s="99">
        <v>1.75</v>
      </c>
      <c r="AZ28" s="99">
        <v>0.7</v>
      </c>
      <c r="BA28" s="99">
        <v>1.3</v>
      </c>
      <c r="BB28" s="99">
        <v>0.89999999999999991</v>
      </c>
      <c r="BC28" s="99">
        <v>0.4</v>
      </c>
      <c r="BD28" s="99">
        <v>1.8</v>
      </c>
      <c r="BE28" s="99">
        <v>1.8</v>
      </c>
      <c r="BF28" s="99">
        <v>0.7</v>
      </c>
      <c r="BG28" s="99">
        <v>0.6</v>
      </c>
      <c r="BH28" s="99">
        <v>5</v>
      </c>
      <c r="BI28" s="99">
        <v>0.3</v>
      </c>
      <c r="BJ28" s="99">
        <v>1.3000000000000003</v>
      </c>
      <c r="BK28" s="99">
        <v>0.5</v>
      </c>
      <c r="BL28" s="99">
        <v>1.1000000000000001</v>
      </c>
      <c r="BM28" s="100">
        <f t="shared" si="1"/>
        <v>18.150000000000002</v>
      </c>
      <c r="BN28" s="99">
        <v>9.9</v>
      </c>
      <c r="BO28" s="99">
        <v>1.1000000000000001</v>
      </c>
      <c r="BP28" s="99">
        <v>2.2999999999999998</v>
      </c>
      <c r="BQ28" s="100">
        <f t="shared" si="2"/>
        <v>13.3</v>
      </c>
      <c r="BR28" s="99">
        <v>0</v>
      </c>
      <c r="BS28" s="99">
        <v>1.7</v>
      </c>
      <c r="BT28" s="99">
        <v>0.75</v>
      </c>
      <c r="BU28" s="99">
        <v>1</v>
      </c>
      <c r="BV28" s="99">
        <v>0.85000000000000009</v>
      </c>
      <c r="BW28" s="99">
        <v>0.85000000000000009</v>
      </c>
      <c r="BX28" s="99">
        <v>0.85000000000000009</v>
      </c>
      <c r="BY28" s="99">
        <v>0.8</v>
      </c>
      <c r="BZ28" s="99">
        <v>2.4</v>
      </c>
      <c r="CA28" s="101">
        <f t="shared" si="3"/>
        <v>9.1999999999999993</v>
      </c>
      <c r="CB28" s="99">
        <v>1.2</v>
      </c>
      <c r="CC28" s="99">
        <f>Table_14345[[#This Row],[PREAJUSTE
32]]+0.5</f>
        <v>1.7</v>
      </c>
      <c r="CD28" s="99"/>
      <c r="CE28" s="99">
        <f>Table_14345[[#This Row],[AJUSTADO
32]]-Table_14345[[#This Row],[DIFERENCIA
32]]</f>
        <v>1.7</v>
      </c>
      <c r="CF28" s="102">
        <v>0.3</v>
      </c>
      <c r="CG28" s="102">
        <f>Table_14345[[#This Row],[PREAJUSTE
38]]+0.5</f>
        <v>0.8</v>
      </c>
      <c r="CH28" s="102"/>
      <c r="CI28" s="102">
        <f>Table_14345[[#This Row],[AJUSTADO
38]]-Table_14345[[#This Row],[DIFERENCIA
38]]</f>
        <v>0.8</v>
      </c>
    </row>
    <row r="29" spans="2:87" x14ac:dyDescent="0.3">
      <c r="B29" s="103">
        <f>Table_14345[[#This Row],[Resultado IIP
2019]]</f>
        <v>0.95</v>
      </c>
      <c r="C29" s="104">
        <f>Table_14345[[#This Row],[Resultado IIP
2021]]</f>
        <v>38.94</v>
      </c>
      <c r="D29" s="104">
        <f>Table_14345[[#This Row],[Resultado IIP
2023]]</f>
        <v>55.450476190476188</v>
      </c>
      <c r="E29" s="105"/>
      <c r="F29" s="223">
        <f>Table_14345[[#This Row],[POSICIÓN
2019]]</f>
        <v>39</v>
      </c>
      <c r="G29" s="223">
        <f>Table_14345[[#This Row],[POSICIÓN
2021]]</f>
        <v>33</v>
      </c>
      <c r="H29" s="223">
        <f>Table_14345[[#This Row],[POSICIÓN
2023]]</f>
        <v>21</v>
      </c>
      <c r="I29" s="219">
        <v>39</v>
      </c>
      <c r="J29" s="106">
        <v>0</v>
      </c>
      <c r="K29" s="107">
        <v>2.36</v>
      </c>
      <c r="L29" s="107">
        <v>0</v>
      </c>
      <c r="M29" s="107">
        <v>0</v>
      </c>
      <c r="N29" s="201">
        <v>0.95</v>
      </c>
      <c r="O29" s="203">
        <v>33</v>
      </c>
      <c r="P29" s="108">
        <v>9.7200000000000006</v>
      </c>
      <c r="Q29" s="109">
        <v>19.049999999999997</v>
      </c>
      <c r="R29" s="109">
        <v>5.8500000000000005</v>
      </c>
      <c r="S29" s="109">
        <v>4.32</v>
      </c>
      <c r="T29" s="110">
        <f>Table_14345[[#This Row],[COM 1 - 2021]]+Table_14345[[#This Row],[COM 2 - 2021]]+Table_14345[[#This Row],[COM 3 - 2021]]+Table_14345[[#This Row],[COM 4 - 2021]]</f>
        <v>38.94</v>
      </c>
      <c r="U29" s="111">
        <v>24</v>
      </c>
      <c r="V29" s="111">
        <v>24</v>
      </c>
      <c r="W29" s="91">
        <v>22</v>
      </c>
      <c r="X29" s="209">
        <v>21</v>
      </c>
      <c r="Y29" s="112">
        <f>Table_14345[[#This Row],[COM 1 - 2023]]+Table_14345[[#This Row],[COM 2 - 2023]]+Table_14345[[#This Row],[COM 3 - 2023]]+Table_14345[[#This Row],[COM 4 - 2023]]</f>
        <v>55.450476190476188</v>
      </c>
      <c r="Z29" s="113">
        <f>Table_14345[[#This Row],[COM 1 (sumatoria)]]</f>
        <v>13.257142857142856</v>
      </c>
      <c r="AA29" s="113">
        <f>Table_14345[[#This Row],[COM 2 (sumatoria)]]</f>
        <v>21.943333333333332</v>
      </c>
      <c r="AB29" s="113">
        <f>Table_14345[[#This Row],[COM 3 (sumatoria)]]</f>
        <v>11.6</v>
      </c>
      <c r="AC29" s="114">
        <f>Table_14345[[#This Row],[COM 4 (sumatoria)]]</f>
        <v>8.65</v>
      </c>
      <c r="AD29" s="115">
        <f>Table_14345[[#This Row],[Resultado IIP
2023]]-Table_14345[[#This Row],[Resultado IIP
2021]]</f>
        <v>16.51047619047619</v>
      </c>
      <c r="AE29" s="116">
        <f>Table_14345[[#This Row],[COM 1 - 2023]]*100/25</f>
        <v>53.028571428571425</v>
      </c>
      <c r="AF29" s="116">
        <f>Table_14345[[#This Row],[COM 2 - 2023]]*100/35</f>
        <v>62.695238095238089</v>
      </c>
      <c r="AG29" s="116">
        <f>Table_14345[[#This Row],[COM 3 - 2023]]*100/25</f>
        <v>46.4</v>
      </c>
      <c r="AH29" s="116">
        <f>Table_14345[[#This Row],[COM 4 - 2023]]*100/15</f>
        <v>57.666666666666664</v>
      </c>
      <c r="AI29" s="117" t="s">
        <v>167</v>
      </c>
      <c r="AJ29" s="118" t="s">
        <v>190</v>
      </c>
      <c r="AK29" s="119">
        <v>0</v>
      </c>
      <c r="AL29" s="120">
        <v>2.6</v>
      </c>
      <c r="AM29" s="120">
        <v>0</v>
      </c>
      <c r="AN29" s="120">
        <v>2.15</v>
      </c>
      <c r="AO29" s="120">
        <v>0</v>
      </c>
      <c r="AP29" s="120">
        <v>1.9</v>
      </c>
      <c r="AQ29" s="120">
        <v>0</v>
      </c>
      <c r="AR29" s="120">
        <v>1.95</v>
      </c>
      <c r="AS29" s="120">
        <v>0</v>
      </c>
      <c r="AT29" s="120">
        <v>0</v>
      </c>
      <c r="AU29" s="120">
        <v>2.4</v>
      </c>
      <c r="AV29" s="120">
        <v>0</v>
      </c>
      <c r="AW29" s="120">
        <v>2.2571428571428571</v>
      </c>
      <c r="AX29" s="100">
        <f t="shared" si="0"/>
        <v>13.257142857142856</v>
      </c>
      <c r="AY29" s="120">
        <v>1</v>
      </c>
      <c r="AZ29" s="120">
        <v>0.6</v>
      </c>
      <c r="BA29" s="120">
        <v>2.0999999999999996</v>
      </c>
      <c r="BB29" s="120">
        <v>0.65</v>
      </c>
      <c r="BC29" s="120">
        <v>0.8</v>
      </c>
      <c r="BD29" s="120">
        <v>1.65</v>
      </c>
      <c r="BE29" s="120">
        <v>2</v>
      </c>
      <c r="BF29" s="120">
        <v>1</v>
      </c>
      <c r="BG29" s="120">
        <v>0.5</v>
      </c>
      <c r="BH29" s="120">
        <v>5.25</v>
      </c>
      <c r="BI29" s="99">
        <v>3.6</v>
      </c>
      <c r="BJ29" s="120">
        <v>1.5</v>
      </c>
      <c r="BK29" s="120">
        <v>0.79333333333333333</v>
      </c>
      <c r="BL29" s="120">
        <v>0.5</v>
      </c>
      <c r="BM29" s="100">
        <f t="shared" si="1"/>
        <v>21.943333333333332</v>
      </c>
      <c r="BN29" s="120">
        <v>9.4</v>
      </c>
      <c r="BO29" s="120">
        <v>1.1000000000000001</v>
      </c>
      <c r="BP29" s="120">
        <v>1.1000000000000001</v>
      </c>
      <c r="BQ29" s="100">
        <f t="shared" si="2"/>
        <v>11.6</v>
      </c>
      <c r="BR29" s="120">
        <v>0</v>
      </c>
      <c r="BS29" s="120">
        <v>2.15</v>
      </c>
      <c r="BT29" s="120">
        <v>1</v>
      </c>
      <c r="BU29" s="120">
        <v>1</v>
      </c>
      <c r="BV29" s="120">
        <v>0</v>
      </c>
      <c r="BW29" s="120">
        <v>0.75</v>
      </c>
      <c r="BX29" s="120">
        <v>0.95</v>
      </c>
      <c r="BY29" s="120">
        <v>1</v>
      </c>
      <c r="BZ29" s="120">
        <v>1.8</v>
      </c>
      <c r="CA29" s="101">
        <f t="shared" si="3"/>
        <v>8.65</v>
      </c>
      <c r="CB29" s="99">
        <v>1.65</v>
      </c>
      <c r="CC29" s="99">
        <f>Table_14345[[#This Row],[PREAJUSTE
32]]+0.5</f>
        <v>2.15</v>
      </c>
      <c r="CD29" s="99"/>
      <c r="CE29" s="99">
        <f>Table_14345[[#This Row],[AJUSTADO
32]]-Table_14345[[#This Row],[DIFERENCIA
32]]</f>
        <v>2.15</v>
      </c>
      <c r="CF29" s="102">
        <v>0.5</v>
      </c>
      <c r="CG29" s="102">
        <f>Table_14345[[#This Row],[PREAJUSTE
38]]+0.5</f>
        <v>1</v>
      </c>
      <c r="CH29" s="102"/>
      <c r="CI29" s="102">
        <f>Table_14345[[#This Row],[AJUSTADO
38]]-Table_14345[[#This Row],[DIFERENCIA
38]]</f>
        <v>1</v>
      </c>
    </row>
    <row r="30" spans="2:87" x14ac:dyDescent="0.3">
      <c r="B30" s="103">
        <f>Table_14345[[#This Row],[Resultado IIP
2019]]</f>
        <v>0</v>
      </c>
      <c r="C30" s="104">
        <f>Table_14345[[#This Row],[Resultado IIP
2021]]</f>
        <v>46.910000000000004</v>
      </c>
      <c r="D30" s="104">
        <f>Table_14345[[#This Row],[Resultado IIP
2023]]</f>
        <v>54.323333333333331</v>
      </c>
      <c r="E30" s="105"/>
      <c r="F30" s="223"/>
      <c r="G30" s="223">
        <f>Table_14345[[#This Row],[POSICIÓN
2021]]</f>
        <v>22</v>
      </c>
      <c r="H30" s="223">
        <f>Table_14345[[#This Row],[POSICIÓN
2023]]</f>
        <v>22</v>
      </c>
      <c r="I30" s="220"/>
      <c r="J30" s="106"/>
      <c r="K30" s="107"/>
      <c r="L30" s="107"/>
      <c r="M30" s="125"/>
      <c r="N30" s="201"/>
      <c r="O30" s="204">
        <v>22</v>
      </c>
      <c r="P30" s="108">
        <v>11.8</v>
      </c>
      <c r="Q30" s="109">
        <v>17.820000000000004</v>
      </c>
      <c r="R30" s="109">
        <v>11</v>
      </c>
      <c r="S30" s="109">
        <v>6.29</v>
      </c>
      <c r="T30" s="126">
        <f>Table_14345[[#This Row],[COM 1 - 2021]]+Table_14345[[#This Row],[COM 2 - 2021]]+Table_14345[[#This Row],[COM 3 - 2021]]+Table_14345[[#This Row],[COM 4 - 2021]]</f>
        <v>46.910000000000004</v>
      </c>
      <c r="U30" s="111">
        <v>7</v>
      </c>
      <c r="V30" s="111">
        <v>9</v>
      </c>
      <c r="W30" s="111">
        <v>23</v>
      </c>
      <c r="X30" s="210">
        <v>22</v>
      </c>
      <c r="Y30" s="112">
        <f>Table_14345[[#This Row],[COM 1 - 2023]]+Table_14345[[#This Row],[COM 2 - 2023]]+Table_14345[[#This Row],[COM 3 - 2023]]+Table_14345[[#This Row],[COM 4 - 2023]]</f>
        <v>54.323333333333331</v>
      </c>
      <c r="Z30" s="113">
        <f>Table_14345[[#This Row],[COM 1 (sumatoria)]]</f>
        <v>16.55</v>
      </c>
      <c r="AA30" s="113">
        <f>Table_14345[[#This Row],[COM 2 (sumatoria)]]</f>
        <v>18.233333333333334</v>
      </c>
      <c r="AB30" s="113">
        <f>Table_14345[[#This Row],[COM 3 (sumatoria)]]</f>
        <v>14.04</v>
      </c>
      <c r="AC30" s="114">
        <f>Table_14345[[#This Row],[COM 4 (sumatoria)]]</f>
        <v>5.5</v>
      </c>
      <c r="AD30" s="115">
        <f>Table_14345[[#This Row],[Resultado IIP
2023]]-Table_14345[[#This Row],[Resultado IIP
2021]]</f>
        <v>7.4133333333333269</v>
      </c>
      <c r="AE30" s="116">
        <f>Table_14345[[#This Row],[COM 1 - 2023]]*100/25</f>
        <v>66.2</v>
      </c>
      <c r="AF30" s="116">
        <f>Table_14345[[#This Row],[COM 2 - 2023]]*100/35</f>
        <v>52.095238095238102</v>
      </c>
      <c r="AG30" s="116">
        <f>Table_14345[[#This Row],[COM 3 - 2023]]*100/25</f>
        <v>56.16</v>
      </c>
      <c r="AH30" s="116">
        <f>Table_14345[[#This Row],[COM 4 - 2023]]*100/15</f>
        <v>36.666666666666664</v>
      </c>
      <c r="AI30" s="117" t="s">
        <v>167</v>
      </c>
      <c r="AJ30" s="118" t="s">
        <v>191</v>
      </c>
      <c r="AK30" s="121">
        <v>0</v>
      </c>
      <c r="AL30" s="99">
        <v>1.9</v>
      </c>
      <c r="AM30" s="99">
        <v>0</v>
      </c>
      <c r="AN30" s="99">
        <v>4</v>
      </c>
      <c r="AO30" s="99">
        <v>0</v>
      </c>
      <c r="AP30" s="99">
        <v>3.05</v>
      </c>
      <c r="AQ30" s="99">
        <v>0</v>
      </c>
      <c r="AR30" s="99">
        <v>1.35</v>
      </c>
      <c r="AS30" s="99">
        <v>0</v>
      </c>
      <c r="AT30" s="99">
        <v>0</v>
      </c>
      <c r="AU30" s="99">
        <v>3.4</v>
      </c>
      <c r="AV30" s="99">
        <v>0</v>
      </c>
      <c r="AW30" s="99">
        <v>2.85</v>
      </c>
      <c r="AX30" s="100">
        <f t="shared" si="0"/>
        <v>16.55</v>
      </c>
      <c r="AY30" s="99">
        <v>1.58</v>
      </c>
      <c r="AZ30" s="99">
        <v>0.53</v>
      </c>
      <c r="BA30" s="99">
        <v>1.37</v>
      </c>
      <c r="BB30" s="99">
        <v>0.4</v>
      </c>
      <c r="BC30" s="99">
        <v>1.2</v>
      </c>
      <c r="BD30" s="99">
        <v>0.8</v>
      </c>
      <c r="BE30" s="99">
        <v>1.1000000000000001</v>
      </c>
      <c r="BF30" s="99">
        <v>0.84000000000000008</v>
      </c>
      <c r="BG30" s="99">
        <v>0.83000000000000007</v>
      </c>
      <c r="BH30" s="99">
        <v>4.45</v>
      </c>
      <c r="BI30" s="99">
        <v>1.5</v>
      </c>
      <c r="BJ30" s="99">
        <v>1.9</v>
      </c>
      <c r="BK30" s="99">
        <v>0.6333333333333333</v>
      </c>
      <c r="BL30" s="99">
        <v>1.1000000000000001</v>
      </c>
      <c r="BM30" s="100">
        <f t="shared" si="1"/>
        <v>18.233333333333334</v>
      </c>
      <c r="BN30" s="99">
        <v>10.64</v>
      </c>
      <c r="BO30" s="99">
        <v>1.1000000000000001</v>
      </c>
      <c r="BP30" s="99">
        <v>2.2999999999999998</v>
      </c>
      <c r="BQ30" s="100">
        <f t="shared" si="2"/>
        <v>14.04</v>
      </c>
      <c r="BR30" s="99">
        <v>0</v>
      </c>
      <c r="BS30" s="99">
        <v>1.7</v>
      </c>
      <c r="BT30" s="99">
        <v>0.4</v>
      </c>
      <c r="BU30" s="99">
        <v>0.4</v>
      </c>
      <c r="BV30" s="99">
        <v>0</v>
      </c>
      <c r="BW30" s="99">
        <v>0.4</v>
      </c>
      <c r="BX30" s="99">
        <v>0.2</v>
      </c>
      <c r="BY30" s="99">
        <v>0</v>
      </c>
      <c r="BZ30" s="99">
        <v>2.4</v>
      </c>
      <c r="CA30" s="101">
        <f t="shared" si="3"/>
        <v>5.5</v>
      </c>
      <c r="CB30" s="99">
        <v>1.2</v>
      </c>
      <c r="CC30" s="99">
        <f>Table_14345[[#This Row],[PREAJUSTE
32]]+0.5</f>
        <v>1.7</v>
      </c>
      <c r="CD30" s="99"/>
      <c r="CE30" s="99">
        <f>Table_14345[[#This Row],[AJUSTADO
32]]-Table_14345[[#This Row],[DIFERENCIA
32]]</f>
        <v>1.7</v>
      </c>
      <c r="CF30" s="102">
        <v>0</v>
      </c>
      <c r="CG30" s="102">
        <f>Table_14345[[#This Row],[PREAJUSTE
38]]+0.5</f>
        <v>0.5</v>
      </c>
      <c r="CH30" s="102"/>
      <c r="CI30" s="102">
        <f>Table_14345[[#This Row],[AJUSTADO
38]]-Table_14345[[#This Row],[DIFERENCIA
38]]</f>
        <v>0.5</v>
      </c>
    </row>
    <row r="31" spans="2:87" x14ac:dyDescent="0.3">
      <c r="B31" s="103">
        <f>Table_14345[[#This Row],[Resultado IIP
2019]]</f>
        <v>0</v>
      </c>
      <c r="C31" s="104">
        <f>Table_14345[[#This Row],[Resultado IIP
2021]]</f>
        <v>26.26</v>
      </c>
      <c r="D31" s="104">
        <f>Table_14345[[#This Row],[Resultado IIP
2023]]</f>
        <v>53.20000000000001</v>
      </c>
      <c r="E31" s="105"/>
      <c r="F31" s="223"/>
      <c r="G31" s="223">
        <f>Table_14345[[#This Row],[POSICIÓN
2021]]</f>
        <v>61</v>
      </c>
      <c r="H31" s="223">
        <f>Table_14345[[#This Row],[POSICIÓN
2023]]</f>
        <v>23</v>
      </c>
      <c r="I31" s="220"/>
      <c r="J31" s="106"/>
      <c r="K31" s="107"/>
      <c r="L31" s="107"/>
      <c r="M31" s="107"/>
      <c r="N31" s="201"/>
      <c r="O31" s="204">
        <v>61</v>
      </c>
      <c r="P31" s="108">
        <v>9.1</v>
      </c>
      <c r="Q31" s="109">
        <v>10.400000000000002</v>
      </c>
      <c r="R31" s="109">
        <v>4.3</v>
      </c>
      <c r="S31" s="109">
        <v>2.46</v>
      </c>
      <c r="T31" s="110">
        <f>Table_14345[[#This Row],[COM 1 - 2021]]+Table_14345[[#This Row],[COM 2 - 2021]]+Table_14345[[#This Row],[COM 3 - 2021]]+Table_14345[[#This Row],[COM 4 - 2021]]</f>
        <v>26.26</v>
      </c>
      <c r="U31" s="111">
        <v>25</v>
      </c>
      <c r="V31" s="111">
        <v>25</v>
      </c>
      <c r="W31" s="111">
        <v>26</v>
      </c>
      <c r="X31" s="210">
        <v>23</v>
      </c>
      <c r="Y31" s="112">
        <f>Table_14345[[#This Row],[COM 1 - 2023]]+Table_14345[[#This Row],[COM 2 - 2023]]+Table_14345[[#This Row],[COM 3 - 2023]]+Table_14345[[#This Row],[COM 4 - 2023]]</f>
        <v>53.20000000000001</v>
      </c>
      <c r="Z31" s="113">
        <f>Table_14345[[#This Row],[COM 1 (sumatoria)]]</f>
        <v>12.666666666666668</v>
      </c>
      <c r="AA31" s="113">
        <f>Table_14345[[#This Row],[COM 2 (sumatoria)]]</f>
        <v>19.033333333333335</v>
      </c>
      <c r="AB31" s="113">
        <f>Table_14345[[#This Row],[COM 3 (sumatoria)]]</f>
        <v>12.900000000000002</v>
      </c>
      <c r="AC31" s="114">
        <f>Table_14345[[#This Row],[COM 4 (sumatoria)]]</f>
        <v>8.6</v>
      </c>
      <c r="AD31" s="115">
        <f>Table_14345[[#This Row],[Resultado IIP
2023]]-Table_14345[[#This Row],[Resultado IIP
2021]]</f>
        <v>26.940000000000008</v>
      </c>
      <c r="AE31" s="116">
        <f>Table_14345[[#This Row],[COM 1 - 2023]]*100/25</f>
        <v>50.666666666666671</v>
      </c>
      <c r="AF31" s="116">
        <f>Table_14345[[#This Row],[COM 2 - 2023]]*100/35</f>
        <v>54.380952380952387</v>
      </c>
      <c r="AG31" s="116">
        <f>Table_14345[[#This Row],[COM 3 - 2023]]*100/25</f>
        <v>51.600000000000009</v>
      </c>
      <c r="AH31" s="116">
        <f>Table_14345[[#This Row],[COM 4 - 2023]]*100/15</f>
        <v>57.333333333333336</v>
      </c>
      <c r="AI31" s="117" t="s">
        <v>167</v>
      </c>
      <c r="AJ31" s="118" t="s">
        <v>192</v>
      </c>
      <c r="AK31" s="121">
        <v>0</v>
      </c>
      <c r="AL31" s="99">
        <v>2.8666666666666663</v>
      </c>
      <c r="AM31" s="99">
        <v>0</v>
      </c>
      <c r="AN31" s="99">
        <v>2.9</v>
      </c>
      <c r="AO31" s="99">
        <v>0</v>
      </c>
      <c r="AP31" s="99">
        <v>1.2999999999999998</v>
      </c>
      <c r="AQ31" s="99">
        <v>0</v>
      </c>
      <c r="AR31" s="99">
        <v>1.35</v>
      </c>
      <c r="AS31" s="99">
        <v>0</v>
      </c>
      <c r="AT31" s="99">
        <v>0</v>
      </c>
      <c r="AU31" s="99">
        <v>1.8</v>
      </c>
      <c r="AV31" s="99">
        <v>0</v>
      </c>
      <c r="AW31" s="99">
        <v>2.4500000000000002</v>
      </c>
      <c r="AX31" s="100">
        <f t="shared" si="0"/>
        <v>12.666666666666668</v>
      </c>
      <c r="AY31" s="99">
        <v>1.75</v>
      </c>
      <c r="AZ31" s="99">
        <v>0.6</v>
      </c>
      <c r="BA31" s="99">
        <v>1.5999999999999999</v>
      </c>
      <c r="BB31" s="99">
        <v>0.4</v>
      </c>
      <c r="BC31" s="99">
        <v>0.7</v>
      </c>
      <c r="BD31" s="99">
        <v>2.4</v>
      </c>
      <c r="BE31" s="99">
        <v>1.8</v>
      </c>
      <c r="BF31" s="99">
        <v>0.4</v>
      </c>
      <c r="BG31" s="99">
        <v>0.4</v>
      </c>
      <c r="BH31" s="99">
        <v>4.8499999999999996</v>
      </c>
      <c r="BI31" s="99">
        <v>2.1</v>
      </c>
      <c r="BJ31" s="99">
        <v>1.2</v>
      </c>
      <c r="BK31" s="99">
        <v>0.33333333333333337</v>
      </c>
      <c r="BL31" s="99">
        <v>0.5</v>
      </c>
      <c r="BM31" s="100">
        <f t="shared" si="1"/>
        <v>19.033333333333335</v>
      </c>
      <c r="BN31" s="99">
        <v>8.4</v>
      </c>
      <c r="BO31" s="99">
        <v>2.2000000000000002</v>
      </c>
      <c r="BP31" s="99">
        <v>2.2999999999999998</v>
      </c>
      <c r="BQ31" s="100">
        <f t="shared" si="2"/>
        <v>12.900000000000002</v>
      </c>
      <c r="BR31" s="99">
        <v>0</v>
      </c>
      <c r="BS31" s="99">
        <v>1.7</v>
      </c>
      <c r="BT31" s="99">
        <v>0.5</v>
      </c>
      <c r="BU31" s="99">
        <v>0.4</v>
      </c>
      <c r="BV31" s="99">
        <v>0.5</v>
      </c>
      <c r="BW31" s="99">
        <v>0.4</v>
      </c>
      <c r="BX31" s="99">
        <v>0.5</v>
      </c>
      <c r="BY31" s="99">
        <v>1</v>
      </c>
      <c r="BZ31" s="99">
        <v>3.6</v>
      </c>
      <c r="CA31" s="101">
        <f t="shared" si="3"/>
        <v>8.6</v>
      </c>
      <c r="CB31" s="99">
        <v>1.2</v>
      </c>
      <c r="CC31" s="99">
        <f>Table_14345[[#This Row],[PREAJUSTE
32]]+0.5</f>
        <v>1.7</v>
      </c>
      <c r="CD31" s="99"/>
      <c r="CE31" s="99">
        <f>Table_14345[[#This Row],[AJUSTADO
32]]-Table_14345[[#This Row],[DIFERENCIA
32]]</f>
        <v>1.7</v>
      </c>
      <c r="CF31" s="102">
        <v>0.6</v>
      </c>
      <c r="CG31" s="102">
        <f>Table_14345[[#This Row],[PREAJUSTE
38]]+0.5</f>
        <v>1.1000000000000001</v>
      </c>
      <c r="CH31" s="102">
        <f>Table_14345[[#This Row],[AJUSTADO
38]]-1</f>
        <v>0.10000000000000009</v>
      </c>
      <c r="CI31" s="102">
        <f>Table_14345[[#This Row],[AJUSTADO
38]]-Table_14345[[#This Row],[DIFERENCIA
38]]</f>
        <v>1</v>
      </c>
    </row>
    <row r="32" spans="2:87" x14ac:dyDescent="0.3">
      <c r="B32" s="103">
        <f>Table_14345[[#This Row],[Resultado IIP
2019]]</f>
        <v>0</v>
      </c>
      <c r="C32" s="104">
        <f>Table_14345[[#This Row],[Resultado IIP
2021]]</f>
        <v>47.6</v>
      </c>
      <c r="D32" s="104">
        <f>Table_14345[[#This Row],[Resultado IIP
2023]]</f>
        <v>52.839999999999996</v>
      </c>
      <c r="E32" s="105"/>
      <c r="F32" s="223"/>
      <c r="G32" s="223">
        <f>Table_14345[[#This Row],[POSICIÓN
2021]]</f>
        <v>21</v>
      </c>
      <c r="H32" s="223">
        <f>Table_14345[[#This Row],[POSICIÓN
2023]]</f>
        <v>24</v>
      </c>
      <c r="I32" s="219"/>
      <c r="J32" s="106"/>
      <c r="K32" s="107"/>
      <c r="L32" s="107"/>
      <c r="M32" s="107"/>
      <c r="N32" s="201"/>
      <c r="O32" s="203">
        <v>21</v>
      </c>
      <c r="P32" s="108">
        <v>13.7</v>
      </c>
      <c r="Q32" s="109">
        <v>15.600000000000001</v>
      </c>
      <c r="R32" s="109">
        <v>13.7</v>
      </c>
      <c r="S32" s="109">
        <v>4.5999999999999996</v>
      </c>
      <c r="T32" s="110">
        <f>Table_14345[[#This Row],[COM 1 - 2021]]+Table_14345[[#This Row],[COM 2 - 2021]]+Table_14345[[#This Row],[COM 3 - 2021]]+Table_14345[[#This Row],[COM 4 - 2021]]</f>
        <v>47.6</v>
      </c>
      <c r="U32" s="91">
        <v>27</v>
      </c>
      <c r="V32" s="91">
        <v>27</v>
      </c>
      <c r="W32" s="91">
        <v>25</v>
      </c>
      <c r="X32" s="209">
        <v>24</v>
      </c>
      <c r="Y32" s="112">
        <f>Table_14345[[#This Row],[COM 1 - 2023]]+Table_14345[[#This Row],[COM 2 - 2023]]+Table_14345[[#This Row],[COM 3 - 2023]]+Table_14345[[#This Row],[COM 4 - 2023]]</f>
        <v>52.839999999999996</v>
      </c>
      <c r="Z32" s="113">
        <f>Table_14345[[#This Row],[COM 1 (sumatoria)]]</f>
        <v>16.079999999999998</v>
      </c>
      <c r="AA32" s="113">
        <f>Table_14345[[#This Row],[COM 2 (sumatoria)]]</f>
        <v>15.209999999999999</v>
      </c>
      <c r="AB32" s="113">
        <f>Table_14345[[#This Row],[COM 3 (sumatoria)]]</f>
        <v>14.2</v>
      </c>
      <c r="AC32" s="114">
        <f>Table_14345[[#This Row],[COM 4 (sumatoria)]]</f>
        <v>7.35</v>
      </c>
      <c r="AD32" s="115">
        <f>Table_14345[[#This Row],[Resultado IIP
2023]]-Table_14345[[#This Row],[Resultado IIP
2021]]</f>
        <v>5.2399999999999949</v>
      </c>
      <c r="AE32" s="116">
        <f>Table_14345[[#This Row],[COM 1 - 2023]]*100/25</f>
        <v>64.319999999999993</v>
      </c>
      <c r="AF32" s="116">
        <f>Table_14345[[#This Row],[COM 2 - 2023]]*100/35</f>
        <v>43.457142857142856</v>
      </c>
      <c r="AG32" s="116">
        <f>Table_14345[[#This Row],[COM 3 - 2023]]*100/25</f>
        <v>56.8</v>
      </c>
      <c r="AH32" s="116">
        <f>Table_14345[[#This Row],[COM 4 - 2023]]*100/15</f>
        <v>49</v>
      </c>
      <c r="AI32" s="117" t="s">
        <v>167</v>
      </c>
      <c r="AJ32" s="118" t="s">
        <v>193</v>
      </c>
      <c r="AK32" s="99">
        <v>0</v>
      </c>
      <c r="AL32" s="127">
        <v>3.8</v>
      </c>
      <c r="AM32" s="99">
        <v>0</v>
      </c>
      <c r="AN32" s="99">
        <v>2.2999999999999998</v>
      </c>
      <c r="AO32" s="99">
        <v>0</v>
      </c>
      <c r="AP32" s="99">
        <v>1.3</v>
      </c>
      <c r="AQ32" s="99">
        <v>0</v>
      </c>
      <c r="AR32" s="99">
        <v>2.7</v>
      </c>
      <c r="AS32" s="99">
        <v>0</v>
      </c>
      <c r="AT32" s="99">
        <v>0</v>
      </c>
      <c r="AU32" s="99">
        <v>1.8</v>
      </c>
      <c r="AV32" s="99">
        <v>0</v>
      </c>
      <c r="AW32" s="127">
        <v>4.18</v>
      </c>
      <c r="AX32" s="100">
        <f t="shared" si="0"/>
        <v>16.079999999999998</v>
      </c>
      <c r="AY32" s="127">
        <v>2.1</v>
      </c>
      <c r="AZ32" s="99">
        <v>0.6</v>
      </c>
      <c r="BA32" s="127">
        <v>2.8</v>
      </c>
      <c r="BB32" s="99">
        <v>0</v>
      </c>
      <c r="BC32" s="99">
        <v>0.83</v>
      </c>
      <c r="BD32" s="99">
        <v>0</v>
      </c>
      <c r="BE32" s="99">
        <v>1.1000000000000001</v>
      </c>
      <c r="BF32" s="99">
        <v>0.5</v>
      </c>
      <c r="BG32" s="99">
        <v>0.4</v>
      </c>
      <c r="BH32" s="127">
        <v>3.28</v>
      </c>
      <c r="BI32" s="99">
        <v>0</v>
      </c>
      <c r="BJ32" s="127">
        <v>2.5</v>
      </c>
      <c r="BK32" s="99">
        <v>1.1000000000000001</v>
      </c>
      <c r="BL32" s="99">
        <v>0</v>
      </c>
      <c r="BM32" s="100">
        <f t="shared" si="1"/>
        <v>15.209999999999999</v>
      </c>
      <c r="BN32" s="127">
        <v>13.1</v>
      </c>
      <c r="BO32" s="99">
        <v>1.1000000000000001</v>
      </c>
      <c r="BP32" s="99">
        <v>0</v>
      </c>
      <c r="BQ32" s="100">
        <f t="shared" si="2"/>
        <v>14.2</v>
      </c>
      <c r="BR32" s="120">
        <v>0</v>
      </c>
      <c r="BS32" s="120">
        <v>1.4</v>
      </c>
      <c r="BT32" s="120">
        <v>0</v>
      </c>
      <c r="BU32" s="120">
        <v>1</v>
      </c>
      <c r="BV32" s="120">
        <v>1</v>
      </c>
      <c r="BW32" s="120">
        <v>0.95</v>
      </c>
      <c r="BX32" s="120">
        <v>0</v>
      </c>
      <c r="BY32" s="120">
        <v>0</v>
      </c>
      <c r="BZ32" s="120">
        <v>3</v>
      </c>
      <c r="CA32" s="101">
        <f t="shared" si="3"/>
        <v>7.35</v>
      </c>
      <c r="CB32" s="99">
        <v>0.9</v>
      </c>
      <c r="CC32" s="99">
        <f>Table_14345[[#This Row],[PREAJUSTE
32]]+0.5</f>
        <v>1.4</v>
      </c>
      <c r="CD32" s="99"/>
      <c r="CE32" s="99">
        <f>Table_14345[[#This Row],[AJUSTADO
32]]-Table_14345[[#This Row],[DIFERENCIA
32]]</f>
        <v>1.4</v>
      </c>
      <c r="CF32" s="102">
        <v>0</v>
      </c>
      <c r="CG32" s="102">
        <f>Table_14345[[#This Row],[PREAJUSTE
38]]+0.5</f>
        <v>0.5</v>
      </c>
      <c r="CH32" s="102"/>
      <c r="CI32" s="102">
        <f>Table_14345[[#This Row],[AJUSTADO
38]]-Table_14345[[#This Row],[DIFERENCIA
38]]</f>
        <v>0.5</v>
      </c>
    </row>
    <row r="33" spans="2:87" x14ac:dyDescent="0.3">
      <c r="B33" s="103">
        <f>Table_14345[[#This Row],[Resultado IIP
2019]]</f>
        <v>9.24</v>
      </c>
      <c r="C33" s="104">
        <f>Table_14345[[#This Row],[Resultado IIP
2021]]</f>
        <v>34.020000000000003</v>
      </c>
      <c r="D33" s="104">
        <f>Table_14345[[#This Row],[Resultado IIP
2023]]</f>
        <v>51.536666666666662</v>
      </c>
      <c r="E33" s="105"/>
      <c r="F33" s="223">
        <f>Table_14345[[#This Row],[POSICIÓN
2019]]</f>
        <v>37</v>
      </c>
      <c r="G33" s="223">
        <f>Table_14345[[#This Row],[POSICIÓN
2021]]</f>
        <v>51</v>
      </c>
      <c r="H33" s="223">
        <f>Table_14345[[#This Row],[POSICIÓN
2023]]</f>
        <v>25</v>
      </c>
      <c r="I33" s="220">
        <v>37</v>
      </c>
      <c r="J33" s="106">
        <v>26.67</v>
      </c>
      <c r="K33" s="107">
        <v>6.43</v>
      </c>
      <c r="L33" s="107">
        <v>0</v>
      </c>
      <c r="M33" s="107">
        <v>0</v>
      </c>
      <c r="N33" s="201">
        <v>9.24</v>
      </c>
      <c r="O33" s="204">
        <v>51</v>
      </c>
      <c r="P33" s="108">
        <v>9.6900000000000013</v>
      </c>
      <c r="Q33" s="109">
        <v>11.15</v>
      </c>
      <c r="R33" s="109">
        <v>8.1499999999999986</v>
      </c>
      <c r="S33" s="109">
        <v>5.03</v>
      </c>
      <c r="T33" s="110">
        <f>Table_14345[[#This Row],[COM 1 - 2021]]+Table_14345[[#This Row],[COM 2 - 2021]]+Table_14345[[#This Row],[COM 3 - 2021]]+Table_14345[[#This Row],[COM 4 - 2021]]</f>
        <v>34.020000000000003</v>
      </c>
      <c r="U33" s="111">
        <v>29</v>
      </c>
      <c r="V33" s="111">
        <v>30</v>
      </c>
      <c r="W33" s="111">
        <v>28</v>
      </c>
      <c r="X33" s="210">
        <v>25</v>
      </c>
      <c r="Y33" s="112">
        <f>Table_14345[[#This Row],[COM 1 - 2023]]+Table_14345[[#This Row],[COM 2 - 2023]]+Table_14345[[#This Row],[COM 3 - 2023]]+Table_14345[[#This Row],[COM 4 - 2023]]</f>
        <v>51.536666666666662</v>
      </c>
      <c r="Z33" s="113">
        <f>Table_14345[[#This Row],[COM 1 (sumatoria)]]</f>
        <v>13.213333333333333</v>
      </c>
      <c r="AA33" s="113">
        <f>Table_14345[[#This Row],[COM 2 (sumatoria)]]</f>
        <v>18.823333333333338</v>
      </c>
      <c r="AB33" s="113">
        <f>Table_14345[[#This Row],[COM 3 (sumatoria)]]</f>
        <v>10.7</v>
      </c>
      <c r="AC33" s="114">
        <f>Table_14345[[#This Row],[COM 4 (sumatoria)]]</f>
        <v>8.8000000000000007</v>
      </c>
      <c r="AD33" s="115">
        <f>Table_14345[[#This Row],[Resultado IIP
2023]]-Table_14345[[#This Row],[Resultado IIP
2021]]</f>
        <v>17.516666666666659</v>
      </c>
      <c r="AE33" s="116">
        <f>Table_14345[[#This Row],[COM 1 - 2023]]*100/25</f>
        <v>52.853333333333332</v>
      </c>
      <c r="AF33" s="116">
        <f>Table_14345[[#This Row],[COM 2 - 2023]]*100/35</f>
        <v>53.780952380952392</v>
      </c>
      <c r="AG33" s="116">
        <f>Table_14345[[#This Row],[COM 3 - 2023]]*100/25</f>
        <v>42.8</v>
      </c>
      <c r="AH33" s="116">
        <f>Table_14345[[#This Row],[COM 4 - 2023]]*100/15</f>
        <v>58.666666666666671</v>
      </c>
      <c r="AI33" s="117" t="s">
        <v>167</v>
      </c>
      <c r="AJ33" s="118" t="s">
        <v>194</v>
      </c>
      <c r="AK33" s="121">
        <v>0</v>
      </c>
      <c r="AL33" s="99">
        <v>2.7333333333333329</v>
      </c>
      <c r="AM33" s="99">
        <v>0</v>
      </c>
      <c r="AN33" s="99">
        <v>0</v>
      </c>
      <c r="AO33" s="99">
        <v>0</v>
      </c>
      <c r="AP33" s="99">
        <v>1.2999999999999998</v>
      </c>
      <c r="AQ33" s="99">
        <v>0</v>
      </c>
      <c r="AR33" s="99">
        <v>4</v>
      </c>
      <c r="AS33" s="99">
        <v>0</v>
      </c>
      <c r="AT33" s="99">
        <v>0</v>
      </c>
      <c r="AU33" s="99">
        <v>2.4</v>
      </c>
      <c r="AV33" s="99">
        <v>0</v>
      </c>
      <c r="AW33" s="99">
        <v>2.78</v>
      </c>
      <c r="AX33" s="100">
        <f t="shared" si="0"/>
        <v>13.213333333333333</v>
      </c>
      <c r="AY33" s="99">
        <v>1.75</v>
      </c>
      <c r="AZ33" s="99">
        <v>1</v>
      </c>
      <c r="BA33" s="99">
        <v>1.7</v>
      </c>
      <c r="BB33" s="99">
        <v>1.2</v>
      </c>
      <c r="BC33" s="99">
        <v>0.89999999999999991</v>
      </c>
      <c r="BD33" s="99">
        <v>1.8</v>
      </c>
      <c r="BE33" s="99">
        <v>1.8</v>
      </c>
      <c r="BF33" s="99">
        <v>0.84000000000000008</v>
      </c>
      <c r="BG33" s="99">
        <v>0.8</v>
      </c>
      <c r="BH33" s="99">
        <v>3.5833333333333335</v>
      </c>
      <c r="BI33" s="99">
        <v>1.65</v>
      </c>
      <c r="BJ33" s="99">
        <v>1.0000000000000002</v>
      </c>
      <c r="BK33" s="99">
        <v>0.30000000000000004</v>
      </c>
      <c r="BL33" s="99">
        <v>0.5</v>
      </c>
      <c r="BM33" s="100">
        <f t="shared" si="1"/>
        <v>18.823333333333338</v>
      </c>
      <c r="BN33" s="99">
        <v>8.5</v>
      </c>
      <c r="BO33" s="99">
        <v>1.1000000000000001</v>
      </c>
      <c r="BP33" s="99">
        <v>1.1000000000000001</v>
      </c>
      <c r="BQ33" s="100">
        <f t="shared" si="2"/>
        <v>10.7</v>
      </c>
      <c r="BR33" s="99">
        <f>[4]Matriz!$M$99</f>
        <v>0</v>
      </c>
      <c r="BS33" s="99">
        <v>2</v>
      </c>
      <c r="BT33" s="99">
        <v>1</v>
      </c>
      <c r="BU33" s="99">
        <v>0.5</v>
      </c>
      <c r="BV33" s="99">
        <v>1</v>
      </c>
      <c r="BW33" s="99">
        <v>1</v>
      </c>
      <c r="BX33" s="99">
        <v>0</v>
      </c>
      <c r="BY33" s="99">
        <v>0.9</v>
      </c>
      <c r="BZ33" s="99">
        <f>[4]Matriz!$M$111</f>
        <v>2.4</v>
      </c>
      <c r="CA33" s="101">
        <f t="shared" si="3"/>
        <v>8.8000000000000007</v>
      </c>
      <c r="CB33" s="99">
        <v>1.5</v>
      </c>
      <c r="CC33" s="99">
        <f>Table_14345[[#This Row],[PREAJUSTE
32]]+0.5</f>
        <v>2</v>
      </c>
      <c r="CD33" s="99"/>
      <c r="CE33" s="99">
        <f>Table_14345[[#This Row],[AJUSTADO
32]]-Table_14345[[#This Row],[DIFERENCIA
32]]</f>
        <v>2</v>
      </c>
      <c r="CF33" s="102">
        <v>0.4</v>
      </c>
      <c r="CG33" s="102">
        <f>Table_14345[[#This Row],[PREAJUSTE
38]]+0.5</f>
        <v>0.9</v>
      </c>
      <c r="CH33" s="102"/>
      <c r="CI33" s="102">
        <f>Table_14345[[#This Row],[AJUSTADO
38]]-Table_14345[[#This Row],[DIFERENCIA
38]]</f>
        <v>0.9</v>
      </c>
    </row>
    <row r="34" spans="2:87" x14ac:dyDescent="0.3">
      <c r="B34" s="103">
        <f>Table_14345[[#This Row],[Resultado IIP
2019]]</f>
        <v>0</v>
      </c>
      <c r="C34" s="104">
        <f>Table_14345[[#This Row],[Resultado IIP
2021]]</f>
        <v>32.242999999999995</v>
      </c>
      <c r="D34" s="104">
        <f>Table_14345[[#This Row],[Resultado IIP
2023]]</f>
        <v>51.290000000000006</v>
      </c>
      <c r="E34" s="105"/>
      <c r="F34" s="223"/>
      <c r="G34" s="223">
        <f>Table_14345[[#This Row],[POSICIÓN
2021]]</f>
        <v>54</v>
      </c>
      <c r="H34" s="223">
        <f>Table_14345[[#This Row],[POSICIÓN
2023]]</f>
        <v>26</v>
      </c>
      <c r="I34" s="220"/>
      <c r="J34" s="106"/>
      <c r="K34" s="107"/>
      <c r="L34" s="107"/>
      <c r="M34" s="125"/>
      <c r="N34" s="201"/>
      <c r="O34" s="204">
        <v>54</v>
      </c>
      <c r="P34" s="108">
        <v>9.9699999999999989</v>
      </c>
      <c r="Q34" s="109">
        <v>13.75</v>
      </c>
      <c r="R34" s="109">
        <v>4.45</v>
      </c>
      <c r="S34" s="109">
        <v>4.0729999999999995</v>
      </c>
      <c r="T34" s="126">
        <f>Table_14345[[#This Row],[COM 1 - 2021]]+Table_14345[[#This Row],[COM 2 - 2021]]+Table_14345[[#This Row],[COM 3 - 2021]]+Table_14345[[#This Row],[COM 4 - 2021]]</f>
        <v>32.242999999999995</v>
      </c>
      <c r="U34" s="111">
        <v>13</v>
      </c>
      <c r="V34" s="111">
        <v>13</v>
      </c>
      <c r="W34" s="111">
        <v>31</v>
      </c>
      <c r="X34" s="210">
        <v>26</v>
      </c>
      <c r="Y34" s="112">
        <f>Table_14345[[#This Row],[COM 1 - 2023]]+Table_14345[[#This Row],[COM 2 - 2023]]+Table_14345[[#This Row],[COM 3 - 2023]]+Table_14345[[#This Row],[COM 4 - 2023]]</f>
        <v>51.290000000000006</v>
      </c>
      <c r="Z34" s="113">
        <f>Table_14345[[#This Row],[COM 1 (sumatoria)]]</f>
        <v>13.700000000000001</v>
      </c>
      <c r="AA34" s="113">
        <f>Table_14345[[#This Row],[COM 2 (sumatoria)]]</f>
        <v>18.310000000000002</v>
      </c>
      <c r="AB34" s="113">
        <f>Table_14345[[#This Row],[COM 3 (sumatoria)]]</f>
        <v>11.68</v>
      </c>
      <c r="AC34" s="114">
        <f>Table_14345[[#This Row],[COM 4 (sumatoria)]]</f>
        <v>7.6</v>
      </c>
      <c r="AD34" s="115">
        <f>Table_14345[[#This Row],[Resultado IIP
2023]]-Table_14345[[#This Row],[Resultado IIP
2021]]</f>
        <v>19.047000000000011</v>
      </c>
      <c r="AE34" s="116">
        <f>Table_14345[[#This Row],[COM 1 - 2023]]*100/25</f>
        <v>54.8</v>
      </c>
      <c r="AF34" s="116">
        <f>Table_14345[[#This Row],[COM 2 - 2023]]*100/35</f>
        <v>52.314285714285724</v>
      </c>
      <c r="AG34" s="116">
        <f>Table_14345[[#This Row],[COM 3 - 2023]]*100/25</f>
        <v>46.72</v>
      </c>
      <c r="AH34" s="116">
        <f>Table_14345[[#This Row],[COM 4 - 2023]]*100/15</f>
        <v>50.666666666666664</v>
      </c>
      <c r="AI34" s="117" t="s">
        <v>167</v>
      </c>
      <c r="AJ34" s="118" t="s">
        <v>195</v>
      </c>
      <c r="AK34" s="121">
        <v>0</v>
      </c>
      <c r="AL34" s="99">
        <v>2.27</v>
      </c>
      <c r="AM34" s="99"/>
      <c r="AN34" s="99">
        <v>3.3</v>
      </c>
      <c r="AO34" s="99"/>
      <c r="AP34" s="99">
        <v>1.3</v>
      </c>
      <c r="AQ34" s="99"/>
      <c r="AR34" s="99">
        <v>1.95</v>
      </c>
      <c r="AS34" s="99"/>
      <c r="AT34" s="99"/>
      <c r="AU34" s="99">
        <v>2.4</v>
      </c>
      <c r="AV34" s="99"/>
      <c r="AW34" s="99">
        <v>2.48</v>
      </c>
      <c r="AX34" s="100">
        <f t="shared" si="0"/>
        <v>13.700000000000001</v>
      </c>
      <c r="AY34" s="99">
        <v>1.5</v>
      </c>
      <c r="AZ34" s="99">
        <v>0.5</v>
      </c>
      <c r="BA34" s="99">
        <v>1.9</v>
      </c>
      <c r="BB34" s="99">
        <v>1.05</v>
      </c>
      <c r="BC34" s="99">
        <v>0.9</v>
      </c>
      <c r="BD34" s="99">
        <v>1.9</v>
      </c>
      <c r="BE34" s="99">
        <v>2.2000000000000002</v>
      </c>
      <c r="BF34" s="99">
        <v>0.4</v>
      </c>
      <c r="BG34" s="99">
        <v>0.7</v>
      </c>
      <c r="BH34" s="99">
        <v>3.08</v>
      </c>
      <c r="BI34" s="99">
        <v>1.8</v>
      </c>
      <c r="BJ34" s="99">
        <v>1.35</v>
      </c>
      <c r="BK34" s="99">
        <v>0.53</v>
      </c>
      <c r="BL34" s="99">
        <v>0.5</v>
      </c>
      <c r="BM34" s="100">
        <f t="shared" si="1"/>
        <v>18.310000000000002</v>
      </c>
      <c r="BN34" s="99">
        <v>9.48</v>
      </c>
      <c r="BO34" s="99">
        <v>1.1000000000000001</v>
      </c>
      <c r="BP34" s="99">
        <v>1.1000000000000001</v>
      </c>
      <c r="BQ34" s="100">
        <f t="shared" si="2"/>
        <v>11.68</v>
      </c>
      <c r="BR34" s="99">
        <v>0</v>
      </c>
      <c r="BS34" s="99">
        <v>2.2999999999999998</v>
      </c>
      <c r="BT34" s="99">
        <v>0.7</v>
      </c>
      <c r="BU34" s="99">
        <v>0.6</v>
      </c>
      <c r="BV34" s="99">
        <v>0.4</v>
      </c>
      <c r="BW34" s="99">
        <v>0.3</v>
      </c>
      <c r="BX34" s="99">
        <v>0.2</v>
      </c>
      <c r="BY34" s="99">
        <v>0.7</v>
      </c>
      <c r="BZ34" s="99">
        <v>2.4</v>
      </c>
      <c r="CA34" s="101">
        <f t="shared" si="3"/>
        <v>7.6</v>
      </c>
      <c r="CB34" s="99">
        <v>1.8</v>
      </c>
      <c r="CC34" s="99">
        <f>Table_14345[[#This Row],[PREAJUSTE
32]]+0.5</f>
        <v>2.2999999999999998</v>
      </c>
      <c r="CD34" s="99"/>
      <c r="CE34" s="99">
        <f>Table_14345[[#This Row],[AJUSTADO
32]]-Table_14345[[#This Row],[DIFERENCIA
32]]</f>
        <v>2.2999999999999998</v>
      </c>
      <c r="CF34" s="102">
        <v>0.2</v>
      </c>
      <c r="CG34" s="102">
        <f>Table_14345[[#This Row],[PREAJUSTE
38]]+0.5</f>
        <v>0.7</v>
      </c>
      <c r="CH34" s="102"/>
      <c r="CI34" s="102">
        <f>Table_14345[[#This Row],[AJUSTADO
38]]-Table_14345[[#This Row],[DIFERENCIA
38]]</f>
        <v>0.7</v>
      </c>
    </row>
    <row r="35" spans="2:87" x14ac:dyDescent="0.3">
      <c r="B35" s="103">
        <f>Table_14345[[#This Row],[Resultado IIP
2019]]</f>
        <v>42.84</v>
      </c>
      <c r="C35" s="104">
        <f>Table_14345[[#This Row],[Resultado IIP
2021]]</f>
        <v>45.690000000000005</v>
      </c>
      <c r="D35" s="104">
        <f>Table_14345[[#This Row],[Resultado IIP
2023]]</f>
        <v>51.205952380952382</v>
      </c>
      <c r="E35" s="105"/>
      <c r="F35" s="223">
        <f>Table_14345[[#This Row],[POSICIÓN
2019]]</f>
        <v>16</v>
      </c>
      <c r="G35" s="223">
        <f>Table_14345[[#This Row],[POSICIÓN
2021]]</f>
        <v>23</v>
      </c>
      <c r="H35" s="223">
        <f>Table_14345[[#This Row],[POSICIÓN
2023]]</f>
        <v>27</v>
      </c>
      <c r="I35" s="219">
        <v>16</v>
      </c>
      <c r="J35" s="106">
        <v>25.62</v>
      </c>
      <c r="K35" s="107">
        <v>31.28</v>
      </c>
      <c r="L35" s="107">
        <v>80</v>
      </c>
      <c r="M35" s="107">
        <v>39.22</v>
      </c>
      <c r="N35" s="201">
        <v>42.84</v>
      </c>
      <c r="O35" s="203">
        <v>23</v>
      </c>
      <c r="P35" s="108">
        <v>13.3</v>
      </c>
      <c r="Q35" s="109">
        <v>14.339999999999998</v>
      </c>
      <c r="R35" s="109">
        <v>14.2</v>
      </c>
      <c r="S35" s="109">
        <v>3.85</v>
      </c>
      <c r="T35" s="110">
        <f>Table_14345[[#This Row],[COM 1 - 2021]]+Table_14345[[#This Row],[COM 2 - 2021]]+Table_14345[[#This Row],[COM 3 - 2021]]+Table_14345[[#This Row],[COM 4 - 2021]]</f>
        <v>45.690000000000005</v>
      </c>
      <c r="U35" s="111">
        <v>32</v>
      </c>
      <c r="V35" s="111">
        <v>32</v>
      </c>
      <c r="W35" s="91">
        <v>27</v>
      </c>
      <c r="X35" s="209">
        <v>27</v>
      </c>
      <c r="Y35" s="112">
        <f>Table_14345[[#This Row],[COM 1 - 2023]]+Table_14345[[#This Row],[COM 2 - 2023]]+Table_14345[[#This Row],[COM 3 - 2023]]+Table_14345[[#This Row],[COM 4 - 2023]]</f>
        <v>51.205952380952382</v>
      </c>
      <c r="Z35" s="113">
        <f>Table_14345[[#This Row],[COM 1 (sumatoria)]]</f>
        <v>15.664285714285715</v>
      </c>
      <c r="AA35" s="113">
        <f>Table_14345[[#This Row],[COM 2 (sumatoria)]]</f>
        <v>12.441666666666666</v>
      </c>
      <c r="AB35" s="113">
        <f>Table_14345[[#This Row],[COM 3 (sumatoria)]]</f>
        <v>14.75</v>
      </c>
      <c r="AC35" s="114">
        <f>Table_14345[[#This Row],[COM 4 (sumatoria)]]</f>
        <v>8.35</v>
      </c>
      <c r="AD35" s="115">
        <f>Table_14345[[#This Row],[Resultado IIP
2023]]-Table_14345[[#This Row],[Resultado IIP
2021]]</f>
        <v>5.5159523809523776</v>
      </c>
      <c r="AE35" s="116">
        <f>Table_14345[[#This Row],[COM 1 - 2023]]*100/25</f>
        <v>62.657142857142865</v>
      </c>
      <c r="AF35" s="116">
        <f>Table_14345[[#This Row],[COM 2 - 2023]]*100/35</f>
        <v>35.547619047619051</v>
      </c>
      <c r="AG35" s="116">
        <f>Table_14345[[#This Row],[COM 3 - 2023]]*100/25</f>
        <v>59</v>
      </c>
      <c r="AH35" s="116">
        <f>Table_14345[[#This Row],[COM 4 - 2023]]*100/15</f>
        <v>55.666666666666664</v>
      </c>
      <c r="AI35" s="117" t="s">
        <v>167</v>
      </c>
      <c r="AJ35" s="118" t="s">
        <v>196</v>
      </c>
      <c r="AK35" s="99">
        <v>0</v>
      </c>
      <c r="AL35" s="99">
        <v>2.6</v>
      </c>
      <c r="AM35" s="99">
        <v>0</v>
      </c>
      <c r="AN35" s="99">
        <v>2.9</v>
      </c>
      <c r="AO35" s="99">
        <v>0</v>
      </c>
      <c r="AP35" s="99">
        <v>1.9</v>
      </c>
      <c r="AQ35" s="99">
        <v>0</v>
      </c>
      <c r="AR35" s="99">
        <v>1.65</v>
      </c>
      <c r="AS35" s="99">
        <v>0</v>
      </c>
      <c r="AT35" s="99">
        <v>0</v>
      </c>
      <c r="AU35" s="99">
        <v>3.9</v>
      </c>
      <c r="AV35" s="99">
        <v>0</v>
      </c>
      <c r="AW35" s="99">
        <v>2.7142857142857144</v>
      </c>
      <c r="AX35" s="100">
        <f t="shared" si="0"/>
        <v>15.664285714285715</v>
      </c>
      <c r="AY35" s="99">
        <v>0</v>
      </c>
      <c r="AZ35" s="99">
        <v>0.7</v>
      </c>
      <c r="BA35" s="99">
        <v>0.7</v>
      </c>
      <c r="BB35" s="99">
        <v>0.5</v>
      </c>
      <c r="BC35" s="99">
        <v>0.8</v>
      </c>
      <c r="BD35" s="99">
        <v>0.8</v>
      </c>
      <c r="BE35" s="99">
        <v>1.1000000000000001</v>
      </c>
      <c r="BF35" s="99">
        <v>1</v>
      </c>
      <c r="BG35" s="99">
        <v>0.7</v>
      </c>
      <c r="BH35" s="99">
        <v>2.2083333333333335</v>
      </c>
      <c r="BI35" s="99">
        <v>1.5</v>
      </c>
      <c r="BJ35" s="99">
        <v>1.1000000000000001</v>
      </c>
      <c r="BK35" s="99">
        <v>0.83333333333333326</v>
      </c>
      <c r="BL35" s="99">
        <v>0.5</v>
      </c>
      <c r="BM35" s="100">
        <f t="shared" si="1"/>
        <v>12.441666666666666</v>
      </c>
      <c r="BN35" s="99">
        <v>12.55</v>
      </c>
      <c r="BO35" s="99">
        <v>1.1000000000000001</v>
      </c>
      <c r="BP35" s="99">
        <v>1.1000000000000001</v>
      </c>
      <c r="BQ35" s="100">
        <f t="shared" si="2"/>
        <v>14.75</v>
      </c>
      <c r="BR35" s="120">
        <v>0</v>
      </c>
      <c r="BS35" s="120">
        <v>2.15</v>
      </c>
      <c r="BT35" s="120">
        <v>0.85000000000000009</v>
      </c>
      <c r="BU35" s="120">
        <v>0.85000000000000009</v>
      </c>
      <c r="BV35" s="120">
        <v>1</v>
      </c>
      <c r="BW35" s="120">
        <v>0.85000000000000009</v>
      </c>
      <c r="BX35" s="120">
        <v>0.85000000000000009</v>
      </c>
      <c r="BY35" s="120">
        <v>0</v>
      </c>
      <c r="BZ35" s="120">
        <v>1.8</v>
      </c>
      <c r="CA35" s="101">
        <f t="shared" si="3"/>
        <v>8.35</v>
      </c>
      <c r="CB35" s="99">
        <v>1.65</v>
      </c>
      <c r="CC35" s="99">
        <f>Table_14345[[#This Row],[PREAJUSTE
32]]+0.5</f>
        <v>2.15</v>
      </c>
      <c r="CD35" s="99"/>
      <c r="CE35" s="99">
        <f>Table_14345[[#This Row],[AJUSTADO
32]]-Table_14345[[#This Row],[DIFERENCIA
32]]</f>
        <v>2.15</v>
      </c>
      <c r="CF35" s="102">
        <v>0</v>
      </c>
      <c r="CG35" s="102">
        <f>Table_14345[[#This Row],[PREAJUSTE
38]]+0.5</f>
        <v>0.5</v>
      </c>
      <c r="CH35" s="102"/>
      <c r="CI35" s="102">
        <f>Table_14345[[#This Row],[AJUSTADO
38]]-Table_14345[[#This Row],[DIFERENCIA
38]]</f>
        <v>0.5</v>
      </c>
    </row>
    <row r="36" spans="2:87" x14ac:dyDescent="0.3">
      <c r="B36" s="103">
        <f>Table_14345[[#This Row],[Resultado IIP
2019]]</f>
        <v>0</v>
      </c>
      <c r="C36" s="104">
        <f>Table_14345[[#This Row],[Resultado IIP
2021]]</f>
        <v>26.659999999999997</v>
      </c>
      <c r="D36" s="104">
        <f>Table_14345[[#This Row],[Resultado IIP
2023]]</f>
        <v>50.958333333333336</v>
      </c>
      <c r="E36" s="105"/>
      <c r="F36" s="223"/>
      <c r="G36" s="223">
        <f>Table_14345[[#This Row],[POSICIÓN
2021]]</f>
        <v>60</v>
      </c>
      <c r="H36" s="223">
        <f>Table_14345[[#This Row],[POSICIÓN
2023]]</f>
        <v>28</v>
      </c>
      <c r="I36" s="220"/>
      <c r="J36" s="106"/>
      <c r="K36" s="107"/>
      <c r="L36" s="107"/>
      <c r="M36" s="107"/>
      <c r="N36" s="201"/>
      <c r="O36" s="204">
        <v>60</v>
      </c>
      <c r="P36" s="108">
        <v>6.7</v>
      </c>
      <c r="Q36" s="109">
        <v>10.620000000000001</v>
      </c>
      <c r="R36" s="109">
        <v>5.8999999999999995</v>
      </c>
      <c r="S36" s="109">
        <v>3.4399999999999995</v>
      </c>
      <c r="T36" s="110">
        <f>Table_14345[[#This Row],[COM 1 - 2021]]+Table_14345[[#This Row],[COM 2 - 2021]]+Table_14345[[#This Row],[COM 3 - 2021]]+Table_14345[[#This Row],[COM 4 - 2021]]</f>
        <v>26.659999999999997</v>
      </c>
      <c r="U36" s="91">
        <v>33</v>
      </c>
      <c r="V36" s="91">
        <v>33</v>
      </c>
      <c r="W36" s="111">
        <v>29</v>
      </c>
      <c r="X36" s="210">
        <v>28</v>
      </c>
      <c r="Y36" s="112">
        <f>Table_14345[[#This Row],[COM 1 - 2023]]+Table_14345[[#This Row],[COM 2 - 2023]]+Table_14345[[#This Row],[COM 3 - 2023]]+Table_14345[[#This Row],[COM 4 - 2023]]</f>
        <v>50.958333333333336</v>
      </c>
      <c r="Z36" s="113">
        <f>Table_14345[[#This Row],[COM 1 (sumatoria)]]</f>
        <v>16.265000000000001</v>
      </c>
      <c r="AA36" s="113">
        <f>Table_14345[[#This Row],[COM 2 (sumatoria)]]</f>
        <v>14.115555555555556</v>
      </c>
      <c r="AB36" s="113">
        <f>Table_14345[[#This Row],[COM 3 (sumatoria)]]</f>
        <v>11.577777777777778</v>
      </c>
      <c r="AC36" s="114">
        <f>Table_14345[[#This Row],[COM 4 (sumatoria)]]</f>
        <v>9</v>
      </c>
      <c r="AD36" s="115">
        <f>Table_14345[[#This Row],[Resultado IIP
2023]]-Table_14345[[#This Row],[Resultado IIP
2021]]</f>
        <v>24.298333333333339</v>
      </c>
      <c r="AE36" s="116">
        <f>Table_14345[[#This Row],[COM 1 - 2023]]*100/25</f>
        <v>65.06</v>
      </c>
      <c r="AF36" s="116">
        <f>Table_14345[[#This Row],[COM 2 - 2023]]*100/35</f>
        <v>40.330158730158736</v>
      </c>
      <c r="AG36" s="116">
        <f>Table_14345[[#This Row],[COM 3 - 2023]]*100/25</f>
        <v>46.31111111111111</v>
      </c>
      <c r="AH36" s="116">
        <f>Table_14345[[#This Row],[COM 4 - 2023]]*100/15</f>
        <v>60</v>
      </c>
      <c r="AI36" s="117" t="s">
        <v>167</v>
      </c>
      <c r="AJ36" s="118" t="s">
        <v>197</v>
      </c>
      <c r="AK36" s="121">
        <v>0</v>
      </c>
      <c r="AL36" s="99">
        <v>3.3</v>
      </c>
      <c r="AM36" s="99">
        <v>0</v>
      </c>
      <c r="AN36" s="99">
        <v>2.9</v>
      </c>
      <c r="AO36" s="99">
        <v>0</v>
      </c>
      <c r="AP36" s="99">
        <v>2.35</v>
      </c>
      <c r="AQ36" s="99">
        <v>0</v>
      </c>
      <c r="AR36" s="99">
        <v>1.35</v>
      </c>
      <c r="AS36" s="99">
        <v>0</v>
      </c>
      <c r="AT36" s="99">
        <v>0</v>
      </c>
      <c r="AU36" s="99">
        <v>3.9</v>
      </c>
      <c r="AV36" s="99">
        <v>0</v>
      </c>
      <c r="AW36" s="99">
        <v>2.4649999999999999</v>
      </c>
      <c r="AX36" s="100">
        <f t="shared" si="0"/>
        <v>16.265000000000001</v>
      </c>
      <c r="AY36" s="99">
        <v>0</v>
      </c>
      <c r="AZ36" s="99">
        <v>0.4</v>
      </c>
      <c r="BA36" s="99">
        <v>2.13</v>
      </c>
      <c r="BB36" s="99">
        <v>0.99</v>
      </c>
      <c r="BC36" s="99">
        <v>0.65</v>
      </c>
      <c r="BD36" s="99">
        <v>0.8</v>
      </c>
      <c r="BE36" s="99">
        <v>1.7</v>
      </c>
      <c r="BF36" s="99">
        <v>0.60000000000000009</v>
      </c>
      <c r="BG36" s="99">
        <v>0.84000000000000008</v>
      </c>
      <c r="BH36" s="99">
        <v>2.6555555555555554</v>
      </c>
      <c r="BI36" s="99">
        <v>1.05</v>
      </c>
      <c r="BJ36" s="99">
        <v>1.3</v>
      </c>
      <c r="BK36" s="99">
        <v>0.5</v>
      </c>
      <c r="BL36" s="99">
        <v>0.5</v>
      </c>
      <c r="BM36" s="100">
        <f t="shared" si="1"/>
        <v>14.115555555555556</v>
      </c>
      <c r="BN36" s="99">
        <v>8.6777777777777771</v>
      </c>
      <c r="BO36" s="99">
        <v>1.8</v>
      </c>
      <c r="BP36" s="99">
        <v>1.1000000000000001</v>
      </c>
      <c r="BQ36" s="100">
        <f t="shared" si="2"/>
        <v>11.577777777777778</v>
      </c>
      <c r="BR36" s="99">
        <f>[5]Matriz!$M$102</f>
        <v>0</v>
      </c>
      <c r="BS36" s="99">
        <v>1.7</v>
      </c>
      <c r="BT36" s="99">
        <v>0.95</v>
      </c>
      <c r="BU36" s="99">
        <v>1</v>
      </c>
      <c r="BV36" s="99">
        <v>0.95</v>
      </c>
      <c r="BW36" s="99">
        <v>0</v>
      </c>
      <c r="BX36" s="99">
        <v>1</v>
      </c>
      <c r="BY36" s="99">
        <v>1</v>
      </c>
      <c r="BZ36" s="99">
        <f>[5]Matriz!$M$114</f>
        <v>2.4</v>
      </c>
      <c r="CA36" s="101">
        <f t="shared" si="3"/>
        <v>9</v>
      </c>
      <c r="CB36" s="99">
        <v>1.2</v>
      </c>
      <c r="CC36" s="99">
        <f>Table_14345[[#This Row],[PREAJUSTE
32]]+0.5</f>
        <v>1.7</v>
      </c>
      <c r="CD36" s="99"/>
      <c r="CE36" s="99">
        <f>Table_14345[[#This Row],[AJUSTADO
32]]-Table_14345[[#This Row],[DIFERENCIA
32]]</f>
        <v>1.7</v>
      </c>
      <c r="CF36" s="102">
        <v>0.6</v>
      </c>
      <c r="CG36" s="102">
        <f>Table_14345[[#This Row],[PREAJUSTE
38]]+0.5</f>
        <v>1.1000000000000001</v>
      </c>
      <c r="CH36" s="102">
        <f>Table_14345[[#This Row],[AJUSTADO
38]]-1</f>
        <v>0.10000000000000009</v>
      </c>
      <c r="CI36" s="102">
        <f>Table_14345[[#This Row],[AJUSTADO
38]]-Table_14345[[#This Row],[DIFERENCIA
38]]</f>
        <v>1</v>
      </c>
    </row>
    <row r="37" spans="2:87" x14ac:dyDescent="0.3">
      <c r="B37" s="103">
        <f>Table_14345[[#This Row],[Resultado IIP
2019]]</f>
        <v>0</v>
      </c>
      <c r="C37" s="104">
        <f>Table_14345[[#This Row],[Resultado IIP
2021]]</f>
        <v>48.51</v>
      </c>
      <c r="D37" s="104">
        <f>Table_14345[[#This Row],[Resultado IIP
2023]]</f>
        <v>50.95</v>
      </c>
      <c r="E37" s="105"/>
      <c r="F37" s="223"/>
      <c r="G37" s="223">
        <f>Table_14345[[#This Row],[POSICIÓN
2021]]</f>
        <v>18</v>
      </c>
      <c r="H37" s="223">
        <f>Table_14345[[#This Row],[POSICIÓN
2023]]</f>
        <v>29</v>
      </c>
      <c r="I37" s="220"/>
      <c r="J37" s="106"/>
      <c r="K37" s="107"/>
      <c r="L37" s="107"/>
      <c r="M37" s="107"/>
      <c r="N37" s="201"/>
      <c r="O37" s="204">
        <v>18</v>
      </c>
      <c r="P37" s="108">
        <v>14.05</v>
      </c>
      <c r="Q37" s="109">
        <v>16.5</v>
      </c>
      <c r="R37" s="109">
        <v>11.1</v>
      </c>
      <c r="S37" s="109">
        <v>6.86</v>
      </c>
      <c r="T37" s="110">
        <f>Table_14345[[#This Row],[COM 1 - 2021]]+Table_14345[[#This Row],[COM 2 - 2021]]+Table_14345[[#This Row],[COM 3 - 2021]]+Table_14345[[#This Row],[COM 4 - 2021]]</f>
        <v>48.51</v>
      </c>
      <c r="U37" s="111">
        <v>30</v>
      </c>
      <c r="V37" s="111">
        <v>29</v>
      </c>
      <c r="W37" s="111">
        <v>30</v>
      </c>
      <c r="X37" s="210">
        <v>29</v>
      </c>
      <c r="Y37" s="112">
        <f>Table_14345[[#This Row],[COM 1 - 2023]]+Table_14345[[#This Row],[COM 2 - 2023]]+Table_14345[[#This Row],[COM 3 - 2023]]+Table_14345[[#This Row],[COM 4 - 2023]]</f>
        <v>50.95</v>
      </c>
      <c r="Z37" s="113">
        <f>Table_14345[[#This Row],[COM 1 (sumatoria)]]</f>
        <v>17.75</v>
      </c>
      <c r="AA37" s="113">
        <f>Table_14345[[#This Row],[COM 2 (sumatoria)]]</f>
        <v>11.72</v>
      </c>
      <c r="AB37" s="113">
        <f>Table_14345[[#This Row],[COM 3 (sumatoria)]]</f>
        <v>13</v>
      </c>
      <c r="AC37" s="114">
        <f>Table_14345[[#This Row],[COM 4 (sumatoria)]]</f>
        <v>8.48</v>
      </c>
      <c r="AD37" s="115">
        <f>Table_14345[[#This Row],[Resultado IIP
2023]]-Table_14345[[#This Row],[Resultado IIP
2021]]</f>
        <v>2.4400000000000048</v>
      </c>
      <c r="AE37" s="116">
        <f>Table_14345[[#This Row],[COM 1 - 2023]]*100/25</f>
        <v>71</v>
      </c>
      <c r="AF37" s="116">
        <f>Table_14345[[#This Row],[COM 2 - 2023]]*100/35</f>
        <v>33.485714285714288</v>
      </c>
      <c r="AG37" s="116">
        <f>Table_14345[[#This Row],[COM 3 - 2023]]*100/25</f>
        <v>52</v>
      </c>
      <c r="AH37" s="116">
        <f>Table_14345[[#This Row],[COM 4 - 2023]]*100/15</f>
        <v>56.533333333333331</v>
      </c>
      <c r="AI37" s="117" t="s">
        <v>167</v>
      </c>
      <c r="AJ37" s="118" t="s">
        <v>198</v>
      </c>
      <c r="AK37" s="119">
        <v>0</v>
      </c>
      <c r="AL37" s="120">
        <v>2.6</v>
      </c>
      <c r="AM37" s="120">
        <v>0</v>
      </c>
      <c r="AN37" s="120">
        <v>4</v>
      </c>
      <c r="AO37" s="120">
        <v>0</v>
      </c>
      <c r="AP37" s="120">
        <v>1.2999999999999998</v>
      </c>
      <c r="AQ37" s="120">
        <v>0</v>
      </c>
      <c r="AR37" s="120">
        <v>1.65</v>
      </c>
      <c r="AS37" s="120">
        <v>0</v>
      </c>
      <c r="AT37" s="120">
        <v>0</v>
      </c>
      <c r="AU37" s="120">
        <v>4.7</v>
      </c>
      <c r="AV37" s="120">
        <v>0</v>
      </c>
      <c r="AW37" s="120">
        <v>3.5</v>
      </c>
      <c r="AX37" s="100">
        <f t="shared" si="0"/>
        <v>17.75</v>
      </c>
      <c r="AY37" s="120">
        <v>1.25</v>
      </c>
      <c r="AZ37" s="120">
        <v>0</v>
      </c>
      <c r="BA37" s="120">
        <v>1.5999999999999999</v>
      </c>
      <c r="BB37" s="120">
        <v>0.5</v>
      </c>
      <c r="BC37" s="120">
        <v>0.5</v>
      </c>
      <c r="BD37" s="120">
        <v>0.8</v>
      </c>
      <c r="BE37" s="120">
        <v>0</v>
      </c>
      <c r="BF37" s="120">
        <v>0.7</v>
      </c>
      <c r="BG37" s="120">
        <v>0.4</v>
      </c>
      <c r="BH37" s="120">
        <v>4.07</v>
      </c>
      <c r="BI37" s="99">
        <v>0.3</v>
      </c>
      <c r="BJ37" s="120">
        <v>1.1000000000000001</v>
      </c>
      <c r="BK37" s="120">
        <v>0</v>
      </c>
      <c r="BL37" s="120">
        <v>0.5</v>
      </c>
      <c r="BM37" s="100">
        <f t="shared" si="1"/>
        <v>11.72</v>
      </c>
      <c r="BN37" s="120">
        <v>9.6</v>
      </c>
      <c r="BO37" s="120">
        <v>1.1000000000000001</v>
      </c>
      <c r="BP37" s="120">
        <v>2.2999999999999998</v>
      </c>
      <c r="BQ37" s="100">
        <f t="shared" si="2"/>
        <v>13</v>
      </c>
      <c r="BR37" s="120">
        <v>0</v>
      </c>
      <c r="BS37" s="120">
        <v>2.68</v>
      </c>
      <c r="BT37" s="120">
        <v>0.85000000000000009</v>
      </c>
      <c r="BU37" s="120">
        <v>0</v>
      </c>
      <c r="BV37" s="120">
        <v>0</v>
      </c>
      <c r="BW37" s="120">
        <v>0</v>
      </c>
      <c r="BX37" s="120">
        <v>0.95</v>
      </c>
      <c r="BY37" s="120">
        <v>1</v>
      </c>
      <c r="BZ37" s="120">
        <v>3</v>
      </c>
      <c r="CA37" s="101">
        <f t="shared" si="3"/>
        <v>8.48</v>
      </c>
      <c r="CB37" s="99">
        <v>2.1800000000000002</v>
      </c>
      <c r="CC37" s="99">
        <f>Table_14345[[#This Row],[PREAJUSTE
32]]+0.5</f>
        <v>2.68</v>
      </c>
      <c r="CD37" s="99"/>
      <c r="CE37" s="99">
        <f>Table_14345[[#This Row],[AJUSTADO
32]]-Table_14345[[#This Row],[DIFERENCIA
32]]</f>
        <v>2.68</v>
      </c>
      <c r="CF37" s="102">
        <v>0.6</v>
      </c>
      <c r="CG37" s="102">
        <f>Table_14345[[#This Row],[PREAJUSTE
38]]+0.5</f>
        <v>1.1000000000000001</v>
      </c>
      <c r="CH37" s="102">
        <f>Table_14345[[#This Row],[AJUSTADO
38]]-1</f>
        <v>0.10000000000000009</v>
      </c>
      <c r="CI37" s="102">
        <f>Table_14345[[#This Row],[AJUSTADO
38]]-Table_14345[[#This Row],[DIFERENCIA
38]]</f>
        <v>1</v>
      </c>
    </row>
    <row r="38" spans="2:87" x14ac:dyDescent="0.3">
      <c r="B38" s="103">
        <f>Table_14345[[#This Row],[Resultado IIP
2019]]</f>
        <v>0</v>
      </c>
      <c r="C38" s="104">
        <f>Table_14345[[#This Row],[Resultado IIP
2021]]</f>
        <v>33.379999999999995</v>
      </c>
      <c r="D38" s="104">
        <f>Table_14345[[#This Row],[Resultado IIP
2023]]</f>
        <v>50.230000000000004</v>
      </c>
      <c r="E38" s="105"/>
      <c r="F38" s="223"/>
      <c r="G38" s="223">
        <f>Table_14345[[#This Row],[POSICIÓN
2021]]</f>
        <v>52</v>
      </c>
      <c r="H38" s="223">
        <f>Table_14345[[#This Row],[POSICIÓN
2023]]</f>
        <v>30</v>
      </c>
      <c r="I38" s="219"/>
      <c r="J38" s="106"/>
      <c r="K38" s="107"/>
      <c r="L38" s="107"/>
      <c r="M38" s="107"/>
      <c r="N38" s="201"/>
      <c r="O38" s="203">
        <v>52</v>
      </c>
      <c r="P38" s="108">
        <v>10.1</v>
      </c>
      <c r="Q38" s="109">
        <v>15.500000000000002</v>
      </c>
      <c r="R38" s="109">
        <v>7.3</v>
      </c>
      <c r="S38" s="109">
        <v>0.48</v>
      </c>
      <c r="T38" s="110">
        <f>Table_14345[[#This Row],[COM 1 - 2021]]+Table_14345[[#This Row],[COM 2 - 2021]]+Table_14345[[#This Row],[COM 3 - 2021]]+Table_14345[[#This Row],[COM 4 - 2021]]</f>
        <v>33.379999999999995</v>
      </c>
      <c r="U38" s="111">
        <v>31</v>
      </c>
      <c r="V38" s="111">
        <v>31</v>
      </c>
      <c r="W38" s="91">
        <v>32</v>
      </c>
      <c r="X38" s="209">
        <v>30</v>
      </c>
      <c r="Y38" s="112">
        <f>Table_14345[[#This Row],[COM 1 - 2023]]+Table_14345[[#This Row],[COM 2 - 2023]]+Table_14345[[#This Row],[COM 3 - 2023]]+Table_14345[[#This Row],[COM 4 - 2023]]</f>
        <v>50.230000000000004</v>
      </c>
      <c r="Z38" s="113">
        <f>Table_14345[[#This Row],[COM 1 (sumatoria)]]</f>
        <v>13.530000000000001</v>
      </c>
      <c r="AA38" s="113">
        <f>Table_14345[[#This Row],[COM 2 (sumatoria)]]</f>
        <v>14.55</v>
      </c>
      <c r="AB38" s="113">
        <f>Table_14345[[#This Row],[COM 3 (sumatoria)]]</f>
        <v>15.400000000000002</v>
      </c>
      <c r="AC38" s="114">
        <f>Table_14345[[#This Row],[COM 4 (sumatoria)]]</f>
        <v>6.75</v>
      </c>
      <c r="AD38" s="115">
        <f>Table_14345[[#This Row],[Resultado IIP
2023]]-Table_14345[[#This Row],[Resultado IIP
2021]]</f>
        <v>16.850000000000009</v>
      </c>
      <c r="AE38" s="116">
        <f>Table_14345[[#This Row],[COM 1 - 2023]]*100/25</f>
        <v>54.12</v>
      </c>
      <c r="AF38" s="116">
        <f>Table_14345[[#This Row],[COM 2 - 2023]]*100/35</f>
        <v>41.571428571428569</v>
      </c>
      <c r="AG38" s="116">
        <f>Table_14345[[#This Row],[COM 3 - 2023]]*100/25</f>
        <v>61.600000000000009</v>
      </c>
      <c r="AH38" s="116">
        <f>Table_14345[[#This Row],[COM 4 - 2023]]*100/15</f>
        <v>45</v>
      </c>
      <c r="AI38" s="117" t="s">
        <v>167</v>
      </c>
      <c r="AJ38" s="118" t="s">
        <v>199</v>
      </c>
      <c r="AK38" s="121">
        <v>0</v>
      </c>
      <c r="AL38" s="99">
        <v>2.9</v>
      </c>
      <c r="AM38" s="99">
        <v>0</v>
      </c>
      <c r="AN38" s="99">
        <v>1.55</v>
      </c>
      <c r="AO38" s="99">
        <v>0</v>
      </c>
      <c r="AP38" s="99">
        <v>3.7</v>
      </c>
      <c r="AQ38" s="99">
        <v>0</v>
      </c>
      <c r="AR38" s="99">
        <v>0</v>
      </c>
      <c r="AS38" s="99">
        <v>0</v>
      </c>
      <c r="AT38" s="99">
        <v>0</v>
      </c>
      <c r="AU38" s="99">
        <v>1.8</v>
      </c>
      <c r="AV38" s="99">
        <v>0</v>
      </c>
      <c r="AW38" s="99">
        <v>3.58</v>
      </c>
      <c r="AX38" s="100">
        <f t="shared" si="0"/>
        <v>13.530000000000001</v>
      </c>
      <c r="AY38" s="99">
        <v>0</v>
      </c>
      <c r="AZ38" s="99">
        <v>0.3</v>
      </c>
      <c r="BA38" s="99">
        <v>1.1499999999999999</v>
      </c>
      <c r="BB38" s="99">
        <v>0.5</v>
      </c>
      <c r="BC38" s="99">
        <v>0.4</v>
      </c>
      <c r="BD38" s="99">
        <v>1.3</v>
      </c>
      <c r="BE38" s="99">
        <v>1.3</v>
      </c>
      <c r="BF38" s="99">
        <v>0.5</v>
      </c>
      <c r="BG38" s="99">
        <v>0.5</v>
      </c>
      <c r="BH38" s="99">
        <v>3.8</v>
      </c>
      <c r="BI38" s="99">
        <v>3.3</v>
      </c>
      <c r="BJ38" s="99">
        <v>1</v>
      </c>
      <c r="BK38" s="99">
        <v>0.5</v>
      </c>
      <c r="BL38" s="99">
        <v>0</v>
      </c>
      <c r="BM38" s="100">
        <f t="shared" si="1"/>
        <v>14.55</v>
      </c>
      <c r="BN38" s="99">
        <v>10.9</v>
      </c>
      <c r="BO38" s="99">
        <v>2.2000000000000002</v>
      </c>
      <c r="BP38" s="99">
        <v>2.2999999999999998</v>
      </c>
      <c r="BQ38" s="100">
        <f t="shared" si="2"/>
        <v>15.400000000000002</v>
      </c>
      <c r="BR38" s="99">
        <v>0</v>
      </c>
      <c r="BS38" s="99">
        <v>1.6</v>
      </c>
      <c r="BT38" s="99">
        <v>0</v>
      </c>
      <c r="BU38" s="99">
        <v>0</v>
      </c>
      <c r="BV38" s="99">
        <v>0.85000000000000009</v>
      </c>
      <c r="BW38" s="99">
        <v>0</v>
      </c>
      <c r="BX38" s="99">
        <v>1</v>
      </c>
      <c r="BY38" s="99">
        <v>0.9</v>
      </c>
      <c r="BZ38" s="99">
        <v>2.4</v>
      </c>
      <c r="CA38" s="101">
        <f t="shared" si="3"/>
        <v>6.75</v>
      </c>
      <c r="CB38" s="99">
        <v>1.1000000000000001</v>
      </c>
      <c r="CC38" s="99">
        <f>Table_14345[[#This Row],[PREAJUSTE
32]]+0.5</f>
        <v>1.6</v>
      </c>
      <c r="CD38" s="99"/>
      <c r="CE38" s="99">
        <f>Table_14345[[#This Row],[AJUSTADO
32]]-Table_14345[[#This Row],[DIFERENCIA
32]]</f>
        <v>1.6</v>
      </c>
      <c r="CF38" s="102">
        <v>0.4</v>
      </c>
      <c r="CG38" s="102">
        <f>Table_14345[[#This Row],[PREAJUSTE
38]]+0.5</f>
        <v>0.9</v>
      </c>
      <c r="CH38" s="102"/>
      <c r="CI38" s="102">
        <f>Table_14345[[#This Row],[AJUSTADO
38]]-Table_14345[[#This Row],[DIFERENCIA
38]]</f>
        <v>0.9</v>
      </c>
    </row>
    <row r="39" spans="2:87" x14ac:dyDescent="0.3">
      <c r="B39" s="103">
        <f>Table_14345[[#This Row],[Resultado IIP
2019]]</f>
        <v>0</v>
      </c>
      <c r="C39" s="104">
        <f>Table_14345[[#This Row],[Resultado IIP
2021]]</f>
        <v>41.34</v>
      </c>
      <c r="D39" s="104">
        <f>Table_14345[[#This Row],[Resultado IIP
2023]]</f>
        <v>50.101666666666667</v>
      </c>
      <c r="E39" s="105"/>
      <c r="F39" s="223"/>
      <c r="G39" s="223">
        <f>Table_14345[[#This Row],[POSICIÓN
2021]]</f>
        <v>27</v>
      </c>
      <c r="H39" s="223">
        <f>Table_14345[[#This Row],[POSICIÓN
2023]]</f>
        <v>31</v>
      </c>
      <c r="I39" s="220"/>
      <c r="J39" s="106"/>
      <c r="K39" s="107"/>
      <c r="L39" s="107"/>
      <c r="M39" s="107"/>
      <c r="N39" s="201"/>
      <c r="O39" s="204">
        <v>27</v>
      </c>
      <c r="P39" s="108">
        <v>11.05</v>
      </c>
      <c r="Q39" s="109">
        <v>16.05</v>
      </c>
      <c r="R39" s="109">
        <v>8.7000000000000011</v>
      </c>
      <c r="S39" s="109">
        <v>5.5400000000000009</v>
      </c>
      <c r="T39" s="110">
        <f>Table_14345[[#This Row],[COM 1 - 2021]]+Table_14345[[#This Row],[COM 2 - 2021]]+Table_14345[[#This Row],[COM 3 - 2021]]+Table_14345[[#This Row],[COM 4 - 2021]]</f>
        <v>41.34</v>
      </c>
      <c r="U39" s="111">
        <v>28</v>
      </c>
      <c r="V39" s="111">
        <v>28</v>
      </c>
      <c r="W39" s="111">
        <v>24</v>
      </c>
      <c r="X39" s="210">
        <v>31</v>
      </c>
      <c r="Y39" s="112">
        <f>Table_14345[[#This Row],[COM 1 - 2023]]+Table_14345[[#This Row],[COM 2 - 2023]]+Table_14345[[#This Row],[COM 3 - 2023]]+Table_14345[[#This Row],[COM 4 - 2023]]</f>
        <v>50.101666666666667</v>
      </c>
      <c r="Z39" s="113">
        <f>Table_14345[[#This Row],[COM 1 (sumatoria)]]</f>
        <v>15.951666666666666</v>
      </c>
      <c r="AA39" s="113">
        <f>Table_14345[[#This Row],[COM 2 (sumatoria)]]</f>
        <v>17.55</v>
      </c>
      <c r="AB39" s="113">
        <f>Table_14345[[#This Row],[COM 3 (sumatoria)]]</f>
        <v>10.200000000000001</v>
      </c>
      <c r="AC39" s="114">
        <f>Table_14345[[#This Row],[COM 4 (sumatoria)]]</f>
        <v>6.3999999999999995</v>
      </c>
      <c r="AD39" s="115">
        <f>Table_14345[[#This Row],[Resultado IIP
2023]]-Table_14345[[#This Row],[Resultado IIP
2021]]</f>
        <v>8.7616666666666632</v>
      </c>
      <c r="AE39" s="116">
        <f>Table_14345[[#This Row],[COM 1 - 2023]]*100/25</f>
        <v>63.806666666666658</v>
      </c>
      <c r="AF39" s="116">
        <f>Table_14345[[#This Row],[COM 2 - 2023]]*100/35</f>
        <v>50.142857142857146</v>
      </c>
      <c r="AG39" s="116">
        <f>Table_14345[[#This Row],[COM 3 - 2023]]*100/25</f>
        <v>40.800000000000004</v>
      </c>
      <c r="AH39" s="116">
        <f>Table_14345[[#This Row],[COM 4 - 2023]]*100/15</f>
        <v>42.666666666666664</v>
      </c>
      <c r="AI39" s="117" t="s">
        <v>167</v>
      </c>
      <c r="AJ39" s="118" t="s">
        <v>200</v>
      </c>
      <c r="AK39" s="119">
        <v>0</v>
      </c>
      <c r="AL39" s="120">
        <v>2.666666666666667</v>
      </c>
      <c r="AM39" s="120">
        <v>0</v>
      </c>
      <c r="AN39" s="120">
        <v>3.3</v>
      </c>
      <c r="AO39" s="120">
        <v>0</v>
      </c>
      <c r="AP39" s="120">
        <v>1.2999999999999998</v>
      </c>
      <c r="AQ39" s="120">
        <v>0</v>
      </c>
      <c r="AR39" s="120">
        <v>3.3</v>
      </c>
      <c r="AS39" s="120">
        <v>0</v>
      </c>
      <c r="AT39" s="120">
        <v>0</v>
      </c>
      <c r="AU39" s="120">
        <v>2.1</v>
      </c>
      <c r="AV39" s="120">
        <v>0</v>
      </c>
      <c r="AW39" s="120">
        <v>3.2850000000000001</v>
      </c>
      <c r="AX39" s="100">
        <f t="shared" si="0"/>
        <v>15.951666666666666</v>
      </c>
      <c r="AY39" s="120">
        <v>1.25</v>
      </c>
      <c r="AZ39" s="120">
        <v>0.6</v>
      </c>
      <c r="BA39" s="120">
        <v>1.8</v>
      </c>
      <c r="BB39" s="120">
        <v>0.7</v>
      </c>
      <c r="BC39" s="120">
        <v>0.7</v>
      </c>
      <c r="BD39" s="120">
        <v>2.2000000000000002</v>
      </c>
      <c r="BE39" s="120">
        <v>1.3</v>
      </c>
      <c r="BF39" s="120">
        <v>0.9</v>
      </c>
      <c r="BG39" s="120">
        <v>0.7</v>
      </c>
      <c r="BH39" s="120">
        <v>4</v>
      </c>
      <c r="BI39" s="99">
        <v>1.5</v>
      </c>
      <c r="BJ39" s="120">
        <v>1.4</v>
      </c>
      <c r="BK39" s="120">
        <v>0.5</v>
      </c>
      <c r="BL39" s="120">
        <v>0</v>
      </c>
      <c r="BM39" s="100">
        <f t="shared" si="1"/>
        <v>17.55</v>
      </c>
      <c r="BN39" s="120">
        <v>6.9</v>
      </c>
      <c r="BO39" s="120">
        <v>2.2000000000000002</v>
      </c>
      <c r="BP39" s="120">
        <v>1.1000000000000001</v>
      </c>
      <c r="BQ39" s="100">
        <f t="shared" si="2"/>
        <v>10.200000000000001</v>
      </c>
      <c r="BR39" s="120">
        <v>0</v>
      </c>
      <c r="BS39" s="120">
        <v>1.5</v>
      </c>
      <c r="BT39" s="120">
        <v>0.4</v>
      </c>
      <c r="BU39" s="120">
        <v>0.4</v>
      </c>
      <c r="BV39" s="120">
        <v>0.4</v>
      </c>
      <c r="BW39" s="120">
        <v>0.4</v>
      </c>
      <c r="BX39" s="120">
        <v>0.5</v>
      </c>
      <c r="BY39" s="120">
        <v>1</v>
      </c>
      <c r="BZ39" s="120">
        <v>1.8</v>
      </c>
      <c r="CA39" s="101">
        <f t="shared" si="3"/>
        <v>6.3999999999999995</v>
      </c>
      <c r="CB39" s="99">
        <v>1.5</v>
      </c>
      <c r="CC39" s="99">
        <f>Table_14345[[#This Row],[PREAJUSTE
32]]+0.5</f>
        <v>2</v>
      </c>
      <c r="CD39" s="99"/>
      <c r="CE39" s="99">
        <f>Table_14345[[#This Row],[AJUSTADO
32]]-Table_14345[[#This Row],[DIFERENCIA
32]]</f>
        <v>2</v>
      </c>
      <c r="CF39" s="102">
        <v>0.5</v>
      </c>
      <c r="CG39" s="102">
        <f>Table_14345[[#This Row],[PREAJUSTE
38]]+0.5</f>
        <v>1</v>
      </c>
      <c r="CH39" s="102"/>
      <c r="CI39" s="102">
        <f>Table_14345[[#This Row],[AJUSTADO
38]]-Table_14345[[#This Row],[DIFERENCIA
38]]</f>
        <v>1</v>
      </c>
    </row>
    <row r="40" spans="2:87" x14ac:dyDescent="0.3">
      <c r="B40" s="103">
        <f>Table_14345[[#This Row],[Resultado IIP
2019]]</f>
        <v>32.340000000000003</v>
      </c>
      <c r="C40" s="104">
        <f>Table_14345[[#This Row],[Resultado IIP
2021]]</f>
        <v>39.182000000000002</v>
      </c>
      <c r="D40" s="104">
        <f>Table_14345[[#This Row],[Resultado IIP
2023]]</f>
        <v>49.244444444444447</v>
      </c>
      <c r="E40" s="105"/>
      <c r="F40" s="223">
        <f>Table_14345[[#This Row],[POSICIÓN
2019]]</f>
        <v>23</v>
      </c>
      <c r="G40" s="223">
        <f>Table_14345[[#This Row],[POSICIÓN
2021]]</f>
        <v>32</v>
      </c>
      <c r="H40" s="223">
        <f>Table_14345[[#This Row],[POSICIÓN
2023]]</f>
        <v>32</v>
      </c>
      <c r="I40" s="220">
        <v>23</v>
      </c>
      <c r="J40" s="106">
        <v>26.37</v>
      </c>
      <c r="K40" s="107">
        <v>23.93</v>
      </c>
      <c r="L40" s="107">
        <v>46.67</v>
      </c>
      <c r="M40" s="107">
        <v>45.1</v>
      </c>
      <c r="N40" s="201">
        <v>32.340000000000003</v>
      </c>
      <c r="O40" s="204">
        <v>32</v>
      </c>
      <c r="P40" s="108">
        <v>8.1219999999999999</v>
      </c>
      <c r="Q40" s="109">
        <v>12.050000000000002</v>
      </c>
      <c r="R40" s="109">
        <v>11.5</v>
      </c>
      <c r="S40" s="109">
        <v>7.5100000000000007</v>
      </c>
      <c r="T40" s="110">
        <f>Table_14345[[#This Row],[COM 1 - 2021]]+Table_14345[[#This Row],[COM 2 - 2021]]+Table_14345[[#This Row],[COM 3 - 2021]]+Table_14345[[#This Row],[COM 4 - 2021]]</f>
        <v>39.182000000000002</v>
      </c>
      <c r="U40" s="91">
        <v>34</v>
      </c>
      <c r="V40" s="91">
        <v>34</v>
      </c>
      <c r="W40" s="111">
        <v>33</v>
      </c>
      <c r="X40" s="210">
        <v>32</v>
      </c>
      <c r="Y40" s="112">
        <f>Table_14345[[#This Row],[COM 1 - 2023]]+Table_14345[[#This Row],[COM 2 - 2023]]+Table_14345[[#This Row],[COM 3 - 2023]]+Table_14345[[#This Row],[COM 4 - 2023]]</f>
        <v>49.244444444444447</v>
      </c>
      <c r="Z40" s="113">
        <f>Table_14345[[#This Row],[COM 1 (sumatoria)]]</f>
        <v>12.324999999999999</v>
      </c>
      <c r="AA40" s="113">
        <f>Table_14345[[#This Row],[COM 2 (sumatoria)]]</f>
        <v>17.619444444444447</v>
      </c>
      <c r="AB40" s="113">
        <f>Table_14345[[#This Row],[COM 3 (sumatoria)]]</f>
        <v>11.700000000000001</v>
      </c>
      <c r="AC40" s="114">
        <f>Table_14345[[#This Row],[COM 4 (sumatoria)]]</f>
        <v>7.6</v>
      </c>
      <c r="AD40" s="115">
        <f>Table_14345[[#This Row],[Resultado IIP
2023]]-Table_14345[[#This Row],[Resultado IIP
2021]]</f>
        <v>10.062444444444445</v>
      </c>
      <c r="AE40" s="116">
        <f>Table_14345[[#This Row],[COM 1 - 2023]]*100/25</f>
        <v>49.3</v>
      </c>
      <c r="AF40" s="116">
        <f>Table_14345[[#This Row],[COM 2 - 2023]]*100/35</f>
        <v>50.341269841269849</v>
      </c>
      <c r="AG40" s="116">
        <f>Table_14345[[#This Row],[COM 3 - 2023]]*100/25</f>
        <v>46.8</v>
      </c>
      <c r="AH40" s="116">
        <f>Table_14345[[#This Row],[COM 4 - 2023]]*100/15</f>
        <v>50.666666666666664</v>
      </c>
      <c r="AI40" s="117" t="s">
        <v>167</v>
      </c>
      <c r="AJ40" s="118" t="s">
        <v>201</v>
      </c>
      <c r="AK40" s="121">
        <v>0</v>
      </c>
      <c r="AL40" s="99">
        <v>3</v>
      </c>
      <c r="AM40" s="99">
        <v>0</v>
      </c>
      <c r="AN40" s="99">
        <v>2.6</v>
      </c>
      <c r="AO40" s="99">
        <v>0</v>
      </c>
      <c r="AP40" s="99">
        <v>1.2999999999999998</v>
      </c>
      <c r="AQ40" s="99">
        <v>0</v>
      </c>
      <c r="AR40" s="99">
        <v>1.35</v>
      </c>
      <c r="AS40" s="99">
        <v>0</v>
      </c>
      <c r="AT40" s="99">
        <v>0</v>
      </c>
      <c r="AU40" s="99">
        <v>1.5</v>
      </c>
      <c r="AV40" s="99">
        <v>0</v>
      </c>
      <c r="AW40" s="99">
        <v>2.5750000000000002</v>
      </c>
      <c r="AX40" s="100">
        <f t="shared" ref="AX40:AX71" si="4">(SUM(AK40:AW40))</f>
        <v>12.324999999999999</v>
      </c>
      <c r="AY40" s="99">
        <v>1</v>
      </c>
      <c r="AZ40" s="99">
        <v>0.5</v>
      </c>
      <c r="BA40" s="99">
        <v>1.1000000000000001</v>
      </c>
      <c r="BB40" s="99">
        <v>0.6</v>
      </c>
      <c r="BC40" s="99">
        <v>0.4</v>
      </c>
      <c r="BD40" s="99">
        <v>1.4</v>
      </c>
      <c r="BE40" s="99">
        <v>1.1000000000000001</v>
      </c>
      <c r="BF40" s="99">
        <v>0.66999999999999993</v>
      </c>
      <c r="BG40" s="99">
        <v>0.73</v>
      </c>
      <c r="BH40" s="99">
        <v>2.875</v>
      </c>
      <c r="BI40" s="99">
        <v>3.3</v>
      </c>
      <c r="BJ40" s="99">
        <v>2.2000000000000002</v>
      </c>
      <c r="BK40" s="99">
        <v>0.64444444444444438</v>
      </c>
      <c r="BL40" s="99">
        <v>1.1000000000000001</v>
      </c>
      <c r="BM40" s="100">
        <f t="shared" ref="BM40:BM71" si="5">(SUM(AY40:BL40))</f>
        <v>17.619444444444447</v>
      </c>
      <c r="BN40" s="99">
        <v>8.4</v>
      </c>
      <c r="BO40" s="99">
        <v>2.2000000000000002</v>
      </c>
      <c r="BP40" s="99">
        <v>1.1000000000000001</v>
      </c>
      <c r="BQ40" s="100">
        <f t="shared" ref="BQ40:BQ71" si="6">(SUM(BN40:BP40))</f>
        <v>11.700000000000001</v>
      </c>
      <c r="BR40" s="99">
        <v>0</v>
      </c>
      <c r="BS40" s="99">
        <v>2.6</v>
      </c>
      <c r="BT40" s="99">
        <v>0.75</v>
      </c>
      <c r="BU40" s="99">
        <v>0</v>
      </c>
      <c r="BV40" s="99">
        <v>0.75</v>
      </c>
      <c r="BW40" s="99">
        <v>0.75</v>
      </c>
      <c r="BX40" s="99">
        <v>0.75</v>
      </c>
      <c r="BY40" s="99">
        <v>0.8</v>
      </c>
      <c r="BZ40" s="99">
        <v>1.2</v>
      </c>
      <c r="CA40" s="101">
        <f t="shared" ref="CA40:CA71" si="7">(SUM(BR40:BZ40))</f>
        <v>7.6</v>
      </c>
      <c r="CB40" s="99">
        <v>2.1</v>
      </c>
      <c r="CC40" s="99">
        <f>Table_14345[[#This Row],[PREAJUSTE
32]]+0.5</f>
        <v>2.6</v>
      </c>
      <c r="CD40" s="99"/>
      <c r="CE40" s="99">
        <f>Table_14345[[#This Row],[AJUSTADO
32]]-Table_14345[[#This Row],[DIFERENCIA
32]]</f>
        <v>2.6</v>
      </c>
      <c r="CF40" s="102">
        <v>0.3</v>
      </c>
      <c r="CG40" s="102">
        <f>Table_14345[[#This Row],[PREAJUSTE
38]]+0.5</f>
        <v>0.8</v>
      </c>
      <c r="CH40" s="102"/>
      <c r="CI40" s="102">
        <f>Table_14345[[#This Row],[AJUSTADO
38]]-Table_14345[[#This Row],[DIFERENCIA
38]]</f>
        <v>0.8</v>
      </c>
    </row>
    <row r="41" spans="2:87" x14ac:dyDescent="0.3">
      <c r="B41" s="103">
        <f>Table_14345[[#This Row],[Resultado IIP
2019]]</f>
        <v>57.78</v>
      </c>
      <c r="C41" s="104">
        <f>Table_14345[[#This Row],[Resultado IIP
2021]]</f>
        <v>63.669999999999995</v>
      </c>
      <c r="D41" s="104">
        <f>Table_14345[[#This Row],[Resultado IIP
2023]]</f>
        <v>47.949999999999996</v>
      </c>
      <c r="E41" s="105"/>
      <c r="F41" s="223">
        <f>Table_14345[[#This Row],[POSICIÓN
2019]]</f>
        <v>5</v>
      </c>
      <c r="G41" s="223">
        <f>Table_14345[[#This Row],[POSICIÓN
2021]]</f>
        <v>7</v>
      </c>
      <c r="H41" s="223">
        <f>Table_14345[[#This Row],[POSICIÓN
2023]]</f>
        <v>33</v>
      </c>
      <c r="I41" s="219">
        <v>5</v>
      </c>
      <c r="J41" s="106">
        <v>79.709999999999994</v>
      </c>
      <c r="K41" s="107">
        <v>50.02</v>
      </c>
      <c r="L41" s="107">
        <v>53.33</v>
      </c>
      <c r="M41" s="107">
        <v>45.1</v>
      </c>
      <c r="N41" s="201">
        <v>57.78</v>
      </c>
      <c r="O41" s="203">
        <v>7</v>
      </c>
      <c r="P41" s="108">
        <v>18.7</v>
      </c>
      <c r="Q41" s="109">
        <v>21.749999999999996</v>
      </c>
      <c r="R41" s="109">
        <v>14.799999999999999</v>
      </c>
      <c r="S41" s="109">
        <v>8.42</v>
      </c>
      <c r="T41" s="110">
        <f>Table_14345[[#This Row],[COM 1 - 2021]]+Table_14345[[#This Row],[COM 2 - 2021]]+Table_14345[[#This Row],[COM 3 - 2021]]+Table_14345[[#This Row],[COM 4 - 2021]]</f>
        <v>63.669999999999995</v>
      </c>
      <c r="U41" s="111">
        <v>35</v>
      </c>
      <c r="V41" s="111">
        <v>35</v>
      </c>
      <c r="W41" s="91">
        <v>37</v>
      </c>
      <c r="X41" s="209">
        <v>33</v>
      </c>
      <c r="Y41" s="112">
        <f>Table_14345[[#This Row],[COM 1 - 2023]]+Table_14345[[#This Row],[COM 2 - 2023]]+Table_14345[[#This Row],[COM 3 - 2023]]+Table_14345[[#This Row],[COM 4 - 2023]]</f>
        <v>47.949999999999996</v>
      </c>
      <c r="Z41" s="113">
        <f>Table_14345[[#This Row],[COM 1 (sumatoria)]]</f>
        <v>15.7</v>
      </c>
      <c r="AA41" s="113">
        <f>Table_14345[[#This Row],[COM 2 (sumatoria)]]</f>
        <v>15.25</v>
      </c>
      <c r="AB41" s="113">
        <f>Table_14345[[#This Row],[COM 3 (sumatoria)]]</f>
        <v>11.700000000000001</v>
      </c>
      <c r="AC41" s="114">
        <f>Table_14345[[#This Row],[COM 4 (sumatoria)]]</f>
        <v>5.3</v>
      </c>
      <c r="AD41" s="115">
        <f>Table_14345[[#This Row],[Resultado IIP
2023]]-Table_14345[[#This Row],[Resultado IIP
2021]]</f>
        <v>-15.719999999999999</v>
      </c>
      <c r="AE41" s="116">
        <f>Table_14345[[#This Row],[COM 1 - 2023]]*100/25</f>
        <v>62.8</v>
      </c>
      <c r="AF41" s="116">
        <f>Table_14345[[#This Row],[COM 2 - 2023]]*100/35</f>
        <v>43.571428571428569</v>
      </c>
      <c r="AG41" s="116">
        <f>Table_14345[[#This Row],[COM 3 - 2023]]*100/25</f>
        <v>46.8</v>
      </c>
      <c r="AH41" s="116">
        <f>Table_14345[[#This Row],[COM 4 - 2023]]*100/15</f>
        <v>35.333333333333336</v>
      </c>
      <c r="AI41" s="117" t="s">
        <v>167</v>
      </c>
      <c r="AJ41" s="118" t="s">
        <v>202</v>
      </c>
      <c r="AK41" s="119">
        <v>0</v>
      </c>
      <c r="AL41" s="120">
        <v>2.8</v>
      </c>
      <c r="AM41" s="120">
        <v>0</v>
      </c>
      <c r="AN41" s="120">
        <v>1.95</v>
      </c>
      <c r="AO41" s="120">
        <v>0</v>
      </c>
      <c r="AP41" s="120">
        <v>3.05</v>
      </c>
      <c r="AQ41" s="120">
        <v>0</v>
      </c>
      <c r="AR41" s="120">
        <v>1.95</v>
      </c>
      <c r="AS41" s="120">
        <v>0</v>
      </c>
      <c r="AT41" s="120">
        <v>0</v>
      </c>
      <c r="AU41" s="120">
        <v>3.4</v>
      </c>
      <c r="AV41" s="120">
        <v>0</v>
      </c>
      <c r="AW41" s="120">
        <v>2.5499999999999998</v>
      </c>
      <c r="AX41" s="100">
        <f t="shared" si="4"/>
        <v>15.7</v>
      </c>
      <c r="AY41" s="120">
        <v>1.1499999999999999</v>
      </c>
      <c r="AZ41" s="120">
        <v>0.6</v>
      </c>
      <c r="BA41" s="120">
        <v>1.2</v>
      </c>
      <c r="BB41" s="120">
        <v>0.7</v>
      </c>
      <c r="BC41" s="120">
        <v>1</v>
      </c>
      <c r="BD41" s="120">
        <v>1.2999999999999998</v>
      </c>
      <c r="BE41" s="120">
        <v>1.3</v>
      </c>
      <c r="BF41" s="120">
        <v>0.7</v>
      </c>
      <c r="BG41" s="120">
        <v>0.60000000000000009</v>
      </c>
      <c r="BH41" s="120">
        <v>3.7</v>
      </c>
      <c r="BI41" s="99">
        <v>1.2</v>
      </c>
      <c r="BJ41" s="120">
        <v>1.3</v>
      </c>
      <c r="BK41" s="120">
        <v>0.5</v>
      </c>
      <c r="BL41" s="120">
        <v>0</v>
      </c>
      <c r="BM41" s="100">
        <f t="shared" si="5"/>
        <v>15.25</v>
      </c>
      <c r="BN41" s="120">
        <v>8.4</v>
      </c>
      <c r="BO41" s="120">
        <v>2.2000000000000002</v>
      </c>
      <c r="BP41" s="120">
        <v>1.1000000000000001</v>
      </c>
      <c r="BQ41" s="100">
        <f t="shared" si="6"/>
        <v>11.700000000000001</v>
      </c>
      <c r="BR41" s="120">
        <v>0</v>
      </c>
      <c r="BS41" s="120">
        <v>1.7</v>
      </c>
      <c r="BT41" s="120">
        <v>0</v>
      </c>
      <c r="BU41" s="120">
        <v>0</v>
      </c>
      <c r="BV41" s="120">
        <v>0</v>
      </c>
      <c r="BW41" s="120">
        <v>0</v>
      </c>
      <c r="BX41" s="120">
        <v>0</v>
      </c>
      <c r="BY41" s="120">
        <v>0</v>
      </c>
      <c r="BZ41" s="120">
        <v>3.6</v>
      </c>
      <c r="CA41" s="101">
        <f t="shared" si="7"/>
        <v>5.3</v>
      </c>
      <c r="CB41" s="99">
        <v>1.2</v>
      </c>
      <c r="CC41" s="99">
        <f>Table_14345[[#This Row],[PREAJUSTE
32]]+0.5</f>
        <v>1.7</v>
      </c>
      <c r="CD41" s="99"/>
      <c r="CE41" s="99">
        <f>Table_14345[[#This Row],[AJUSTADO
32]]-Table_14345[[#This Row],[DIFERENCIA
32]]</f>
        <v>1.7</v>
      </c>
      <c r="CF41" s="102">
        <v>0</v>
      </c>
      <c r="CG41" s="102">
        <f>Table_14345[[#This Row],[PREAJUSTE
38]]+0.5</f>
        <v>0.5</v>
      </c>
      <c r="CH41" s="102"/>
      <c r="CI41" s="102">
        <f>Table_14345[[#This Row],[AJUSTADO
38]]-Table_14345[[#This Row],[DIFERENCIA
38]]</f>
        <v>0.5</v>
      </c>
    </row>
    <row r="42" spans="2:87" x14ac:dyDescent="0.3">
      <c r="B42" s="103">
        <f>Table_14345[[#This Row],[Resultado IIP
2019]]</f>
        <v>17.52</v>
      </c>
      <c r="C42" s="104">
        <f>Table_14345[[#This Row],[Resultado IIP
2021]]</f>
        <v>34.940000000000005</v>
      </c>
      <c r="D42" s="104">
        <f>Table_14345[[#This Row],[Resultado IIP
2023]]</f>
        <v>47.900000000000006</v>
      </c>
      <c r="E42" s="105"/>
      <c r="F42" s="223">
        <f>Table_14345[[#This Row],[POSICIÓN
2019]]</f>
        <v>32</v>
      </c>
      <c r="G42" s="223">
        <f>Table_14345[[#This Row],[POSICIÓN
2021]]</f>
        <v>50</v>
      </c>
      <c r="H42" s="223">
        <f>Table_14345[[#This Row],[POSICIÓN
2023]]</f>
        <v>34</v>
      </c>
      <c r="I42" s="220">
        <v>32</v>
      </c>
      <c r="J42" s="106">
        <v>57.5</v>
      </c>
      <c r="K42" s="107">
        <v>7.87</v>
      </c>
      <c r="L42" s="107">
        <v>0</v>
      </c>
      <c r="M42" s="107">
        <v>0</v>
      </c>
      <c r="N42" s="201">
        <v>17.52</v>
      </c>
      <c r="O42" s="204">
        <v>50</v>
      </c>
      <c r="P42" s="108">
        <v>6.3000000000000007</v>
      </c>
      <c r="Q42" s="109">
        <v>14.270000000000003</v>
      </c>
      <c r="R42" s="109">
        <v>11</v>
      </c>
      <c r="S42" s="109">
        <v>3.37</v>
      </c>
      <c r="T42" s="110">
        <f>Table_14345[[#This Row],[COM 1 - 2021]]+Table_14345[[#This Row],[COM 2 - 2021]]+Table_14345[[#This Row],[COM 3 - 2021]]+Table_14345[[#This Row],[COM 4 - 2021]]</f>
        <v>34.940000000000005</v>
      </c>
      <c r="U42" s="111">
        <v>62</v>
      </c>
      <c r="V42" s="111">
        <v>61</v>
      </c>
      <c r="W42" s="111">
        <v>61</v>
      </c>
      <c r="X42" s="210">
        <v>34</v>
      </c>
      <c r="Y42" s="112">
        <f>Table_14345[[#This Row],[COM 1 - 2023]]+Table_14345[[#This Row],[COM 2 - 2023]]+Table_14345[[#This Row],[COM 3 - 2023]]+Table_14345[[#This Row],[COM 4 - 2023]]</f>
        <v>47.900000000000006</v>
      </c>
      <c r="Z42" s="113">
        <f>Table_14345[[#This Row],[COM 1 (sumatoria)]]</f>
        <v>13.3</v>
      </c>
      <c r="AA42" s="113">
        <f>Table_14345[[#This Row],[COM 2 (sumatoria)]]</f>
        <v>17.600000000000001</v>
      </c>
      <c r="AB42" s="113">
        <f>Table_14345[[#This Row],[COM 3 (sumatoria)]]</f>
        <v>11.299999999999999</v>
      </c>
      <c r="AC42" s="114">
        <f>Table_14345[[#This Row],[COM 4 (sumatoria)]]</f>
        <v>5.6999999999999993</v>
      </c>
      <c r="AD42" s="115">
        <f>Table_14345[[#This Row],[Resultado IIP
2023]]-Table_14345[[#This Row],[Resultado IIP
2021]]</f>
        <v>12.96</v>
      </c>
      <c r="AE42" s="116">
        <f>Table_14345[[#This Row],[COM 1 - 2023]]*100/25</f>
        <v>53.2</v>
      </c>
      <c r="AF42" s="116">
        <f>Table_14345[[#This Row],[COM 2 - 2023]]*100/35</f>
        <v>50.285714285714292</v>
      </c>
      <c r="AG42" s="116">
        <f>Table_14345[[#This Row],[COM 3 - 2023]]*100/25</f>
        <v>45.2</v>
      </c>
      <c r="AH42" s="116">
        <f>Table_14345[[#This Row],[COM 4 - 2023]]*100/15</f>
        <v>37.999999999999993</v>
      </c>
      <c r="AI42" s="117" t="s">
        <v>203</v>
      </c>
      <c r="AJ42" s="118" t="s">
        <v>204</v>
      </c>
      <c r="AK42" s="99">
        <v>0</v>
      </c>
      <c r="AL42" s="99">
        <v>2.27</v>
      </c>
      <c r="AM42" s="99">
        <v>0</v>
      </c>
      <c r="AN42" s="99">
        <v>2.9</v>
      </c>
      <c r="AO42" s="99">
        <v>0</v>
      </c>
      <c r="AP42" s="99">
        <v>1.8</v>
      </c>
      <c r="AQ42" s="99">
        <v>0</v>
      </c>
      <c r="AR42" s="99">
        <v>0.8</v>
      </c>
      <c r="AS42" s="99">
        <v>0</v>
      </c>
      <c r="AT42" s="99">
        <v>0</v>
      </c>
      <c r="AU42" s="99">
        <v>2.4</v>
      </c>
      <c r="AV42" s="99">
        <v>0</v>
      </c>
      <c r="AW42" s="99">
        <v>3.13</v>
      </c>
      <c r="AX42" s="100">
        <f t="shared" si="4"/>
        <v>13.3</v>
      </c>
      <c r="AY42" s="99">
        <v>0</v>
      </c>
      <c r="AZ42" s="99">
        <v>0.65</v>
      </c>
      <c r="BA42" s="99">
        <v>1.6</v>
      </c>
      <c r="BB42" s="99">
        <v>0.7</v>
      </c>
      <c r="BC42" s="99">
        <v>0.5</v>
      </c>
      <c r="BD42" s="99">
        <v>1.8</v>
      </c>
      <c r="BE42" s="99">
        <v>0.8</v>
      </c>
      <c r="BF42" s="99">
        <v>0.7</v>
      </c>
      <c r="BG42" s="99">
        <v>0.6</v>
      </c>
      <c r="BH42" s="99">
        <v>4.25</v>
      </c>
      <c r="BI42" s="99">
        <v>2.7</v>
      </c>
      <c r="BJ42" s="99">
        <v>1.6</v>
      </c>
      <c r="BK42" s="99">
        <v>0.6</v>
      </c>
      <c r="BL42" s="99">
        <v>1.1000000000000001</v>
      </c>
      <c r="BM42" s="100">
        <f t="shared" si="5"/>
        <v>17.600000000000001</v>
      </c>
      <c r="BN42" s="99">
        <v>9.1</v>
      </c>
      <c r="BO42" s="99">
        <v>1.1000000000000001</v>
      </c>
      <c r="BP42" s="99">
        <v>1.1000000000000001</v>
      </c>
      <c r="BQ42" s="100">
        <f t="shared" si="6"/>
        <v>11.299999999999999</v>
      </c>
      <c r="BR42" s="99">
        <v>0</v>
      </c>
      <c r="BS42" s="99">
        <v>2</v>
      </c>
      <c r="BT42" s="99">
        <v>0.4</v>
      </c>
      <c r="BU42" s="99">
        <v>0.4</v>
      </c>
      <c r="BV42" s="99">
        <v>0.3</v>
      </c>
      <c r="BW42" s="99">
        <v>0.3</v>
      </c>
      <c r="BX42" s="99">
        <v>0.3</v>
      </c>
      <c r="BY42" s="99">
        <v>0.8</v>
      </c>
      <c r="BZ42" s="99">
        <v>1.2</v>
      </c>
      <c r="CA42" s="101">
        <f t="shared" si="7"/>
        <v>5.6999999999999993</v>
      </c>
      <c r="CB42" s="99">
        <v>1.5</v>
      </c>
      <c r="CC42" s="99">
        <f>Table_14345[[#This Row],[PREAJUSTE
32]]+0.5</f>
        <v>2</v>
      </c>
      <c r="CD42" s="99"/>
      <c r="CE42" s="99">
        <f>Table_14345[[#This Row],[AJUSTADO
32]]-Table_14345[[#This Row],[DIFERENCIA
32]]</f>
        <v>2</v>
      </c>
      <c r="CF42" s="102">
        <v>0.3</v>
      </c>
      <c r="CG42" s="102">
        <f>Table_14345[[#This Row],[PREAJUSTE
38]]+0.5</f>
        <v>0.8</v>
      </c>
      <c r="CH42" s="102"/>
      <c r="CI42" s="102">
        <f>Table_14345[[#This Row],[AJUSTADO
38]]-Table_14345[[#This Row],[DIFERENCIA
38]]</f>
        <v>0.8</v>
      </c>
    </row>
    <row r="43" spans="2:87" x14ac:dyDescent="0.3">
      <c r="B43" s="103">
        <f>Table_14345[[#This Row],[Resultado IIP
2019]]</f>
        <v>23.76</v>
      </c>
      <c r="C43" s="104">
        <f>Table_14345[[#This Row],[Resultado IIP
2021]]</f>
        <v>36.870000000000005</v>
      </c>
      <c r="D43" s="104">
        <f>Table_14345[[#This Row],[Resultado IIP
2023]]</f>
        <v>47.667948717948718</v>
      </c>
      <c r="E43" s="105"/>
      <c r="F43" s="223">
        <f>Table_14345[[#This Row],[POSICIÓN
2019]]</f>
        <v>29</v>
      </c>
      <c r="G43" s="223">
        <f>Table_14345[[#This Row],[POSICIÓN
2021]]</f>
        <v>43</v>
      </c>
      <c r="H43" s="223">
        <f>Table_14345[[#This Row],[POSICIÓN
2023]]</f>
        <v>35</v>
      </c>
      <c r="I43" s="220">
        <v>29</v>
      </c>
      <c r="J43" s="106">
        <v>0</v>
      </c>
      <c r="K43" s="107">
        <v>28.28</v>
      </c>
      <c r="L43" s="107">
        <v>46.67</v>
      </c>
      <c r="M43" s="107">
        <v>7.84</v>
      </c>
      <c r="N43" s="201">
        <v>23.76</v>
      </c>
      <c r="O43" s="204">
        <v>43</v>
      </c>
      <c r="P43" s="108">
        <v>10.8</v>
      </c>
      <c r="Q43" s="109">
        <v>12.17</v>
      </c>
      <c r="R43" s="109">
        <v>11.7</v>
      </c>
      <c r="S43" s="109">
        <v>2.2000000000000002</v>
      </c>
      <c r="T43" s="110">
        <f>Table_14345[[#This Row],[COM 1 - 2021]]+Table_14345[[#This Row],[COM 2 - 2021]]+Table_14345[[#This Row],[COM 3 - 2021]]+Table_14345[[#This Row],[COM 4 - 2021]]</f>
        <v>36.870000000000005</v>
      </c>
      <c r="U43" s="111">
        <v>37</v>
      </c>
      <c r="V43" s="111">
        <v>37</v>
      </c>
      <c r="W43" s="124">
        <v>35</v>
      </c>
      <c r="X43" s="210">
        <v>35</v>
      </c>
      <c r="Y43" s="112">
        <f>Table_14345[[#This Row],[COM 1 - 2023]]+Table_14345[[#This Row],[COM 2 - 2023]]+Table_14345[[#This Row],[COM 3 - 2023]]+Table_14345[[#This Row],[COM 4 - 2023]]</f>
        <v>47.667948717948718</v>
      </c>
      <c r="Z43" s="113">
        <f>Table_14345[[#This Row],[COM 1 (sumatoria)]]</f>
        <v>12.866666666666667</v>
      </c>
      <c r="AA43" s="113">
        <f>Table_14345[[#This Row],[COM 2 (sumatoria)]]</f>
        <v>13.348717948717949</v>
      </c>
      <c r="AB43" s="113">
        <f>Table_14345[[#This Row],[COM 3 (sumatoria)]]</f>
        <v>13.402564102564103</v>
      </c>
      <c r="AC43" s="114">
        <f>Table_14345[[#This Row],[COM 4 (sumatoria)]]</f>
        <v>8.0500000000000007</v>
      </c>
      <c r="AD43" s="115">
        <f>Table_14345[[#This Row],[Resultado IIP
2023]]-Table_14345[[#This Row],[Resultado IIP
2021]]</f>
        <v>10.797948717948714</v>
      </c>
      <c r="AE43" s="116">
        <f>Table_14345[[#This Row],[COM 1 - 2023]]*100/25</f>
        <v>51.466666666666669</v>
      </c>
      <c r="AF43" s="116">
        <f>Table_14345[[#This Row],[COM 2 - 2023]]*100/35</f>
        <v>38.139194139194139</v>
      </c>
      <c r="AG43" s="116">
        <f>Table_14345[[#This Row],[COM 3 - 2023]]*100/25</f>
        <v>53.610256410256419</v>
      </c>
      <c r="AH43" s="116">
        <f>Table_14345[[#This Row],[COM 4 - 2023]]*100/15</f>
        <v>53.666666666666671</v>
      </c>
      <c r="AI43" s="117" t="s">
        <v>167</v>
      </c>
      <c r="AJ43" s="118" t="s">
        <v>205</v>
      </c>
      <c r="AK43" s="99">
        <v>0</v>
      </c>
      <c r="AL43" s="99">
        <v>2.8666666666666663</v>
      </c>
      <c r="AM43" s="99">
        <v>0</v>
      </c>
      <c r="AN43" s="99">
        <v>0</v>
      </c>
      <c r="AO43" s="99">
        <v>0</v>
      </c>
      <c r="AP43" s="99">
        <v>3.7</v>
      </c>
      <c r="AQ43" s="99">
        <v>0</v>
      </c>
      <c r="AR43" s="99">
        <v>1.65</v>
      </c>
      <c r="AS43" s="99">
        <v>0</v>
      </c>
      <c r="AT43" s="99">
        <v>0</v>
      </c>
      <c r="AU43" s="99">
        <v>1.8</v>
      </c>
      <c r="AV43" s="99">
        <v>0</v>
      </c>
      <c r="AW43" s="99">
        <v>2.85</v>
      </c>
      <c r="AX43" s="100">
        <f t="shared" si="4"/>
        <v>12.866666666666667</v>
      </c>
      <c r="AY43" s="99">
        <v>0.75</v>
      </c>
      <c r="AZ43" s="99">
        <v>0.30000000000000004</v>
      </c>
      <c r="BA43" s="99">
        <v>1.3</v>
      </c>
      <c r="BB43" s="99">
        <v>0.7</v>
      </c>
      <c r="BC43" s="99">
        <v>0.4</v>
      </c>
      <c r="BD43" s="99">
        <v>1.7</v>
      </c>
      <c r="BE43" s="99">
        <v>1.4</v>
      </c>
      <c r="BF43" s="99">
        <v>0.4</v>
      </c>
      <c r="BG43" s="99">
        <v>0.4</v>
      </c>
      <c r="BH43" s="99">
        <v>2.2153846153846155</v>
      </c>
      <c r="BI43" s="99">
        <v>1.05</v>
      </c>
      <c r="BJ43" s="99">
        <v>1.25</v>
      </c>
      <c r="BK43" s="99">
        <v>0.38333333333333336</v>
      </c>
      <c r="BL43" s="99">
        <v>1.1000000000000001</v>
      </c>
      <c r="BM43" s="100">
        <f t="shared" si="5"/>
        <v>13.348717948717949</v>
      </c>
      <c r="BN43" s="99">
        <v>11.202564102564104</v>
      </c>
      <c r="BO43" s="99">
        <v>1.1000000000000001</v>
      </c>
      <c r="BP43" s="99">
        <v>1.1000000000000001</v>
      </c>
      <c r="BQ43" s="100">
        <f t="shared" si="6"/>
        <v>13.402564102564103</v>
      </c>
      <c r="BR43" s="120">
        <v>0</v>
      </c>
      <c r="BS43" s="120">
        <v>1.7</v>
      </c>
      <c r="BT43" s="120">
        <v>0.85000000000000009</v>
      </c>
      <c r="BU43" s="120">
        <v>0</v>
      </c>
      <c r="BV43" s="120">
        <v>0.95</v>
      </c>
      <c r="BW43" s="120">
        <v>0.95</v>
      </c>
      <c r="BX43" s="120">
        <v>1</v>
      </c>
      <c r="BY43" s="120">
        <v>0.8</v>
      </c>
      <c r="BZ43" s="120">
        <v>1.8</v>
      </c>
      <c r="CA43" s="101">
        <f t="shared" si="7"/>
        <v>8.0500000000000007</v>
      </c>
      <c r="CB43" s="99">
        <v>1.2</v>
      </c>
      <c r="CC43" s="99">
        <f>Table_14345[[#This Row],[PREAJUSTE
32]]+0.5</f>
        <v>1.7</v>
      </c>
      <c r="CD43" s="99"/>
      <c r="CE43" s="99">
        <f>Table_14345[[#This Row],[AJUSTADO
32]]-Table_14345[[#This Row],[DIFERENCIA
32]]</f>
        <v>1.7</v>
      </c>
      <c r="CF43" s="102">
        <v>0.3</v>
      </c>
      <c r="CG43" s="102">
        <f>Table_14345[[#This Row],[PREAJUSTE
38]]+0.5</f>
        <v>0.8</v>
      </c>
      <c r="CH43" s="102"/>
      <c r="CI43" s="102">
        <f>Table_14345[[#This Row],[AJUSTADO
38]]-Table_14345[[#This Row],[DIFERENCIA
38]]</f>
        <v>0.8</v>
      </c>
    </row>
    <row r="44" spans="2:87" x14ac:dyDescent="0.3">
      <c r="B44" s="103">
        <f>Table_14345[[#This Row],[Resultado IIP
2019]]</f>
        <v>12.01</v>
      </c>
      <c r="C44" s="104">
        <f>Table_14345[[#This Row],[Resultado IIP
2021]]</f>
        <v>37.417000000000002</v>
      </c>
      <c r="D44" s="104">
        <f>Table_14345[[#This Row],[Resultado IIP
2023]]</f>
        <v>47.643333333333331</v>
      </c>
      <c r="E44" s="105"/>
      <c r="F44" s="223">
        <f>Table_14345[[#This Row],[POSICIÓN
2019]]</f>
        <v>36</v>
      </c>
      <c r="G44" s="223">
        <f>Table_14345[[#This Row],[POSICIÓN
2021]]</f>
        <v>40</v>
      </c>
      <c r="H44" s="223">
        <f>Table_14345[[#This Row],[POSICIÓN
2023]]</f>
        <v>36</v>
      </c>
      <c r="I44" s="219">
        <v>36</v>
      </c>
      <c r="J44" s="106">
        <v>0</v>
      </c>
      <c r="K44" s="107">
        <v>24.15</v>
      </c>
      <c r="L44" s="107">
        <v>0</v>
      </c>
      <c r="M44" s="107">
        <v>23.53</v>
      </c>
      <c r="N44" s="201">
        <v>12.01</v>
      </c>
      <c r="O44" s="203">
        <v>40</v>
      </c>
      <c r="P44" s="108">
        <v>11.600000000000001</v>
      </c>
      <c r="Q44" s="109">
        <v>12.990000000000002</v>
      </c>
      <c r="R44" s="109">
        <v>8</v>
      </c>
      <c r="S44" s="109">
        <v>4.827</v>
      </c>
      <c r="T44" s="110">
        <f>Table_14345[[#This Row],[COM 1 - 2021]]+Table_14345[[#This Row],[COM 2 - 2021]]+Table_14345[[#This Row],[COM 3 - 2021]]+Table_14345[[#This Row],[COM 4 - 2021]]</f>
        <v>37.417000000000002</v>
      </c>
      <c r="U44" s="91">
        <v>40</v>
      </c>
      <c r="V44" s="91">
        <v>40</v>
      </c>
      <c r="W44" s="91">
        <v>42</v>
      </c>
      <c r="X44" s="209">
        <v>36</v>
      </c>
      <c r="Y44" s="112">
        <f>Table_14345[[#This Row],[COM 1 - 2023]]+Table_14345[[#This Row],[COM 2 - 2023]]+Table_14345[[#This Row],[COM 3 - 2023]]+Table_14345[[#This Row],[COM 4 - 2023]]</f>
        <v>47.643333333333331</v>
      </c>
      <c r="Z44" s="113">
        <f>Table_14345[[#This Row],[COM 1 (sumatoria)]]</f>
        <v>14.693333333333332</v>
      </c>
      <c r="AA44" s="113">
        <f>Table_14345[[#This Row],[COM 2 (sumatoria)]]</f>
        <v>18.500000000000004</v>
      </c>
      <c r="AB44" s="113">
        <f>Table_14345[[#This Row],[COM 3 (sumatoria)]]</f>
        <v>9.9</v>
      </c>
      <c r="AC44" s="114">
        <f>Table_14345[[#This Row],[COM 4 (sumatoria)]]</f>
        <v>4.55</v>
      </c>
      <c r="AD44" s="115">
        <f>Table_14345[[#This Row],[Resultado IIP
2023]]-Table_14345[[#This Row],[Resultado IIP
2021]]</f>
        <v>10.226333333333329</v>
      </c>
      <c r="AE44" s="116">
        <f>Table_14345[[#This Row],[COM 1 - 2023]]*100/25</f>
        <v>58.773333333333333</v>
      </c>
      <c r="AF44" s="116">
        <f>Table_14345[[#This Row],[COM 2 - 2023]]*100/35</f>
        <v>52.857142857142868</v>
      </c>
      <c r="AG44" s="116">
        <f>Table_14345[[#This Row],[COM 3 - 2023]]*100/25</f>
        <v>39.6</v>
      </c>
      <c r="AH44" s="116">
        <f>Table_14345[[#This Row],[COM 4 - 2023]]*100/15</f>
        <v>30.333333333333332</v>
      </c>
      <c r="AI44" s="117" t="s">
        <v>167</v>
      </c>
      <c r="AJ44" s="118" t="s">
        <v>206</v>
      </c>
      <c r="AK44" s="99">
        <v>0</v>
      </c>
      <c r="AL44" s="99">
        <v>3.1333333333333329</v>
      </c>
      <c r="AM44" s="99">
        <v>0</v>
      </c>
      <c r="AN44" s="99">
        <v>2.9</v>
      </c>
      <c r="AO44" s="99">
        <v>0</v>
      </c>
      <c r="AP44" s="99">
        <v>1.2999999999999998</v>
      </c>
      <c r="AQ44" s="99">
        <v>0</v>
      </c>
      <c r="AR44" s="99">
        <v>2.7</v>
      </c>
      <c r="AS44" s="99">
        <v>0</v>
      </c>
      <c r="AT44" s="99">
        <v>0</v>
      </c>
      <c r="AU44" s="99">
        <v>2.1</v>
      </c>
      <c r="AV44" s="99">
        <v>0</v>
      </c>
      <c r="AW44" s="99">
        <v>2.5599999999999996</v>
      </c>
      <c r="AX44" s="100">
        <f t="shared" si="4"/>
        <v>14.693333333333332</v>
      </c>
      <c r="AY44" s="99">
        <v>0.7</v>
      </c>
      <c r="AZ44" s="99">
        <v>0.6</v>
      </c>
      <c r="BA44" s="99">
        <v>1.9000000000000001</v>
      </c>
      <c r="BB44" s="99">
        <v>0.7</v>
      </c>
      <c r="BC44" s="99">
        <v>0.7</v>
      </c>
      <c r="BD44" s="99">
        <v>0</v>
      </c>
      <c r="BE44" s="99">
        <v>2.1</v>
      </c>
      <c r="BF44" s="99">
        <v>0.9</v>
      </c>
      <c r="BG44" s="99">
        <v>0.9</v>
      </c>
      <c r="BH44" s="99">
        <v>5</v>
      </c>
      <c r="BI44" s="99">
        <v>2.2999999999999998</v>
      </c>
      <c r="BJ44" s="99">
        <v>1.1000000000000001</v>
      </c>
      <c r="BK44" s="99">
        <v>0.5</v>
      </c>
      <c r="BL44" s="99">
        <v>1.1000000000000001</v>
      </c>
      <c r="BM44" s="100">
        <f t="shared" si="5"/>
        <v>18.500000000000004</v>
      </c>
      <c r="BN44" s="99">
        <v>6.6</v>
      </c>
      <c r="BO44" s="99">
        <v>2.2000000000000002</v>
      </c>
      <c r="BP44" s="99">
        <v>1.1000000000000001</v>
      </c>
      <c r="BQ44" s="100">
        <f t="shared" si="6"/>
        <v>9.9</v>
      </c>
      <c r="BR44" s="99">
        <v>0</v>
      </c>
      <c r="BS44" s="99">
        <v>1.4</v>
      </c>
      <c r="BT44" s="99">
        <v>0.75</v>
      </c>
      <c r="BU44" s="99">
        <v>0</v>
      </c>
      <c r="BV44" s="99">
        <v>0.75</v>
      </c>
      <c r="BW44" s="99">
        <v>0</v>
      </c>
      <c r="BX44" s="99">
        <v>0.75</v>
      </c>
      <c r="BY44" s="99">
        <v>0.9</v>
      </c>
      <c r="BZ44" s="99">
        <v>0</v>
      </c>
      <c r="CA44" s="101">
        <f t="shared" si="7"/>
        <v>4.55</v>
      </c>
      <c r="CB44" s="99">
        <v>0.9</v>
      </c>
      <c r="CC44" s="99">
        <f>Table_14345[[#This Row],[PREAJUSTE
32]]+0.5</f>
        <v>1.4</v>
      </c>
      <c r="CD44" s="99"/>
      <c r="CE44" s="99">
        <f>Table_14345[[#This Row],[AJUSTADO
32]]-Table_14345[[#This Row],[DIFERENCIA
32]]</f>
        <v>1.4</v>
      </c>
      <c r="CF44" s="102">
        <v>0.4</v>
      </c>
      <c r="CG44" s="102">
        <f>Table_14345[[#This Row],[PREAJUSTE
38]]+0.5</f>
        <v>0.9</v>
      </c>
      <c r="CH44" s="102"/>
      <c r="CI44" s="102">
        <f>Table_14345[[#This Row],[AJUSTADO
38]]-Table_14345[[#This Row],[DIFERENCIA
38]]</f>
        <v>0.9</v>
      </c>
    </row>
    <row r="45" spans="2:87" x14ac:dyDescent="0.3">
      <c r="B45" s="103">
        <f>Table_14345[[#This Row],[Resultado IIP
2019]]</f>
        <v>40.82</v>
      </c>
      <c r="C45" s="104">
        <f>Table_14345[[#This Row],[Resultado IIP
2021]]</f>
        <v>43.82</v>
      </c>
      <c r="D45" s="104">
        <f>Table_14345[[#This Row],[Resultado IIP
2023]]</f>
        <v>47.6</v>
      </c>
      <c r="E45" s="105"/>
      <c r="F45" s="223">
        <f>Table_14345[[#This Row],[POSICIÓN
2019]]</f>
        <v>18</v>
      </c>
      <c r="G45" s="223">
        <f>Table_14345[[#This Row],[POSICIÓN
2021]]</f>
        <v>24</v>
      </c>
      <c r="H45" s="223">
        <f>Table_14345[[#This Row],[POSICIÓN
2023]]</f>
        <v>37</v>
      </c>
      <c r="I45" s="220">
        <v>18</v>
      </c>
      <c r="J45" s="106">
        <v>32.5</v>
      </c>
      <c r="K45" s="107">
        <v>36.85</v>
      </c>
      <c r="L45" s="107">
        <v>50.67</v>
      </c>
      <c r="M45" s="107">
        <v>52.94</v>
      </c>
      <c r="N45" s="201">
        <v>40.82</v>
      </c>
      <c r="O45" s="204">
        <v>24</v>
      </c>
      <c r="P45" s="108">
        <v>9.6999999999999993</v>
      </c>
      <c r="Q45" s="109">
        <v>16.57</v>
      </c>
      <c r="R45" s="109">
        <v>12.950000000000001</v>
      </c>
      <c r="S45" s="109">
        <v>4.5999999999999996</v>
      </c>
      <c r="T45" s="110">
        <f>Table_14345[[#This Row],[COM 1 - 2021]]+Table_14345[[#This Row],[COM 2 - 2021]]+Table_14345[[#This Row],[COM 3 - 2021]]+Table_14345[[#This Row],[COM 4 - 2021]]</f>
        <v>43.82</v>
      </c>
      <c r="U45" s="111">
        <v>36</v>
      </c>
      <c r="V45" s="111">
        <v>36</v>
      </c>
      <c r="W45" s="124">
        <v>34</v>
      </c>
      <c r="X45" s="210">
        <v>37</v>
      </c>
      <c r="Y45" s="112">
        <f>Table_14345[[#This Row],[COM 1 - 2023]]+Table_14345[[#This Row],[COM 2 - 2023]]+Table_14345[[#This Row],[COM 3 - 2023]]+Table_14345[[#This Row],[COM 4 - 2023]]</f>
        <v>47.6</v>
      </c>
      <c r="Z45" s="113">
        <f>Table_14345[[#This Row],[COM 1 (sumatoria)]]</f>
        <v>12.799999999999999</v>
      </c>
      <c r="AA45" s="113">
        <f>Table_14345[[#This Row],[COM 2 (sumatoria)]]</f>
        <v>14.6</v>
      </c>
      <c r="AB45" s="113">
        <f>Table_14345[[#This Row],[COM 3 (sumatoria)]]</f>
        <v>11.3</v>
      </c>
      <c r="AC45" s="114">
        <f>Table_14345[[#This Row],[COM 4 (sumatoria)]]</f>
        <v>8.9</v>
      </c>
      <c r="AD45" s="115">
        <f>Table_14345[[#This Row],[Resultado IIP
2023]]-Table_14345[[#This Row],[Resultado IIP
2021]]</f>
        <v>3.7800000000000011</v>
      </c>
      <c r="AE45" s="116">
        <f>Table_14345[[#This Row],[COM 1 - 2023]]*100/25</f>
        <v>51.2</v>
      </c>
      <c r="AF45" s="116">
        <f>Table_14345[[#This Row],[COM 2 - 2023]]*100/35</f>
        <v>41.714285714285715</v>
      </c>
      <c r="AG45" s="116">
        <f>Table_14345[[#This Row],[COM 3 - 2023]]*100/25</f>
        <v>45.2</v>
      </c>
      <c r="AH45" s="116">
        <f>Table_14345[[#This Row],[COM 4 - 2023]]*100/15</f>
        <v>59.333333333333336</v>
      </c>
      <c r="AI45" s="117" t="s">
        <v>167</v>
      </c>
      <c r="AJ45" s="118" t="s">
        <v>207</v>
      </c>
      <c r="AK45" s="99">
        <v>0</v>
      </c>
      <c r="AL45" s="99">
        <v>2.6</v>
      </c>
      <c r="AM45" s="99">
        <v>0</v>
      </c>
      <c r="AN45" s="99">
        <v>3.3</v>
      </c>
      <c r="AO45" s="99">
        <v>0</v>
      </c>
      <c r="AP45" s="99">
        <v>2.8</v>
      </c>
      <c r="AQ45" s="99">
        <v>0</v>
      </c>
      <c r="AR45" s="99">
        <v>1.35</v>
      </c>
      <c r="AS45" s="99">
        <v>0</v>
      </c>
      <c r="AT45" s="99">
        <v>0</v>
      </c>
      <c r="AU45" s="99">
        <v>1.55</v>
      </c>
      <c r="AV45" s="99">
        <v>0</v>
      </c>
      <c r="AW45" s="99">
        <v>1.2</v>
      </c>
      <c r="AX45" s="100">
        <f t="shared" si="4"/>
        <v>12.799999999999999</v>
      </c>
      <c r="AY45" s="99">
        <v>1.25</v>
      </c>
      <c r="AZ45" s="99">
        <v>0.6</v>
      </c>
      <c r="BA45" s="99">
        <v>1.2</v>
      </c>
      <c r="BB45" s="99">
        <v>0.8</v>
      </c>
      <c r="BC45" s="99">
        <v>0.6</v>
      </c>
      <c r="BD45" s="99">
        <v>0.8</v>
      </c>
      <c r="BE45" s="99">
        <v>0.8</v>
      </c>
      <c r="BF45" s="99">
        <v>0.9</v>
      </c>
      <c r="BG45" s="99">
        <v>0.8</v>
      </c>
      <c r="BH45" s="99">
        <v>2.75</v>
      </c>
      <c r="BI45" s="99">
        <v>0.89999999999999991</v>
      </c>
      <c r="BJ45" s="99">
        <v>2.1</v>
      </c>
      <c r="BK45" s="99">
        <v>0</v>
      </c>
      <c r="BL45" s="99">
        <v>1.1000000000000001</v>
      </c>
      <c r="BM45" s="100">
        <f t="shared" si="5"/>
        <v>14.6</v>
      </c>
      <c r="BN45" s="99">
        <v>7.9</v>
      </c>
      <c r="BO45" s="99">
        <v>1.1000000000000001</v>
      </c>
      <c r="BP45" s="99">
        <v>2.2999999999999998</v>
      </c>
      <c r="BQ45" s="100">
        <f t="shared" si="6"/>
        <v>11.3</v>
      </c>
      <c r="BR45" s="120">
        <v>0</v>
      </c>
      <c r="BS45" s="120">
        <v>2.6</v>
      </c>
      <c r="BT45" s="120">
        <v>0.95</v>
      </c>
      <c r="BU45" s="120">
        <v>0</v>
      </c>
      <c r="BV45" s="120">
        <v>1</v>
      </c>
      <c r="BW45" s="120">
        <v>0</v>
      </c>
      <c r="BX45" s="120">
        <v>0.95</v>
      </c>
      <c r="BY45" s="120">
        <v>1</v>
      </c>
      <c r="BZ45" s="120">
        <v>2.4</v>
      </c>
      <c r="CA45" s="101">
        <f t="shared" si="7"/>
        <v>8.9</v>
      </c>
      <c r="CB45" s="99">
        <v>2.1</v>
      </c>
      <c r="CC45" s="99">
        <f>Table_14345[[#This Row],[PREAJUSTE
32]]+0.5</f>
        <v>2.6</v>
      </c>
      <c r="CD45" s="99"/>
      <c r="CE45" s="99">
        <f>Table_14345[[#This Row],[AJUSTADO
32]]-Table_14345[[#This Row],[DIFERENCIA
32]]</f>
        <v>2.6</v>
      </c>
      <c r="CF45" s="102">
        <v>0.6</v>
      </c>
      <c r="CG45" s="102">
        <f>Table_14345[[#This Row],[PREAJUSTE
38]]+0.5</f>
        <v>1.1000000000000001</v>
      </c>
      <c r="CH45" s="102">
        <f>Table_14345[[#This Row],[AJUSTADO
38]]-1</f>
        <v>0.10000000000000009</v>
      </c>
      <c r="CI45" s="102">
        <f>Table_14345[[#This Row],[AJUSTADO
38]]-Table_14345[[#This Row],[DIFERENCIA
38]]</f>
        <v>1</v>
      </c>
    </row>
    <row r="46" spans="2:87" x14ac:dyDescent="0.3">
      <c r="B46" s="103">
        <f>Table_14345[[#This Row],[Resultado IIP
2019]]</f>
        <v>0</v>
      </c>
      <c r="C46" s="104">
        <f>Table_14345[[#This Row],[Resultado IIP
2021]]</f>
        <v>28.42</v>
      </c>
      <c r="D46" s="104">
        <f>Table_14345[[#This Row],[Resultado IIP
2023]]</f>
        <v>47.33</v>
      </c>
      <c r="E46" s="105"/>
      <c r="F46" s="223"/>
      <c r="G46" s="223">
        <f>Table_14345[[#This Row],[POSICIÓN
2021]]</f>
        <v>58</v>
      </c>
      <c r="H46" s="223">
        <f>Table_14345[[#This Row],[POSICIÓN
2023]]</f>
        <v>38</v>
      </c>
      <c r="I46" s="220"/>
      <c r="J46" s="106"/>
      <c r="K46" s="107"/>
      <c r="L46" s="107"/>
      <c r="M46" s="107"/>
      <c r="N46" s="201"/>
      <c r="O46" s="204">
        <v>58</v>
      </c>
      <c r="P46" s="108">
        <v>4</v>
      </c>
      <c r="Q46" s="109">
        <v>11.1</v>
      </c>
      <c r="R46" s="109">
        <v>7.6000000000000005</v>
      </c>
      <c r="S46" s="109">
        <v>5.7200000000000006</v>
      </c>
      <c r="T46" s="110">
        <f>Table_14345[[#This Row],[COM 1 - 2021]]+Table_14345[[#This Row],[COM 2 - 2021]]+Table_14345[[#This Row],[COM 3 - 2021]]+Table_14345[[#This Row],[COM 4 - 2021]]</f>
        <v>28.42</v>
      </c>
      <c r="U46" s="111">
        <v>42</v>
      </c>
      <c r="V46" s="111">
        <v>42</v>
      </c>
      <c r="W46" s="111">
        <v>36</v>
      </c>
      <c r="X46" s="210">
        <v>38</v>
      </c>
      <c r="Y46" s="112">
        <f>Table_14345[[#This Row],[COM 1 - 2023]]+Table_14345[[#This Row],[COM 2 - 2023]]+Table_14345[[#This Row],[COM 3 - 2023]]+Table_14345[[#This Row],[COM 4 - 2023]]</f>
        <v>47.33</v>
      </c>
      <c r="Z46" s="113">
        <f>Table_14345[[#This Row],[COM 1 (sumatoria)]]</f>
        <v>12.08</v>
      </c>
      <c r="AA46" s="113">
        <f>Table_14345[[#This Row],[COM 2 (sumatoria)]]</f>
        <v>17.400000000000002</v>
      </c>
      <c r="AB46" s="113">
        <f>Table_14345[[#This Row],[COM 3 (sumatoria)]]</f>
        <v>12.399999999999999</v>
      </c>
      <c r="AC46" s="114">
        <f>Table_14345[[#This Row],[COM 4 (sumatoria)]]</f>
        <v>5.4499999999999993</v>
      </c>
      <c r="AD46" s="115">
        <f>Table_14345[[#This Row],[Resultado IIP
2023]]-Table_14345[[#This Row],[Resultado IIP
2021]]</f>
        <v>18.909999999999997</v>
      </c>
      <c r="AE46" s="116">
        <f>Table_14345[[#This Row],[COM 1 - 2023]]*100/25</f>
        <v>48.32</v>
      </c>
      <c r="AF46" s="116">
        <f>Table_14345[[#This Row],[COM 2 - 2023]]*100/35</f>
        <v>49.714285714285722</v>
      </c>
      <c r="AG46" s="116">
        <f>Table_14345[[#This Row],[COM 3 - 2023]]*100/25</f>
        <v>49.599999999999994</v>
      </c>
      <c r="AH46" s="116">
        <f>Table_14345[[#This Row],[COM 4 - 2023]]*100/15</f>
        <v>36.333333333333329</v>
      </c>
      <c r="AI46" s="117" t="s">
        <v>167</v>
      </c>
      <c r="AJ46" s="118" t="s">
        <v>208</v>
      </c>
      <c r="AK46" s="99">
        <v>0</v>
      </c>
      <c r="AL46" s="99">
        <v>2.8</v>
      </c>
      <c r="AM46" s="99">
        <v>0</v>
      </c>
      <c r="AN46" s="99">
        <v>2.6</v>
      </c>
      <c r="AO46" s="99">
        <v>0</v>
      </c>
      <c r="AP46" s="99">
        <v>1.3</v>
      </c>
      <c r="AQ46" s="99">
        <v>0</v>
      </c>
      <c r="AR46" s="99">
        <v>1.5</v>
      </c>
      <c r="AS46" s="99">
        <v>0</v>
      </c>
      <c r="AT46" s="99">
        <v>0</v>
      </c>
      <c r="AU46" s="99">
        <v>1.8</v>
      </c>
      <c r="AV46" s="99">
        <v>0</v>
      </c>
      <c r="AW46" s="99">
        <v>2.08</v>
      </c>
      <c r="AX46" s="100">
        <f t="shared" si="4"/>
        <v>12.08</v>
      </c>
      <c r="AY46" s="99">
        <v>1.55</v>
      </c>
      <c r="AZ46" s="99">
        <v>0.6</v>
      </c>
      <c r="BA46" s="99">
        <v>1.65</v>
      </c>
      <c r="BB46" s="99">
        <v>0.4</v>
      </c>
      <c r="BC46" s="99">
        <v>0.4</v>
      </c>
      <c r="BD46" s="99">
        <v>0</v>
      </c>
      <c r="BE46" s="99">
        <v>1.8</v>
      </c>
      <c r="BF46" s="99">
        <v>0.4</v>
      </c>
      <c r="BG46" s="99">
        <v>0.4</v>
      </c>
      <c r="BH46" s="99">
        <v>4</v>
      </c>
      <c r="BI46" s="99">
        <v>3.6</v>
      </c>
      <c r="BJ46" s="99">
        <v>1</v>
      </c>
      <c r="BK46" s="99">
        <v>0.5</v>
      </c>
      <c r="BL46" s="99">
        <v>1.1000000000000001</v>
      </c>
      <c r="BM46" s="100">
        <f t="shared" si="5"/>
        <v>17.400000000000002</v>
      </c>
      <c r="BN46" s="99">
        <v>10.199999999999999</v>
      </c>
      <c r="BO46" s="99">
        <v>1.1000000000000001</v>
      </c>
      <c r="BP46" s="99">
        <v>1.1000000000000001</v>
      </c>
      <c r="BQ46" s="100">
        <f t="shared" si="6"/>
        <v>12.399999999999999</v>
      </c>
      <c r="BR46" s="99">
        <v>0</v>
      </c>
      <c r="BS46" s="99">
        <v>1.7</v>
      </c>
      <c r="BT46" s="99">
        <v>0</v>
      </c>
      <c r="BU46" s="99">
        <v>0.95</v>
      </c>
      <c r="BV46" s="99">
        <v>0</v>
      </c>
      <c r="BW46" s="99">
        <v>0.95</v>
      </c>
      <c r="BX46" s="99">
        <v>1</v>
      </c>
      <c r="BY46" s="99">
        <v>0.85</v>
      </c>
      <c r="BZ46" s="99">
        <v>0</v>
      </c>
      <c r="CA46" s="101">
        <f t="shared" si="7"/>
        <v>5.4499999999999993</v>
      </c>
      <c r="CB46" s="99">
        <v>1.2</v>
      </c>
      <c r="CC46" s="99">
        <f>Table_14345[[#This Row],[PREAJUSTE
32]]+0.5</f>
        <v>1.7</v>
      </c>
      <c r="CD46" s="99"/>
      <c r="CE46" s="99">
        <f>Table_14345[[#This Row],[AJUSTADO
32]]-Table_14345[[#This Row],[DIFERENCIA
32]]</f>
        <v>1.7</v>
      </c>
      <c r="CF46" s="102">
        <v>0.35</v>
      </c>
      <c r="CG46" s="102">
        <f>Table_14345[[#This Row],[PREAJUSTE
38]]+0.5</f>
        <v>0.85</v>
      </c>
      <c r="CH46" s="102"/>
      <c r="CI46" s="102">
        <f>Table_14345[[#This Row],[AJUSTADO
38]]-Table_14345[[#This Row],[DIFERENCIA
38]]</f>
        <v>0.85</v>
      </c>
    </row>
    <row r="47" spans="2:87" x14ac:dyDescent="0.3">
      <c r="B47" s="103">
        <f>Table_14345[[#This Row],[Resultado IIP
2019]]</f>
        <v>32.22</v>
      </c>
      <c r="C47" s="104">
        <f>Table_14345[[#This Row],[Resultado IIP
2021]]</f>
        <v>41.67</v>
      </c>
      <c r="D47" s="104">
        <f>Table_14345[[#This Row],[Resultado IIP
2023]]</f>
        <v>46.008333333333333</v>
      </c>
      <c r="E47" s="105"/>
      <c r="F47" s="223">
        <f>Table_14345[[#This Row],[POSICIÓN
2019]]</f>
        <v>24</v>
      </c>
      <c r="G47" s="223">
        <f>Table_14345[[#This Row],[POSICIÓN
2021]]</f>
        <v>26</v>
      </c>
      <c r="H47" s="223">
        <f>Table_14345[[#This Row],[POSICIÓN
2023]]</f>
        <v>39</v>
      </c>
      <c r="I47" s="219">
        <v>24</v>
      </c>
      <c r="J47" s="106">
        <v>38.369999999999997</v>
      </c>
      <c r="K47" s="107">
        <v>13.92</v>
      </c>
      <c r="L47" s="107">
        <v>53.33</v>
      </c>
      <c r="M47" s="107">
        <v>37.25</v>
      </c>
      <c r="N47" s="201">
        <v>32.22</v>
      </c>
      <c r="O47" s="203">
        <v>26</v>
      </c>
      <c r="P47" s="108">
        <v>9.8000000000000007</v>
      </c>
      <c r="Q47" s="109">
        <v>12.05</v>
      </c>
      <c r="R47" s="109">
        <v>13</v>
      </c>
      <c r="S47" s="109">
        <v>6.82</v>
      </c>
      <c r="T47" s="110">
        <f>Table_14345[[#This Row],[COM 1 - 2021]]+Table_14345[[#This Row],[COM 2 - 2021]]+Table_14345[[#This Row],[COM 3 - 2021]]+Table_14345[[#This Row],[COM 4 - 2021]]</f>
        <v>41.67</v>
      </c>
      <c r="U47" s="111">
        <v>38</v>
      </c>
      <c r="V47" s="111">
        <v>38</v>
      </c>
      <c r="W47" s="91">
        <v>38</v>
      </c>
      <c r="X47" s="209">
        <v>39</v>
      </c>
      <c r="Y47" s="112">
        <f>Table_14345[[#This Row],[COM 1 - 2023]]+Table_14345[[#This Row],[COM 2 - 2023]]+Table_14345[[#This Row],[COM 3 - 2023]]+Table_14345[[#This Row],[COM 4 - 2023]]</f>
        <v>46.008333333333333</v>
      </c>
      <c r="Z47" s="113">
        <f>Table_14345[[#This Row],[COM 1 (sumatoria)]]</f>
        <v>14.758333333333333</v>
      </c>
      <c r="AA47" s="113">
        <f>Table_14345[[#This Row],[COM 2 (sumatoria)]]</f>
        <v>9.35</v>
      </c>
      <c r="AB47" s="113">
        <f>Table_14345[[#This Row],[COM 3 (sumatoria)]]</f>
        <v>14.9</v>
      </c>
      <c r="AC47" s="114">
        <f>Table_14345[[#This Row],[COM 4 (sumatoria)]]</f>
        <v>7</v>
      </c>
      <c r="AD47" s="115">
        <f>Table_14345[[#This Row],[Resultado IIP
2023]]-Table_14345[[#This Row],[Resultado IIP
2021]]</f>
        <v>4.3383333333333312</v>
      </c>
      <c r="AE47" s="116">
        <f>Table_14345[[#This Row],[COM 1 - 2023]]*100/25</f>
        <v>59.033333333333331</v>
      </c>
      <c r="AF47" s="116">
        <f>Table_14345[[#This Row],[COM 2 - 2023]]*100/35</f>
        <v>26.714285714285715</v>
      </c>
      <c r="AG47" s="116">
        <f>Table_14345[[#This Row],[COM 3 - 2023]]*100/25</f>
        <v>59.6</v>
      </c>
      <c r="AH47" s="116">
        <f>Table_14345[[#This Row],[COM 4 - 2023]]*100/15</f>
        <v>46.666666666666664</v>
      </c>
      <c r="AI47" s="117" t="s">
        <v>167</v>
      </c>
      <c r="AJ47" s="118" t="s">
        <v>209</v>
      </c>
      <c r="AK47" s="99">
        <v>0</v>
      </c>
      <c r="AL47" s="99">
        <v>2.7333333333333329</v>
      </c>
      <c r="AM47" s="99">
        <v>0</v>
      </c>
      <c r="AN47" s="99">
        <v>1.55</v>
      </c>
      <c r="AO47" s="99">
        <v>0</v>
      </c>
      <c r="AP47" s="99">
        <v>1.2999999999999998</v>
      </c>
      <c r="AQ47" s="99">
        <v>0</v>
      </c>
      <c r="AR47" s="99">
        <v>4</v>
      </c>
      <c r="AS47" s="99">
        <v>0</v>
      </c>
      <c r="AT47" s="99">
        <v>0</v>
      </c>
      <c r="AU47" s="99">
        <v>2.4</v>
      </c>
      <c r="AV47" s="99">
        <v>0</v>
      </c>
      <c r="AW47" s="99">
        <v>2.7749999999999999</v>
      </c>
      <c r="AX47" s="100">
        <f t="shared" si="4"/>
        <v>14.758333333333333</v>
      </c>
      <c r="AY47" s="99">
        <v>0.75</v>
      </c>
      <c r="AZ47" s="99">
        <v>0.30000000000000004</v>
      </c>
      <c r="BA47" s="99">
        <v>0.45</v>
      </c>
      <c r="BB47" s="99">
        <v>0.7</v>
      </c>
      <c r="BC47" s="99">
        <v>0.7</v>
      </c>
      <c r="BD47" s="99">
        <v>0</v>
      </c>
      <c r="BE47" s="99">
        <v>0</v>
      </c>
      <c r="BF47" s="99">
        <v>0.4</v>
      </c>
      <c r="BG47" s="99">
        <v>0.5</v>
      </c>
      <c r="BH47" s="99">
        <v>3.0999999999999996</v>
      </c>
      <c r="BI47" s="99">
        <v>0.6</v>
      </c>
      <c r="BJ47" s="99">
        <v>1.4500000000000002</v>
      </c>
      <c r="BK47" s="99">
        <v>0.4</v>
      </c>
      <c r="BL47" s="99">
        <v>0</v>
      </c>
      <c r="BM47" s="100">
        <f t="shared" si="5"/>
        <v>9.35</v>
      </c>
      <c r="BN47" s="99">
        <v>11.6</v>
      </c>
      <c r="BO47" s="99">
        <v>2.2000000000000002</v>
      </c>
      <c r="BP47" s="99">
        <v>1.1000000000000001</v>
      </c>
      <c r="BQ47" s="100">
        <f t="shared" si="6"/>
        <v>14.9</v>
      </c>
      <c r="BR47" s="120">
        <v>0</v>
      </c>
      <c r="BS47" s="120">
        <v>2.5</v>
      </c>
      <c r="BT47" s="120">
        <v>0.85000000000000009</v>
      </c>
      <c r="BU47" s="120">
        <v>0</v>
      </c>
      <c r="BV47" s="120">
        <v>0</v>
      </c>
      <c r="BW47" s="120">
        <v>0</v>
      </c>
      <c r="BX47" s="120">
        <v>0.95</v>
      </c>
      <c r="BY47" s="120">
        <v>0.9</v>
      </c>
      <c r="BZ47" s="120">
        <v>1.8</v>
      </c>
      <c r="CA47" s="101">
        <f t="shared" si="7"/>
        <v>7</v>
      </c>
      <c r="CB47" s="99">
        <v>2</v>
      </c>
      <c r="CC47" s="99">
        <f>Table_14345[[#This Row],[PREAJUSTE
32]]+0.5</f>
        <v>2.5</v>
      </c>
      <c r="CD47" s="99"/>
      <c r="CE47" s="99">
        <f>Table_14345[[#This Row],[AJUSTADO
32]]-Table_14345[[#This Row],[DIFERENCIA
32]]</f>
        <v>2.5</v>
      </c>
      <c r="CF47" s="102">
        <v>0.4</v>
      </c>
      <c r="CG47" s="102">
        <f>Table_14345[[#This Row],[PREAJUSTE
38]]+0.5</f>
        <v>0.9</v>
      </c>
      <c r="CH47" s="102"/>
      <c r="CI47" s="102">
        <f>Table_14345[[#This Row],[AJUSTADO
38]]-Table_14345[[#This Row],[DIFERENCIA
38]]</f>
        <v>0.9</v>
      </c>
    </row>
    <row r="48" spans="2:87" x14ac:dyDescent="0.3">
      <c r="B48" s="103">
        <f>Table_14345[[#This Row],[Resultado IIP
2019]]</f>
        <v>0</v>
      </c>
      <c r="C48" s="104">
        <f>Table_14345[[#This Row],[Resultado IIP
2021]]</f>
        <v>0</v>
      </c>
      <c r="D48" s="104">
        <f>Table_14345[[#This Row],[Resultado IIP
2023]]</f>
        <v>45.96</v>
      </c>
      <c r="E48" s="105"/>
      <c r="F48" s="223"/>
      <c r="G48" s="223"/>
      <c r="H48" s="223">
        <f>Table_14345[[#This Row],[POSICIÓN
2023]]</f>
        <v>40</v>
      </c>
      <c r="I48" s="220"/>
      <c r="J48" s="106"/>
      <c r="K48" s="107"/>
      <c r="L48" s="107"/>
      <c r="M48" s="107"/>
      <c r="N48" s="201"/>
      <c r="O48" s="204"/>
      <c r="P48" s="108"/>
      <c r="Q48" s="109"/>
      <c r="R48" s="109"/>
      <c r="S48" s="109"/>
      <c r="T48" s="110"/>
      <c r="U48" s="91">
        <v>39</v>
      </c>
      <c r="V48" s="91">
        <v>39</v>
      </c>
      <c r="W48" s="111">
        <v>39</v>
      </c>
      <c r="X48" s="210">
        <v>40</v>
      </c>
      <c r="Y48" s="112">
        <f>Table_14345[[#This Row],[COM 1 - 2023]]+Table_14345[[#This Row],[COM 2 - 2023]]+Table_14345[[#This Row],[COM 3 - 2023]]+Table_14345[[#This Row],[COM 4 - 2023]]</f>
        <v>45.96</v>
      </c>
      <c r="Z48" s="113">
        <f>Table_14345[[#This Row],[COM 1 (sumatoria)]]</f>
        <v>10.1</v>
      </c>
      <c r="AA48" s="113">
        <f>Table_14345[[#This Row],[COM 2 (sumatoria)]]</f>
        <v>14.11</v>
      </c>
      <c r="AB48" s="113">
        <f>Table_14345[[#This Row],[COM 3 (sumatoria)]]</f>
        <v>12.6</v>
      </c>
      <c r="AC48" s="114">
        <f>Table_14345[[#This Row],[COM 4 (sumatoria)]]</f>
        <v>9.15</v>
      </c>
      <c r="AD48" s="115"/>
      <c r="AE48" s="116">
        <f>Table_14345[[#This Row],[COM 1 - 2023]]*100/25</f>
        <v>40.4</v>
      </c>
      <c r="AF48" s="116">
        <f>Table_14345[[#This Row],[COM 2 - 2023]]*100/35</f>
        <v>40.314285714285717</v>
      </c>
      <c r="AG48" s="116">
        <f>Table_14345[[#This Row],[COM 3 - 2023]]*100/25</f>
        <v>50.4</v>
      </c>
      <c r="AH48" s="116">
        <f>Table_14345[[#This Row],[COM 4 - 2023]]*100/15</f>
        <v>61</v>
      </c>
      <c r="AI48" s="117" t="s">
        <v>167</v>
      </c>
      <c r="AJ48" s="118" t="s">
        <v>210</v>
      </c>
      <c r="AK48" s="99">
        <v>0</v>
      </c>
      <c r="AL48" s="99">
        <v>2.41</v>
      </c>
      <c r="AM48" s="99">
        <v>0</v>
      </c>
      <c r="AN48" s="99">
        <v>2.5499999999999998</v>
      </c>
      <c r="AO48" s="99">
        <v>0</v>
      </c>
      <c r="AP48" s="99">
        <v>2.5499999999999998</v>
      </c>
      <c r="AQ48" s="99">
        <v>0</v>
      </c>
      <c r="AR48" s="99">
        <v>0</v>
      </c>
      <c r="AS48" s="99">
        <v>0</v>
      </c>
      <c r="AT48" s="99">
        <v>0</v>
      </c>
      <c r="AU48" s="99">
        <v>0</v>
      </c>
      <c r="AV48" s="99">
        <v>0</v>
      </c>
      <c r="AW48" s="99">
        <v>2.59</v>
      </c>
      <c r="AX48" s="100">
        <f t="shared" si="4"/>
        <v>10.1</v>
      </c>
      <c r="AY48" s="99">
        <v>1.25</v>
      </c>
      <c r="AZ48" s="99">
        <v>0.3</v>
      </c>
      <c r="BA48" s="99">
        <v>0.75</v>
      </c>
      <c r="BB48" s="99">
        <v>0.7</v>
      </c>
      <c r="BC48" s="99">
        <v>0.7</v>
      </c>
      <c r="BD48" s="99">
        <v>1.3</v>
      </c>
      <c r="BE48" s="99">
        <v>0</v>
      </c>
      <c r="BF48" s="99">
        <v>0.83</v>
      </c>
      <c r="BG48" s="99">
        <v>0.4</v>
      </c>
      <c r="BH48" s="99">
        <v>4.4000000000000004</v>
      </c>
      <c r="BI48" s="99">
        <v>1.4</v>
      </c>
      <c r="BJ48" s="99">
        <v>1.28</v>
      </c>
      <c r="BK48" s="99">
        <v>0.35</v>
      </c>
      <c r="BL48" s="99">
        <v>0.45</v>
      </c>
      <c r="BM48" s="100">
        <f t="shared" si="5"/>
        <v>14.11</v>
      </c>
      <c r="BN48" s="99">
        <v>11.1</v>
      </c>
      <c r="BO48" s="99">
        <v>1.5</v>
      </c>
      <c r="BP48" s="99">
        <v>0</v>
      </c>
      <c r="BQ48" s="100">
        <f t="shared" si="6"/>
        <v>12.6</v>
      </c>
      <c r="BR48" s="99">
        <v>0</v>
      </c>
      <c r="BS48" s="99">
        <v>2.1</v>
      </c>
      <c r="BT48" s="99">
        <v>0.65000000000000013</v>
      </c>
      <c r="BU48" s="99">
        <v>0.85000000000000009</v>
      </c>
      <c r="BV48" s="99">
        <v>0.85000000000000009</v>
      </c>
      <c r="BW48" s="99">
        <v>0.85000000000000009</v>
      </c>
      <c r="BX48" s="99">
        <v>0.85000000000000009</v>
      </c>
      <c r="BY48" s="99">
        <v>0.6</v>
      </c>
      <c r="BZ48" s="99">
        <v>2.4</v>
      </c>
      <c r="CA48" s="101">
        <f t="shared" si="7"/>
        <v>9.15</v>
      </c>
      <c r="CB48" s="99">
        <v>1.6</v>
      </c>
      <c r="CC48" s="99">
        <f>Table_14345[[#This Row],[PREAJUSTE
32]]+0.5</f>
        <v>2.1</v>
      </c>
      <c r="CD48" s="99"/>
      <c r="CE48" s="99">
        <f>Table_14345[[#This Row],[AJUSTADO
32]]-Table_14345[[#This Row],[DIFERENCIA
32]]</f>
        <v>2.1</v>
      </c>
      <c r="CF48" s="102">
        <v>0.1</v>
      </c>
      <c r="CG48" s="102">
        <f>Table_14345[[#This Row],[PREAJUSTE
38]]+0.5</f>
        <v>0.6</v>
      </c>
      <c r="CH48" s="102"/>
      <c r="CI48" s="102">
        <f>Table_14345[[#This Row],[AJUSTADO
38]]-Table_14345[[#This Row],[DIFERENCIA
38]]</f>
        <v>0.6</v>
      </c>
    </row>
    <row r="49" spans="2:87" x14ac:dyDescent="0.3">
      <c r="B49" s="103">
        <f>Table_14345[[#This Row],[Resultado IIP
2019]]</f>
        <v>0</v>
      </c>
      <c r="C49" s="104">
        <f>Table_14345[[#This Row],[Resultado IIP
2021]]</f>
        <v>38.563000000000002</v>
      </c>
      <c r="D49" s="104">
        <f>Table_14345[[#This Row],[Resultado IIP
2023]]</f>
        <v>45.95</v>
      </c>
      <c r="E49" s="105"/>
      <c r="F49" s="223"/>
      <c r="G49" s="223">
        <f>Table_14345[[#This Row],[POSICIÓN
2021]]</f>
        <v>35</v>
      </c>
      <c r="H49" s="223">
        <f>Table_14345[[#This Row],[POSICIÓN
2023]]</f>
        <v>41</v>
      </c>
      <c r="I49" s="220"/>
      <c r="J49" s="106"/>
      <c r="K49" s="107"/>
      <c r="L49" s="107"/>
      <c r="M49" s="107"/>
      <c r="N49" s="201"/>
      <c r="O49" s="204">
        <v>35</v>
      </c>
      <c r="P49" s="108">
        <v>7.1</v>
      </c>
      <c r="Q49" s="109">
        <v>16.090000000000003</v>
      </c>
      <c r="R49" s="109">
        <v>8.4</v>
      </c>
      <c r="S49" s="109">
        <v>6.9730000000000008</v>
      </c>
      <c r="T49" s="110">
        <f>Table_14345[[#This Row],[COM 1 - 2021]]+Table_14345[[#This Row],[COM 2 - 2021]]+Table_14345[[#This Row],[COM 3 - 2021]]+Table_14345[[#This Row],[COM 4 - 2021]]</f>
        <v>38.563000000000002</v>
      </c>
      <c r="U49" s="111">
        <v>8</v>
      </c>
      <c r="V49" s="111">
        <v>7</v>
      </c>
      <c r="W49" s="111">
        <v>40</v>
      </c>
      <c r="X49" s="210">
        <v>41</v>
      </c>
      <c r="Y49" s="112">
        <f>Table_14345[[#This Row],[COM 1 - 2023]]+Table_14345[[#This Row],[COM 2 - 2023]]+Table_14345[[#This Row],[COM 3 - 2023]]+Table_14345[[#This Row],[COM 4 - 2023]]</f>
        <v>45.95</v>
      </c>
      <c r="Z49" s="113">
        <f>Table_14345[[#This Row],[COM 1 (sumatoria)]]</f>
        <v>14.33</v>
      </c>
      <c r="AA49" s="113">
        <f>Table_14345[[#This Row],[COM 2 (sumatoria)]]</f>
        <v>19.32</v>
      </c>
      <c r="AB49" s="113">
        <f>Table_14345[[#This Row],[COM 3 (sumatoria)]]</f>
        <v>8.1</v>
      </c>
      <c r="AC49" s="114">
        <f>Table_14345[[#This Row],[COM 4 (sumatoria)]]</f>
        <v>4.1999999999999993</v>
      </c>
      <c r="AD49" s="115">
        <f>Table_14345[[#This Row],[Resultado IIP
2023]]-Table_14345[[#This Row],[Resultado IIP
2021]]</f>
        <v>7.3870000000000005</v>
      </c>
      <c r="AE49" s="116">
        <f>Table_14345[[#This Row],[COM 1 - 2023]]*100/25</f>
        <v>57.32</v>
      </c>
      <c r="AF49" s="116">
        <f>Table_14345[[#This Row],[COM 2 - 2023]]*100/35</f>
        <v>55.2</v>
      </c>
      <c r="AG49" s="116">
        <f>Table_14345[[#This Row],[COM 3 - 2023]]*100/25</f>
        <v>32.4</v>
      </c>
      <c r="AH49" s="116">
        <f>Table_14345[[#This Row],[COM 4 - 2023]]*100/15</f>
        <v>27.999999999999996</v>
      </c>
      <c r="AI49" s="117" t="s">
        <v>167</v>
      </c>
      <c r="AJ49" s="118" t="s">
        <v>211</v>
      </c>
      <c r="AK49" s="99">
        <v>0</v>
      </c>
      <c r="AL49" s="99">
        <v>0.8</v>
      </c>
      <c r="AM49" s="99">
        <v>0</v>
      </c>
      <c r="AN49" s="99">
        <v>4</v>
      </c>
      <c r="AO49" s="99">
        <v>0</v>
      </c>
      <c r="AP49" s="99">
        <v>1.6</v>
      </c>
      <c r="AQ49" s="99">
        <v>0</v>
      </c>
      <c r="AR49" s="99">
        <v>1.95</v>
      </c>
      <c r="AS49" s="99">
        <v>0</v>
      </c>
      <c r="AT49" s="99">
        <v>0</v>
      </c>
      <c r="AU49" s="99">
        <v>3.9</v>
      </c>
      <c r="AV49" s="99">
        <v>0</v>
      </c>
      <c r="AW49" s="99">
        <v>2.08</v>
      </c>
      <c r="AX49" s="100">
        <f t="shared" si="4"/>
        <v>14.33</v>
      </c>
      <c r="AY49" s="99">
        <v>1.25</v>
      </c>
      <c r="AZ49" s="99">
        <v>1</v>
      </c>
      <c r="BA49" s="99">
        <v>2.5</v>
      </c>
      <c r="BB49" s="99">
        <v>0.75</v>
      </c>
      <c r="BC49" s="99">
        <v>0.75</v>
      </c>
      <c r="BD49" s="99">
        <v>1.8</v>
      </c>
      <c r="BE49" s="99">
        <v>2.1</v>
      </c>
      <c r="BF49" s="99">
        <v>1</v>
      </c>
      <c r="BG49" s="99">
        <v>1</v>
      </c>
      <c r="BH49" s="99">
        <v>3</v>
      </c>
      <c r="BI49" s="99">
        <v>2.4</v>
      </c>
      <c r="BJ49" s="99">
        <v>0.9</v>
      </c>
      <c r="BK49" s="99">
        <v>0.37</v>
      </c>
      <c r="BL49" s="99">
        <v>0.5</v>
      </c>
      <c r="BM49" s="100">
        <f t="shared" si="5"/>
        <v>19.32</v>
      </c>
      <c r="BN49" s="99">
        <v>5.9</v>
      </c>
      <c r="BO49" s="99">
        <v>1.1000000000000001</v>
      </c>
      <c r="BP49" s="99">
        <v>1.1000000000000001</v>
      </c>
      <c r="BQ49" s="100">
        <f t="shared" si="6"/>
        <v>8.1</v>
      </c>
      <c r="BR49" s="120">
        <v>0</v>
      </c>
      <c r="BS49" s="120">
        <v>1.7</v>
      </c>
      <c r="BT49" s="120">
        <v>0.4</v>
      </c>
      <c r="BU49" s="120">
        <v>0.3</v>
      </c>
      <c r="BV49" s="120">
        <v>0.3</v>
      </c>
      <c r="BW49" s="120">
        <v>0.3</v>
      </c>
      <c r="BX49" s="120">
        <v>0.3</v>
      </c>
      <c r="BY49" s="120">
        <v>0.9</v>
      </c>
      <c r="BZ49" s="120">
        <v>0</v>
      </c>
      <c r="CA49" s="101">
        <f t="shared" si="7"/>
        <v>4.1999999999999993</v>
      </c>
      <c r="CB49" s="99">
        <v>1.2</v>
      </c>
      <c r="CC49" s="99">
        <f>Table_14345[[#This Row],[PREAJUSTE
32]]+0.5</f>
        <v>1.7</v>
      </c>
      <c r="CD49" s="99"/>
      <c r="CE49" s="99">
        <f>Table_14345[[#This Row],[AJUSTADO
32]]-Table_14345[[#This Row],[DIFERENCIA
32]]</f>
        <v>1.7</v>
      </c>
      <c r="CF49" s="102">
        <v>0.4</v>
      </c>
      <c r="CG49" s="102">
        <f>Table_14345[[#This Row],[PREAJUSTE
38]]+0.5</f>
        <v>0.9</v>
      </c>
      <c r="CH49" s="102"/>
      <c r="CI49" s="102">
        <f>Table_14345[[#This Row],[AJUSTADO
38]]-Table_14345[[#This Row],[DIFERENCIA
38]]</f>
        <v>0.9</v>
      </c>
    </row>
    <row r="50" spans="2:87" x14ac:dyDescent="0.3">
      <c r="B50" s="103">
        <f>Table_14345[[#This Row],[Resultado IIP
2019]]</f>
        <v>0</v>
      </c>
      <c r="C50" s="104">
        <f>Table_14345[[#This Row],[Resultado IIP
2021]]</f>
        <v>25.981999999999999</v>
      </c>
      <c r="D50" s="104">
        <f>Table_14345[[#This Row],[Resultado IIP
2023]]</f>
        <v>44.76</v>
      </c>
      <c r="E50" s="105"/>
      <c r="F50" s="223"/>
      <c r="G50" s="223">
        <f>Table_14345[[#This Row],[POSICIÓN
2021]]</f>
        <v>62</v>
      </c>
      <c r="H50" s="223">
        <f>Table_14345[[#This Row],[POSICIÓN
2023]]</f>
        <v>42</v>
      </c>
      <c r="I50" s="219"/>
      <c r="J50" s="106"/>
      <c r="K50" s="107"/>
      <c r="L50" s="107"/>
      <c r="M50" s="107"/>
      <c r="N50" s="201"/>
      <c r="O50" s="203">
        <v>62</v>
      </c>
      <c r="P50" s="108">
        <v>5.8</v>
      </c>
      <c r="Q50" s="109">
        <v>10.699999999999998</v>
      </c>
      <c r="R50" s="109">
        <v>3.3</v>
      </c>
      <c r="S50" s="109">
        <v>6.1820000000000004</v>
      </c>
      <c r="T50" s="110">
        <f>Table_14345[[#This Row],[COM 1 - 2021]]+Table_14345[[#This Row],[COM 2 - 2021]]+Table_14345[[#This Row],[COM 3 - 2021]]+Table_14345[[#This Row],[COM 4 - 2021]]</f>
        <v>25.981999999999999</v>
      </c>
      <c r="U50" s="111">
        <v>70</v>
      </c>
      <c r="V50" s="111">
        <v>70</v>
      </c>
      <c r="W50" s="91">
        <v>41</v>
      </c>
      <c r="X50" s="209">
        <v>42</v>
      </c>
      <c r="Y50" s="112">
        <f>Table_14345[[#This Row],[COM 1 - 2023]]+Table_14345[[#This Row],[COM 2 - 2023]]+Table_14345[[#This Row],[COM 3 - 2023]]+Table_14345[[#This Row],[COM 4 - 2023]]</f>
        <v>44.76</v>
      </c>
      <c r="Z50" s="113">
        <f>Table_14345[[#This Row],[COM 1 (sumatoria)]]</f>
        <v>4.5</v>
      </c>
      <c r="AA50" s="113">
        <f>Table_14345[[#This Row],[COM 2 (sumatoria)]]</f>
        <v>16.86</v>
      </c>
      <c r="AB50" s="113">
        <f>Table_14345[[#This Row],[COM 3 (sumatoria)]]</f>
        <v>15.299999999999999</v>
      </c>
      <c r="AC50" s="114">
        <f>Table_14345[[#This Row],[COM 4 (sumatoria)]]</f>
        <v>8.1</v>
      </c>
      <c r="AD50" s="115">
        <f>Table_14345[[#This Row],[Resultado IIP
2023]]-Table_14345[[#This Row],[Resultado IIP
2021]]</f>
        <v>18.777999999999999</v>
      </c>
      <c r="AE50" s="116">
        <f>Table_14345[[#This Row],[COM 1 - 2023]]*100/25</f>
        <v>18</v>
      </c>
      <c r="AF50" s="116">
        <f>Table_14345[[#This Row],[COM 2 - 2023]]*100/35</f>
        <v>48.171428571428571</v>
      </c>
      <c r="AG50" s="116">
        <f>Table_14345[[#This Row],[COM 3 - 2023]]*100/25</f>
        <v>61.2</v>
      </c>
      <c r="AH50" s="116">
        <f>Table_14345[[#This Row],[COM 4 - 2023]]*100/15</f>
        <v>54</v>
      </c>
      <c r="AI50" s="117" t="s">
        <v>167</v>
      </c>
      <c r="AJ50" s="118" t="s">
        <v>212</v>
      </c>
      <c r="AK50" s="99">
        <v>0</v>
      </c>
      <c r="AL50" s="99">
        <v>3.2</v>
      </c>
      <c r="AM50" s="99">
        <v>0</v>
      </c>
      <c r="AN50" s="99">
        <v>0</v>
      </c>
      <c r="AO50" s="99">
        <v>0</v>
      </c>
      <c r="AP50" s="99">
        <v>1.3</v>
      </c>
      <c r="AQ50" s="99">
        <v>0</v>
      </c>
      <c r="AR50" s="99">
        <v>0</v>
      </c>
      <c r="AS50" s="99">
        <v>0</v>
      </c>
      <c r="AT50" s="99">
        <v>0</v>
      </c>
      <c r="AU50" s="99">
        <v>0</v>
      </c>
      <c r="AV50" s="99">
        <v>0</v>
      </c>
      <c r="AW50" s="99">
        <v>0</v>
      </c>
      <c r="AX50" s="100">
        <f t="shared" si="4"/>
        <v>4.5</v>
      </c>
      <c r="AY50" s="99">
        <v>0</v>
      </c>
      <c r="AZ50" s="99">
        <v>0.6</v>
      </c>
      <c r="BA50" s="99">
        <v>1.2</v>
      </c>
      <c r="BB50" s="99">
        <v>0.4</v>
      </c>
      <c r="BC50" s="99">
        <v>0.4</v>
      </c>
      <c r="BD50" s="99">
        <v>1.6</v>
      </c>
      <c r="BE50" s="99">
        <v>0.8</v>
      </c>
      <c r="BF50" s="99">
        <v>0.65</v>
      </c>
      <c r="BG50" s="99">
        <v>0.4</v>
      </c>
      <c r="BH50" s="99">
        <v>3.81</v>
      </c>
      <c r="BI50" s="99">
        <v>3.3</v>
      </c>
      <c r="BJ50" s="99">
        <v>2.2000000000000002</v>
      </c>
      <c r="BK50" s="99">
        <v>1</v>
      </c>
      <c r="BL50" s="99">
        <v>0.5</v>
      </c>
      <c r="BM50" s="100">
        <f t="shared" si="5"/>
        <v>16.86</v>
      </c>
      <c r="BN50" s="99">
        <v>13.1</v>
      </c>
      <c r="BO50" s="99">
        <v>1.1000000000000001</v>
      </c>
      <c r="BP50" s="99">
        <v>1.1000000000000001</v>
      </c>
      <c r="BQ50" s="100">
        <f t="shared" si="6"/>
        <v>15.299999999999999</v>
      </c>
      <c r="BR50" s="99">
        <v>0</v>
      </c>
      <c r="BS50" s="99">
        <v>2.2999999999999998</v>
      </c>
      <c r="BT50" s="99">
        <v>0.4</v>
      </c>
      <c r="BU50" s="99">
        <v>0.5</v>
      </c>
      <c r="BV50" s="99">
        <v>0.5</v>
      </c>
      <c r="BW50" s="99">
        <v>0.3</v>
      </c>
      <c r="BX50" s="99">
        <v>0.7</v>
      </c>
      <c r="BY50" s="99">
        <v>1</v>
      </c>
      <c r="BZ50" s="99">
        <v>2.4</v>
      </c>
      <c r="CA50" s="101">
        <f t="shared" si="7"/>
        <v>8.1</v>
      </c>
      <c r="CB50" s="99">
        <v>1.8</v>
      </c>
      <c r="CC50" s="99">
        <f>Table_14345[[#This Row],[PREAJUSTE
32]]+0.5</f>
        <v>2.2999999999999998</v>
      </c>
      <c r="CD50" s="99"/>
      <c r="CE50" s="99">
        <f>Table_14345[[#This Row],[AJUSTADO
32]]-Table_14345[[#This Row],[DIFERENCIA
32]]</f>
        <v>2.2999999999999998</v>
      </c>
      <c r="CF50" s="102">
        <v>0.7</v>
      </c>
      <c r="CG50" s="102">
        <f>Table_14345[[#This Row],[PREAJUSTE
38]]+0.5</f>
        <v>1.2</v>
      </c>
      <c r="CH50" s="102">
        <f>Table_14345[[#This Row],[AJUSTADO
38]]-1</f>
        <v>0.19999999999999996</v>
      </c>
      <c r="CI50" s="102">
        <f>Table_14345[[#This Row],[AJUSTADO
38]]-Table_14345[[#This Row],[DIFERENCIA
38]]</f>
        <v>1</v>
      </c>
    </row>
    <row r="51" spans="2:87" x14ac:dyDescent="0.3">
      <c r="B51" s="103">
        <f>Table_14345[[#This Row],[Resultado IIP
2019]]</f>
        <v>0</v>
      </c>
      <c r="C51" s="104">
        <f>Table_14345[[#This Row],[Resultado IIP
2021]]</f>
        <v>0</v>
      </c>
      <c r="D51" s="104">
        <f>Table_14345[[#This Row],[Resultado IIP
2023]]</f>
        <v>43.370000000000005</v>
      </c>
      <c r="E51" s="105"/>
      <c r="F51" s="223"/>
      <c r="G51" s="223"/>
      <c r="H51" s="223">
        <f>Table_14345[[#This Row],[POSICIÓN
2023]]</f>
        <v>43</v>
      </c>
      <c r="I51" s="220"/>
      <c r="J51" s="106"/>
      <c r="K51" s="107"/>
      <c r="L51" s="107"/>
      <c r="M51" s="107"/>
      <c r="N51" s="201"/>
      <c r="O51" s="204"/>
      <c r="P51" s="108"/>
      <c r="Q51" s="109"/>
      <c r="R51" s="109"/>
      <c r="S51" s="109"/>
      <c r="T51" s="110"/>
      <c r="U51" s="111">
        <v>41</v>
      </c>
      <c r="V51" s="111">
        <v>41</v>
      </c>
      <c r="W51" s="111">
        <v>43</v>
      </c>
      <c r="X51" s="210">
        <v>43</v>
      </c>
      <c r="Y51" s="112">
        <f>Table_14345[[#This Row],[COM 1 - 2023]]+Table_14345[[#This Row],[COM 2 - 2023]]+Table_14345[[#This Row],[COM 3 - 2023]]+Table_14345[[#This Row],[COM 4 - 2023]]</f>
        <v>43.370000000000005</v>
      </c>
      <c r="Z51" s="113">
        <f>Table_14345[[#This Row],[COM 1 (sumatoria)]]</f>
        <v>11.46</v>
      </c>
      <c r="AA51" s="113">
        <f>Table_14345[[#This Row],[COM 2 (sumatoria)]]</f>
        <v>17.55</v>
      </c>
      <c r="AB51" s="113">
        <f>Table_14345[[#This Row],[COM 3 (sumatoria)]]</f>
        <v>4.2</v>
      </c>
      <c r="AC51" s="114">
        <f>Table_14345[[#This Row],[COM 4 (sumatoria)]]</f>
        <v>10.16</v>
      </c>
      <c r="AD51" s="115"/>
      <c r="AE51" s="116">
        <f>Table_14345[[#This Row],[COM 1 - 2023]]*100/25</f>
        <v>45.84</v>
      </c>
      <c r="AF51" s="116">
        <f>Table_14345[[#This Row],[COM 2 - 2023]]*100/35</f>
        <v>50.142857142857146</v>
      </c>
      <c r="AG51" s="116">
        <f>Table_14345[[#This Row],[COM 3 - 2023]]*100/25</f>
        <v>16.8</v>
      </c>
      <c r="AH51" s="116">
        <f>Table_14345[[#This Row],[COM 4 - 2023]]*100/15</f>
        <v>67.733333333333334</v>
      </c>
      <c r="AI51" s="117" t="s">
        <v>167</v>
      </c>
      <c r="AJ51" s="118" t="s">
        <v>213</v>
      </c>
      <c r="AK51" s="99">
        <v>0</v>
      </c>
      <c r="AL51" s="99">
        <v>3.24</v>
      </c>
      <c r="AM51" s="99">
        <v>0</v>
      </c>
      <c r="AN51" s="99">
        <v>1.55</v>
      </c>
      <c r="AO51" s="99">
        <v>0</v>
      </c>
      <c r="AP51" s="99">
        <v>1.9</v>
      </c>
      <c r="AQ51" s="99">
        <v>0</v>
      </c>
      <c r="AR51" s="99">
        <v>1.35</v>
      </c>
      <c r="AS51" s="99">
        <v>0</v>
      </c>
      <c r="AT51" s="99">
        <v>0</v>
      </c>
      <c r="AU51" s="99">
        <v>1.8</v>
      </c>
      <c r="AV51" s="99">
        <v>0</v>
      </c>
      <c r="AW51" s="99">
        <v>1.62</v>
      </c>
      <c r="AX51" s="100">
        <f t="shared" si="4"/>
        <v>11.46</v>
      </c>
      <c r="AY51" s="99">
        <v>1.1499999999999999</v>
      </c>
      <c r="AZ51" s="99">
        <v>0.6</v>
      </c>
      <c r="BA51" s="99">
        <v>1.9</v>
      </c>
      <c r="BB51" s="99">
        <v>0.1</v>
      </c>
      <c r="BC51" s="99">
        <v>0.82</v>
      </c>
      <c r="BD51" s="99">
        <v>1.85</v>
      </c>
      <c r="BE51" s="99">
        <v>0.5</v>
      </c>
      <c r="BF51" s="99">
        <v>0.35</v>
      </c>
      <c r="BG51" s="99">
        <v>0.7</v>
      </c>
      <c r="BH51" s="99">
        <v>4.0999999999999996</v>
      </c>
      <c r="BI51" s="99">
        <v>2.4</v>
      </c>
      <c r="BJ51" s="99">
        <v>1.53</v>
      </c>
      <c r="BK51" s="99">
        <v>0.45</v>
      </c>
      <c r="BL51" s="99">
        <v>1.1000000000000001</v>
      </c>
      <c r="BM51" s="100">
        <f t="shared" si="5"/>
        <v>17.55</v>
      </c>
      <c r="BN51" s="99">
        <v>2</v>
      </c>
      <c r="BO51" s="99">
        <v>1.1000000000000001</v>
      </c>
      <c r="BP51" s="99">
        <v>1.1000000000000001</v>
      </c>
      <c r="BQ51" s="100">
        <f t="shared" si="6"/>
        <v>4.2</v>
      </c>
      <c r="BR51" s="120">
        <v>0</v>
      </c>
      <c r="BS51" s="120">
        <v>2.96</v>
      </c>
      <c r="BT51" s="120">
        <v>0.95</v>
      </c>
      <c r="BU51" s="120">
        <v>0.95</v>
      </c>
      <c r="BV51" s="120">
        <v>0.95</v>
      </c>
      <c r="BW51" s="120">
        <v>0</v>
      </c>
      <c r="BX51" s="120">
        <v>1</v>
      </c>
      <c r="BY51" s="120">
        <v>0.95</v>
      </c>
      <c r="BZ51" s="120">
        <v>2.4</v>
      </c>
      <c r="CA51" s="101">
        <f t="shared" si="7"/>
        <v>10.16</v>
      </c>
      <c r="CB51" s="99">
        <v>2.46</v>
      </c>
      <c r="CC51" s="99">
        <f>Table_14345[[#This Row],[PREAJUSTE
32]]+0.5</f>
        <v>2.96</v>
      </c>
      <c r="CD51" s="99"/>
      <c r="CE51" s="99">
        <f>Table_14345[[#This Row],[AJUSTADO
32]]-Table_14345[[#This Row],[DIFERENCIA
32]]</f>
        <v>2.96</v>
      </c>
      <c r="CF51" s="102">
        <v>0.45</v>
      </c>
      <c r="CG51" s="102">
        <f>Table_14345[[#This Row],[PREAJUSTE
38]]+0.5</f>
        <v>0.95</v>
      </c>
      <c r="CH51" s="102"/>
      <c r="CI51" s="102">
        <f>Table_14345[[#This Row],[AJUSTADO
38]]-Table_14345[[#This Row],[DIFERENCIA
38]]</f>
        <v>0.95</v>
      </c>
    </row>
    <row r="52" spans="2:87" x14ac:dyDescent="0.3">
      <c r="B52" s="103">
        <f>Table_14345[[#This Row],[Resultado IIP
2019]]</f>
        <v>30.82</v>
      </c>
      <c r="C52" s="104">
        <f>Table_14345[[#This Row],[Resultado IIP
2021]]</f>
        <v>39.20000000000001</v>
      </c>
      <c r="D52" s="104">
        <f>Table_14345[[#This Row],[Resultado IIP
2023]]</f>
        <v>42.199999999999996</v>
      </c>
      <c r="E52" s="105"/>
      <c r="F52" s="223">
        <f>Table_14345[[#This Row],[POSICIÓN
2019]]</f>
        <v>25</v>
      </c>
      <c r="G52" s="223">
        <f>Table_14345[[#This Row],[POSICIÓN
2021]]</f>
        <v>31</v>
      </c>
      <c r="H52" s="223">
        <f>Table_14345[[#This Row],[POSICIÓN
2023]]</f>
        <v>44</v>
      </c>
      <c r="I52" s="220">
        <v>25</v>
      </c>
      <c r="J52" s="106">
        <v>20</v>
      </c>
      <c r="K52" s="107">
        <v>19.690000000000001</v>
      </c>
      <c r="L52" s="107">
        <v>60</v>
      </c>
      <c r="M52" s="107">
        <v>29.41</v>
      </c>
      <c r="N52" s="201">
        <v>30.82</v>
      </c>
      <c r="O52" s="204">
        <v>31</v>
      </c>
      <c r="P52" s="108">
        <v>9.5000000000000018</v>
      </c>
      <c r="Q52" s="109">
        <v>14.100000000000003</v>
      </c>
      <c r="R52" s="109">
        <v>14</v>
      </c>
      <c r="S52" s="109">
        <v>1.6</v>
      </c>
      <c r="T52" s="110">
        <f>Table_14345[[#This Row],[COM 1 - 2021]]+Table_14345[[#This Row],[COM 2 - 2021]]+Table_14345[[#This Row],[COM 3 - 2021]]+Table_14345[[#This Row],[COM 4 - 2021]]</f>
        <v>39.20000000000001</v>
      </c>
      <c r="U52" s="91">
        <v>44</v>
      </c>
      <c r="V52" s="91">
        <v>44</v>
      </c>
      <c r="W52" s="111">
        <v>44</v>
      </c>
      <c r="X52" s="210">
        <v>44</v>
      </c>
      <c r="Y52" s="112">
        <f>Table_14345[[#This Row],[COM 1 - 2023]]+Table_14345[[#This Row],[COM 2 - 2023]]+Table_14345[[#This Row],[COM 3 - 2023]]+Table_14345[[#This Row],[COM 4 - 2023]]</f>
        <v>42.199999999999996</v>
      </c>
      <c r="Z52" s="113">
        <f>Table_14345[[#This Row],[COM 1 (sumatoria)]]</f>
        <v>13.524999999999999</v>
      </c>
      <c r="AA52" s="113">
        <f>Table_14345[[#This Row],[COM 2 (sumatoria)]]</f>
        <v>10.725</v>
      </c>
      <c r="AB52" s="113">
        <f>Table_14345[[#This Row],[COM 3 (sumatoria)]]</f>
        <v>10.799999999999999</v>
      </c>
      <c r="AC52" s="114">
        <f>Table_14345[[#This Row],[COM 4 (sumatoria)]]</f>
        <v>7.15</v>
      </c>
      <c r="AD52" s="115">
        <f>Table_14345[[#This Row],[Resultado IIP
2023]]-Table_14345[[#This Row],[Resultado IIP
2021]]</f>
        <v>2.9999999999999858</v>
      </c>
      <c r="AE52" s="116">
        <f>Table_14345[[#This Row],[COM 1 - 2023]]*100/25</f>
        <v>54.099999999999994</v>
      </c>
      <c r="AF52" s="116">
        <f>Table_14345[[#This Row],[COM 2 - 2023]]*100/35</f>
        <v>30.642857142857142</v>
      </c>
      <c r="AG52" s="116">
        <f>Table_14345[[#This Row],[COM 3 - 2023]]*100/25</f>
        <v>43.2</v>
      </c>
      <c r="AH52" s="116">
        <f>Table_14345[[#This Row],[COM 4 - 2023]]*100/15</f>
        <v>47.666666666666664</v>
      </c>
      <c r="AI52" s="117" t="s">
        <v>167</v>
      </c>
      <c r="AJ52" s="118" t="s">
        <v>214</v>
      </c>
      <c r="AK52" s="121">
        <v>0</v>
      </c>
      <c r="AL52" s="99">
        <v>2.1999999999999997</v>
      </c>
      <c r="AM52" s="99">
        <v>0</v>
      </c>
      <c r="AN52" s="99">
        <v>4</v>
      </c>
      <c r="AO52" s="99">
        <v>0</v>
      </c>
      <c r="AP52" s="99">
        <v>1.2999999999999998</v>
      </c>
      <c r="AQ52" s="99">
        <v>0</v>
      </c>
      <c r="AR52" s="99">
        <v>1.35</v>
      </c>
      <c r="AS52" s="99">
        <v>0</v>
      </c>
      <c r="AT52" s="99">
        <v>0</v>
      </c>
      <c r="AU52" s="99">
        <v>2.1</v>
      </c>
      <c r="AV52" s="99">
        <v>0</v>
      </c>
      <c r="AW52" s="99">
        <v>2.5750000000000002</v>
      </c>
      <c r="AX52" s="100">
        <f t="shared" si="4"/>
        <v>13.524999999999999</v>
      </c>
      <c r="AY52" s="99">
        <v>1.25</v>
      </c>
      <c r="AZ52" s="99">
        <v>0.4</v>
      </c>
      <c r="BA52" s="99">
        <v>1.7000000000000002</v>
      </c>
      <c r="BB52" s="99">
        <v>0.4</v>
      </c>
      <c r="BC52" s="99">
        <v>0.5</v>
      </c>
      <c r="BD52" s="99">
        <v>1.1000000000000001</v>
      </c>
      <c r="BE52" s="99">
        <v>1.1000000000000001</v>
      </c>
      <c r="BF52" s="99">
        <v>0.4</v>
      </c>
      <c r="BG52" s="99">
        <v>0.4</v>
      </c>
      <c r="BH52" s="99">
        <v>1.875</v>
      </c>
      <c r="BI52" s="99">
        <v>0.6</v>
      </c>
      <c r="BJ52" s="99">
        <v>0.4</v>
      </c>
      <c r="BK52" s="99">
        <v>0.4</v>
      </c>
      <c r="BL52" s="99">
        <v>0.2</v>
      </c>
      <c r="BM52" s="100">
        <f t="shared" si="5"/>
        <v>10.725</v>
      </c>
      <c r="BN52" s="99">
        <v>8.6</v>
      </c>
      <c r="BO52" s="99">
        <v>1.1000000000000001</v>
      </c>
      <c r="BP52" s="99">
        <v>1.1000000000000001</v>
      </c>
      <c r="BQ52" s="100">
        <f t="shared" si="6"/>
        <v>10.799999999999999</v>
      </c>
      <c r="BR52" s="99">
        <v>0</v>
      </c>
      <c r="BS52" s="99">
        <v>1.4</v>
      </c>
      <c r="BT52" s="99">
        <v>0.85000000000000009</v>
      </c>
      <c r="BU52" s="99">
        <v>0.75</v>
      </c>
      <c r="BV52" s="99">
        <v>0.75</v>
      </c>
      <c r="BW52" s="99">
        <v>0.75</v>
      </c>
      <c r="BX52" s="99">
        <v>0.75</v>
      </c>
      <c r="BY52" s="99">
        <v>0.7</v>
      </c>
      <c r="BZ52" s="99">
        <v>1.2</v>
      </c>
      <c r="CA52" s="101">
        <f t="shared" si="7"/>
        <v>7.15</v>
      </c>
      <c r="CB52" s="99">
        <v>0.9</v>
      </c>
      <c r="CC52" s="99">
        <f>Table_14345[[#This Row],[PREAJUSTE
32]]+0.5</f>
        <v>1.4</v>
      </c>
      <c r="CD52" s="99"/>
      <c r="CE52" s="99">
        <f>Table_14345[[#This Row],[AJUSTADO
32]]-Table_14345[[#This Row],[DIFERENCIA
32]]</f>
        <v>1.4</v>
      </c>
      <c r="CF52" s="102">
        <v>0.2</v>
      </c>
      <c r="CG52" s="102">
        <f>Table_14345[[#This Row],[PREAJUSTE
38]]+0.5</f>
        <v>0.7</v>
      </c>
      <c r="CH52" s="102"/>
      <c r="CI52" s="102">
        <f>Table_14345[[#This Row],[AJUSTADO
38]]-Table_14345[[#This Row],[DIFERENCIA
38]]</f>
        <v>0.7</v>
      </c>
    </row>
    <row r="53" spans="2:87" x14ac:dyDescent="0.3">
      <c r="B53" s="103">
        <f>Table_14345[[#This Row],[Resultado IIP
2019]]</f>
        <v>0</v>
      </c>
      <c r="C53" s="104">
        <f>Table_14345[[#This Row],[Resultado IIP
2021]]</f>
        <v>30.680000000000007</v>
      </c>
      <c r="D53" s="104">
        <f>Table_14345[[#This Row],[Resultado IIP
2023]]</f>
        <v>42.096666666666664</v>
      </c>
      <c r="E53" s="105"/>
      <c r="F53" s="223"/>
      <c r="G53" s="223">
        <f>Table_14345[[#This Row],[POSICIÓN
2021]]</f>
        <v>56</v>
      </c>
      <c r="H53" s="223">
        <f>Table_14345[[#This Row],[POSICIÓN
2023]]</f>
        <v>45</v>
      </c>
      <c r="I53" s="219"/>
      <c r="J53" s="106"/>
      <c r="K53" s="107"/>
      <c r="L53" s="107"/>
      <c r="M53" s="107"/>
      <c r="N53" s="201"/>
      <c r="O53" s="203">
        <v>56</v>
      </c>
      <c r="P53" s="108">
        <v>8</v>
      </c>
      <c r="Q53" s="109">
        <v>14.400000000000004</v>
      </c>
      <c r="R53" s="109">
        <v>4.5000000000000009</v>
      </c>
      <c r="S53" s="109">
        <v>3.7800000000000002</v>
      </c>
      <c r="T53" s="110">
        <f>Table_14345[[#This Row],[COM 1 - 2021]]+Table_14345[[#This Row],[COM 2 - 2021]]+Table_14345[[#This Row],[COM 3 - 2021]]+Table_14345[[#This Row],[COM 4 - 2021]]</f>
        <v>30.680000000000007</v>
      </c>
      <c r="U53" s="111">
        <v>47</v>
      </c>
      <c r="V53" s="111">
        <v>47</v>
      </c>
      <c r="W53" s="91">
        <v>50</v>
      </c>
      <c r="X53" s="209">
        <v>45</v>
      </c>
      <c r="Y53" s="112">
        <f>Table_14345[[#This Row],[COM 1 - 2023]]+Table_14345[[#This Row],[COM 2 - 2023]]+Table_14345[[#This Row],[COM 3 - 2023]]+Table_14345[[#This Row],[COM 4 - 2023]]</f>
        <v>42.096666666666664</v>
      </c>
      <c r="Z53" s="113">
        <f>Table_14345[[#This Row],[COM 1 (sumatoria)]]</f>
        <v>15.096666666666666</v>
      </c>
      <c r="AA53" s="113">
        <f>Table_14345[[#This Row],[COM 2 (sumatoria)]]</f>
        <v>12.6</v>
      </c>
      <c r="AB53" s="113">
        <f>Table_14345[[#This Row],[COM 3 (sumatoria)]]</f>
        <v>9.9</v>
      </c>
      <c r="AC53" s="114">
        <f>Table_14345[[#This Row],[COM 4 (sumatoria)]]</f>
        <v>4.5</v>
      </c>
      <c r="AD53" s="115">
        <f>Table_14345[[#This Row],[Resultado IIP
2023]]-Table_14345[[#This Row],[Resultado IIP
2021]]</f>
        <v>11.416666666666657</v>
      </c>
      <c r="AE53" s="116">
        <f>Table_14345[[#This Row],[COM 1 - 2023]]*100/25</f>
        <v>60.386666666666663</v>
      </c>
      <c r="AF53" s="116">
        <f>Table_14345[[#This Row],[COM 2 - 2023]]*100/35</f>
        <v>36</v>
      </c>
      <c r="AG53" s="116">
        <f>Table_14345[[#This Row],[COM 3 - 2023]]*100/25</f>
        <v>39.6</v>
      </c>
      <c r="AH53" s="116">
        <f>Table_14345[[#This Row],[COM 4 - 2023]]*100/15</f>
        <v>30</v>
      </c>
      <c r="AI53" s="117" t="s">
        <v>167</v>
      </c>
      <c r="AJ53" s="118" t="s">
        <v>215</v>
      </c>
      <c r="AK53" s="99">
        <v>0</v>
      </c>
      <c r="AL53" s="99">
        <v>2.666666666666667</v>
      </c>
      <c r="AM53" s="99">
        <v>0</v>
      </c>
      <c r="AN53" s="99">
        <v>1.95</v>
      </c>
      <c r="AO53" s="99">
        <v>0</v>
      </c>
      <c r="AP53" s="99">
        <v>2.35</v>
      </c>
      <c r="AQ53" s="99">
        <v>0</v>
      </c>
      <c r="AR53" s="99">
        <v>1.95</v>
      </c>
      <c r="AS53" s="99">
        <v>0</v>
      </c>
      <c r="AT53" s="99">
        <v>0</v>
      </c>
      <c r="AU53" s="99">
        <v>3.4</v>
      </c>
      <c r="AV53" s="99">
        <v>0</v>
      </c>
      <c r="AW53" s="99">
        <v>2.78</v>
      </c>
      <c r="AX53" s="100">
        <f t="shared" si="4"/>
        <v>15.096666666666666</v>
      </c>
      <c r="AY53" s="99">
        <v>0</v>
      </c>
      <c r="AZ53" s="99">
        <v>0.6</v>
      </c>
      <c r="BA53" s="99">
        <v>1.1000000000000001</v>
      </c>
      <c r="BB53" s="99">
        <v>0.7</v>
      </c>
      <c r="BC53" s="99">
        <v>0.7</v>
      </c>
      <c r="BD53" s="99">
        <v>0</v>
      </c>
      <c r="BE53" s="99">
        <v>1.3</v>
      </c>
      <c r="BF53" s="99">
        <v>0.7</v>
      </c>
      <c r="BG53" s="99">
        <v>0.6</v>
      </c>
      <c r="BH53" s="99">
        <v>3</v>
      </c>
      <c r="BI53" s="99">
        <v>1.5</v>
      </c>
      <c r="BJ53" s="99">
        <v>1.2999999999999998</v>
      </c>
      <c r="BK53" s="99">
        <v>0</v>
      </c>
      <c r="BL53" s="99">
        <v>1.1000000000000001</v>
      </c>
      <c r="BM53" s="100">
        <f t="shared" si="5"/>
        <v>12.6</v>
      </c>
      <c r="BN53" s="99">
        <v>8.8000000000000007</v>
      </c>
      <c r="BO53" s="99">
        <v>0</v>
      </c>
      <c r="BP53" s="99">
        <v>1.1000000000000001</v>
      </c>
      <c r="BQ53" s="100">
        <f t="shared" si="6"/>
        <v>9.9</v>
      </c>
      <c r="BR53" s="120">
        <v>0</v>
      </c>
      <c r="BS53" s="120">
        <v>1.5</v>
      </c>
      <c r="BT53" s="120">
        <v>0</v>
      </c>
      <c r="BU53" s="120">
        <v>0</v>
      </c>
      <c r="BV53" s="120">
        <v>0</v>
      </c>
      <c r="BW53" s="120">
        <v>0</v>
      </c>
      <c r="BX53" s="120">
        <v>1</v>
      </c>
      <c r="BY53" s="120">
        <v>1</v>
      </c>
      <c r="BZ53" s="120">
        <v>1</v>
      </c>
      <c r="CA53" s="101">
        <f t="shared" si="7"/>
        <v>4.5</v>
      </c>
      <c r="CB53" s="99">
        <v>1.5</v>
      </c>
      <c r="CC53" s="99"/>
      <c r="CD53" s="99"/>
      <c r="CE53" s="99">
        <f>Table_14345[[#This Row],[AJUSTADO
32]]-Table_14345[[#This Row],[DIFERENCIA
32]]</f>
        <v>0</v>
      </c>
      <c r="CF53" s="102">
        <v>0.5</v>
      </c>
      <c r="CG53" s="102">
        <f>Table_14345[[#This Row],[PREAJUSTE
38]]+0.5</f>
        <v>1</v>
      </c>
      <c r="CH53" s="102"/>
      <c r="CI53" s="102">
        <f>Table_14345[[#This Row],[AJUSTADO
38]]-Table_14345[[#This Row],[DIFERENCIA
38]]</f>
        <v>1</v>
      </c>
    </row>
    <row r="54" spans="2:87" x14ac:dyDescent="0.3">
      <c r="B54" s="103">
        <f>Table_14345[[#This Row],[Resultado IIP
2019]]</f>
        <v>35.83</v>
      </c>
      <c r="C54" s="104">
        <f>Table_14345[[#This Row],[Resultado IIP
2021]]</f>
        <v>40.86</v>
      </c>
      <c r="D54" s="104">
        <f>Table_14345[[#This Row],[Resultado IIP
2023]]</f>
        <v>41.550000000000004</v>
      </c>
      <c r="E54" s="105"/>
      <c r="F54" s="223">
        <f>Table_14345[[#This Row],[POSICIÓN
2019]]</f>
        <v>21</v>
      </c>
      <c r="G54" s="223">
        <f>Table_14345[[#This Row],[POSICIÓN
2021]]</f>
        <v>28</v>
      </c>
      <c r="H54" s="223">
        <f>Table_14345[[#This Row],[POSICIÓN
2023]]</f>
        <v>46</v>
      </c>
      <c r="I54" s="220">
        <v>21</v>
      </c>
      <c r="J54" s="106">
        <v>25.25</v>
      </c>
      <c r="K54" s="107">
        <v>29.18</v>
      </c>
      <c r="L54" s="107">
        <v>53.33</v>
      </c>
      <c r="M54" s="107">
        <v>45.1</v>
      </c>
      <c r="N54" s="201">
        <v>35.83</v>
      </c>
      <c r="O54" s="204">
        <v>28</v>
      </c>
      <c r="P54" s="108">
        <v>10.85</v>
      </c>
      <c r="Q54" s="109">
        <v>11.5</v>
      </c>
      <c r="R54" s="109">
        <v>12.95</v>
      </c>
      <c r="S54" s="109">
        <v>5.5600000000000005</v>
      </c>
      <c r="T54" s="110">
        <f>Table_14345[[#This Row],[COM 1 - 2021]]+Table_14345[[#This Row],[COM 2 - 2021]]+Table_14345[[#This Row],[COM 3 - 2021]]+Table_14345[[#This Row],[COM 4 - 2021]]</f>
        <v>40.86</v>
      </c>
      <c r="U54" s="111">
        <v>43</v>
      </c>
      <c r="V54" s="111">
        <v>43</v>
      </c>
      <c r="W54" s="111">
        <v>45</v>
      </c>
      <c r="X54" s="210">
        <v>46</v>
      </c>
      <c r="Y54" s="112">
        <f>Table_14345[[#This Row],[COM 1 - 2023]]+Table_14345[[#This Row],[COM 2 - 2023]]+Table_14345[[#This Row],[COM 3 - 2023]]+Table_14345[[#This Row],[COM 4 - 2023]]</f>
        <v>41.550000000000004</v>
      </c>
      <c r="Z54" s="113">
        <f>Table_14345[[#This Row],[COM 1 (sumatoria)]]</f>
        <v>10.866666666666667</v>
      </c>
      <c r="AA54" s="113">
        <f>Table_14345[[#This Row],[COM 2 (sumatoria)]]</f>
        <v>17.683333333333334</v>
      </c>
      <c r="AB54" s="113">
        <f>Table_14345[[#This Row],[COM 3 (sumatoria)]]</f>
        <v>9.2999999999999989</v>
      </c>
      <c r="AC54" s="114">
        <f>Table_14345[[#This Row],[COM 4 (sumatoria)]]</f>
        <v>3.7</v>
      </c>
      <c r="AD54" s="115">
        <f>Table_14345[[#This Row],[Resultado IIP
2023]]-Table_14345[[#This Row],[Resultado IIP
2021]]</f>
        <v>0.69000000000000483</v>
      </c>
      <c r="AE54" s="116">
        <f>Table_14345[[#This Row],[COM 1 - 2023]]*100/25</f>
        <v>43.466666666666669</v>
      </c>
      <c r="AF54" s="116">
        <f>Table_14345[[#This Row],[COM 2 - 2023]]*100/35</f>
        <v>50.523809523809518</v>
      </c>
      <c r="AG54" s="116">
        <f>Table_14345[[#This Row],[COM 3 - 2023]]*100/25</f>
        <v>37.199999999999996</v>
      </c>
      <c r="AH54" s="116">
        <f>Table_14345[[#This Row],[COM 4 - 2023]]*100/15</f>
        <v>24.666666666666668</v>
      </c>
      <c r="AI54" s="117" t="s">
        <v>167</v>
      </c>
      <c r="AJ54" s="118" t="s">
        <v>216</v>
      </c>
      <c r="AK54" s="99">
        <v>0</v>
      </c>
      <c r="AL54" s="99">
        <v>2.3666666666666667</v>
      </c>
      <c r="AM54" s="99">
        <v>0</v>
      </c>
      <c r="AN54" s="99">
        <v>0</v>
      </c>
      <c r="AO54" s="99">
        <v>0</v>
      </c>
      <c r="AP54" s="99">
        <v>1.2999999999999998</v>
      </c>
      <c r="AQ54" s="99">
        <v>0</v>
      </c>
      <c r="AR54" s="99">
        <v>4</v>
      </c>
      <c r="AS54" s="99">
        <v>0</v>
      </c>
      <c r="AT54" s="99">
        <v>0</v>
      </c>
      <c r="AU54" s="99">
        <v>1.8</v>
      </c>
      <c r="AV54" s="99">
        <v>0</v>
      </c>
      <c r="AW54" s="99">
        <v>1.4</v>
      </c>
      <c r="AX54" s="100">
        <f t="shared" si="4"/>
        <v>10.866666666666667</v>
      </c>
      <c r="AY54" s="99">
        <v>1</v>
      </c>
      <c r="AZ54" s="99">
        <v>0.30000000000000004</v>
      </c>
      <c r="BA54" s="99">
        <v>0.89999999999999991</v>
      </c>
      <c r="BB54" s="99">
        <v>0.4</v>
      </c>
      <c r="BC54" s="99">
        <v>0.85000000000000009</v>
      </c>
      <c r="BD54" s="99">
        <v>1.3</v>
      </c>
      <c r="BE54" s="99">
        <v>2.4</v>
      </c>
      <c r="BF54" s="99">
        <v>0.85000000000000009</v>
      </c>
      <c r="BG54" s="99">
        <v>0.85000000000000009</v>
      </c>
      <c r="BH54" s="99">
        <v>4.4333333333333336</v>
      </c>
      <c r="BI54" s="99">
        <v>2.4</v>
      </c>
      <c r="BJ54" s="99">
        <v>0.90000000000000013</v>
      </c>
      <c r="BK54" s="99">
        <v>0</v>
      </c>
      <c r="BL54" s="99">
        <v>1.1000000000000001</v>
      </c>
      <c r="BM54" s="100">
        <f t="shared" si="5"/>
        <v>17.683333333333334</v>
      </c>
      <c r="BN54" s="99">
        <v>6.6</v>
      </c>
      <c r="BO54" s="99">
        <v>1.6</v>
      </c>
      <c r="BP54" s="99">
        <v>1.1000000000000001</v>
      </c>
      <c r="BQ54" s="100">
        <f t="shared" si="6"/>
        <v>9.2999999999999989</v>
      </c>
      <c r="BR54" s="99">
        <v>0</v>
      </c>
      <c r="BS54" s="99">
        <v>1.4</v>
      </c>
      <c r="BT54" s="99">
        <v>0</v>
      </c>
      <c r="BU54" s="99">
        <v>0</v>
      </c>
      <c r="BV54" s="99">
        <v>0</v>
      </c>
      <c r="BW54" s="99">
        <v>0.75</v>
      </c>
      <c r="BX54" s="99">
        <v>0.75</v>
      </c>
      <c r="BY54" s="99">
        <v>0.8</v>
      </c>
      <c r="BZ54" s="99">
        <v>0</v>
      </c>
      <c r="CA54" s="101">
        <f t="shared" si="7"/>
        <v>3.7</v>
      </c>
      <c r="CB54" s="99">
        <v>0.9</v>
      </c>
      <c r="CC54" s="99">
        <f>Table_14345[[#This Row],[PREAJUSTE
32]]+0.5</f>
        <v>1.4</v>
      </c>
      <c r="CD54" s="99"/>
      <c r="CE54" s="99">
        <f>Table_14345[[#This Row],[AJUSTADO
32]]-Table_14345[[#This Row],[DIFERENCIA
32]]</f>
        <v>1.4</v>
      </c>
      <c r="CF54" s="102">
        <v>0.3</v>
      </c>
      <c r="CG54" s="102">
        <f>Table_14345[[#This Row],[PREAJUSTE
38]]+0.5</f>
        <v>0.8</v>
      </c>
      <c r="CH54" s="102"/>
      <c r="CI54" s="102">
        <f>Table_14345[[#This Row],[AJUSTADO
38]]-Table_14345[[#This Row],[DIFERENCIA
38]]</f>
        <v>0.8</v>
      </c>
    </row>
    <row r="55" spans="2:87" x14ac:dyDescent="0.3">
      <c r="B55" s="103">
        <f>Table_14345[[#This Row],[Resultado IIP
2019]]</f>
        <v>9.18</v>
      </c>
      <c r="C55" s="104">
        <f>Table_14345[[#This Row],[Resultado IIP
2021]]</f>
        <v>32.889999999999993</v>
      </c>
      <c r="D55" s="104">
        <f>Table_14345[[#This Row],[Resultado IIP
2023]]</f>
        <v>41.05</v>
      </c>
      <c r="E55" s="105"/>
      <c r="F55" s="223">
        <f>Table_14345[[#This Row],[POSICIÓN
2019]]</f>
        <v>38</v>
      </c>
      <c r="G55" s="223">
        <f>Table_14345[[#This Row],[POSICIÓN
2021]]</f>
        <v>53</v>
      </c>
      <c r="H55" s="223">
        <f>Table_14345[[#This Row],[POSICIÓN
2023]]</f>
        <v>47</v>
      </c>
      <c r="I55" s="220">
        <v>38</v>
      </c>
      <c r="J55" s="106">
        <v>0</v>
      </c>
      <c r="K55" s="107">
        <v>17.53</v>
      </c>
      <c r="L55" s="107">
        <v>8.67</v>
      </c>
      <c r="M55" s="107">
        <v>0</v>
      </c>
      <c r="N55" s="201">
        <v>9.18</v>
      </c>
      <c r="O55" s="204">
        <v>53</v>
      </c>
      <c r="P55" s="108">
        <v>10.299999999999999</v>
      </c>
      <c r="Q55" s="109">
        <v>10.749999999999998</v>
      </c>
      <c r="R55" s="109">
        <v>8.6999999999999993</v>
      </c>
      <c r="S55" s="109">
        <v>3.1399999999999997</v>
      </c>
      <c r="T55" s="110">
        <f>Table_14345[[#This Row],[COM 1 - 2021]]+Table_14345[[#This Row],[COM 2 - 2021]]+Table_14345[[#This Row],[COM 3 - 2021]]+Table_14345[[#This Row],[COM 4 - 2021]]</f>
        <v>32.889999999999993</v>
      </c>
      <c r="U55" s="111">
        <v>52</v>
      </c>
      <c r="V55" s="111">
        <v>52</v>
      </c>
      <c r="W55" s="111">
        <v>52</v>
      </c>
      <c r="X55" s="210">
        <v>47</v>
      </c>
      <c r="Y55" s="112">
        <f>Table_14345[[#This Row],[COM 1 - 2023]]+Table_14345[[#This Row],[COM 2 - 2023]]+Table_14345[[#This Row],[COM 3 - 2023]]+Table_14345[[#This Row],[COM 4 - 2023]]</f>
        <v>41.05</v>
      </c>
      <c r="Z55" s="113">
        <f>Table_14345[[#This Row],[COM 1 (sumatoria)]]</f>
        <v>13.55</v>
      </c>
      <c r="AA55" s="113">
        <f>Table_14345[[#This Row],[COM 2 (sumatoria)]]</f>
        <v>13.85</v>
      </c>
      <c r="AB55" s="113">
        <f>Table_14345[[#This Row],[COM 3 (sumatoria)]]</f>
        <v>6.9</v>
      </c>
      <c r="AC55" s="114">
        <f>Table_14345[[#This Row],[COM 4 (sumatoria)]]</f>
        <v>6.7499999999999991</v>
      </c>
      <c r="AD55" s="115">
        <f>Table_14345[[#This Row],[Resultado IIP
2023]]-Table_14345[[#This Row],[Resultado IIP
2021]]</f>
        <v>8.1600000000000037</v>
      </c>
      <c r="AE55" s="116">
        <f>Table_14345[[#This Row],[COM 1 - 2023]]*100/25</f>
        <v>54.2</v>
      </c>
      <c r="AF55" s="116">
        <f>Table_14345[[#This Row],[COM 2 - 2023]]*100/35</f>
        <v>39.571428571428569</v>
      </c>
      <c r="AG55" s="116">
        <f>Table_14345[[#This Row],[COM 3 - 2023]]*100/25</f>
        <v>27.6</v>
      </c>
      <c r="AH55" s="116">
        <f>Table_14345[[#This Row],[COM 4 - 2023]]*100/15</f>
        <v>44.999999999999993</v>
      </c>
      <c r="AI55" s="117" t="s">
        <v>167</v>
      </c>
      <c r="AJ55" s="118" t="s">
        <v>217</v>
      </c>
      <c r="AK55" s="99">
        <v>0</v>
      </c>
      <c r="AL55" s="99">
        <v>2.4</v>
      </c>
      <c r="AM55" s="99">
        <v>0</v>
      </c>
      <c r="AN55" s="99">
        <v>4</v>
      </c>
      <c r="AO55" s="99">
        <v>0</v>
      </c>
      <c r="AP55" s="99">
        <v>1.2999999999999998</v>
      </c>
      <c r="AQ55" s="99">
        <v>0</v>
      </c>
      <c r="AR55" s="99">
        <v>1.95</v>
      </c>
      <c r="AS55" s="99">
        <v>0</v>
      </c>
      <c r="AT55" s="99">
        <v>0</v>
      </c>
      <c r="AU55" s="99">
        <v>3.9</v>
      </c>
      <c r="AV55" s="99">
        <v>0</v>
      </c>
      <c r="AW55" s="99">
        <v>0</v>
      </c>
      <c r="AX55" s="100">
        <f t="shared" si="4"/>
        <v>13.55</v>
      </c>
      <c r="AY55" s="99">
        <v>0.75</v>
      </c>
      <c r="AZ55" s="99">
        <v>0.30000000000000004</v>
      </c>
      <c r="BA55" s="99">
        <v>0.7</v>
      </c>
      <c r="BB55" s="99">
        <v>0.8</v>
      </c>
      <c r="BC55" s="99">
        <v>0.89999999999999991</v>
      </c>
      <c r="BD55" s="99">
        <v>0.8</v>
      </c>
      <c r="BE55" s="99">
        <v>0.8</v>
      </c>
      <c r="BF55" s="99">
        <v>0.2</v>
      </c>
      <c r="BG55" s="99">
        <v>0.6</v>
      </c>
      <c r="BH55" s="99">
        <v>4</v>
      </c>
      <c r="BI55" s="99">
        <v>1.5</v>
      </c>
      <c r="BJ55" s="99">
        <v>1.4</v>
      </c>
      <c r="BK55" s="99">
        <v>0.6</v>
      </c>
      <c r="BL55" s="99">
        <v>0.5</v>
      </c>
      <c r="BM55" s="100">
        <f t="shared" si="5"/>
        <v>13.85</v>
      </c>
      <c r="BN55" s="99">
        <v>6.1</v>
      </c>
      <c r="BO55" s="99">
        <v>0.4</v>
      </c>
      <c r="BP55" s="99">
        <v>0.4</v>
      </c>
      <c r="BQ55" s="100">
        <f t="shared" si="6"/>
        <v>6.9</v>
      </c>
      <c r="BR55" s="120">
        <v>0</v>
      </c>
      <c r="BS55" s="120">
        <v>1.9</v>
      </c>
      <c r="BT55" s="120">
        <v>0.85000000000000009</v>
      </c>
      <c r="BU55" s="120">
        <v>0.85000000000000009</v>
      </c>
      <c r="BV55" s="120">
        <v>0.75</v>
      </c>
      <c r="BW55" s="120">
        <v>0.85000000000000009</v>
      </c>
      <c r="BX55" s="120">
        <v>0.75</v>
      </c>
      <c r="BY55" s="120">
        <v>0.8</v>
      </c>
      <c r="BZ55" s="120">
        <v>0</v>
      </c>
      <c r="CA55" s="101">
        <f t="shared" si="7"/>
        <v>6.7499999999999991</v>
      </c>
      <c r="CB55" s="99">
        <v>0.9</v>
      </c>
      <c r="CC55" s="99">
        <f>Table_14345[[#This Row],[PREAJUSTE
32]]+0.5</f>
        <v>1.4</v>
      </c>
      <c r="CD55" s="99"/>
      <c r="CE55" s="99">
        <f>Table_14345[[#This Row],[AJUSTADO
32]]-Table_14345[[#This Row],[DIFERENCIA
32]]</f>
        <v>1.4</v>
      </c>
      <c r="CF55" s="102">
        <v>0.3</v>
      </c>
      <c r="CG55" s="102">
        <f>Table_14345[[#This Row],[PREAJUSTE
38]]+0.5</f>
        <v>0.8</v>
      </c>
      <c r="CH55" s="102"/>
      <c r="CI55" s="102">
        <f>Table_14345[[#This Row],[AJUSTADO
38]]-Table_14345[[#This Row],[DIFERENCIA
38]]</f>
        <v>0.8</v>
      </c>
    </row>
    <row r="56" spans="2:87" x14ac:dyDescent="0.3">
      <c r="B56" s="103">
        <f>Table_14345[[#This Row],[Resultado IIP
2019]]</f>
        <v>0</v>
      </c>
      <c r="C56" s="104">
        <f>Table_14345[[#This Row],[Resultado IIP
2021]]</f>
        <v>35.050000000000004</v>
      </c>
      <c r="D56" s="104">
        <f>Table_14345[[#This Row],[Resultado IIP
2023]]</f>
        <v>40.938333333333333</v>
      </c>
      <c r="E56" s="105"/>
      <c r="F56" s="223"/>
      <c r="G56" s="223">
        <f>Table_14345[[#This Row],[POSICIÓN
2021]]</f>
        <v>49</v>
      </c>
      <c r="H56" s="223">
        <f>Table_14345[[#This Row],[POSICIÓN
2023]]</f>
        <v>48</v>
      </c>
      <c r="I56" s="219"/>
      <c r="J56" s="106"/>
      <c r="K56" s="107"/>
      <c r="L56" s="107"/>
      <c r="M56" s="107"/>
      <c r="N56" s="201"/>
      <c r="O56" s="203">
        <v>49</v>
      </c>
      <c r="P56" s="108">
        <v>12.900000000000002</v>
      </c>
      <c r="Q56" s="109">
        <v>10.95</v>
      </c>
      <c r="R56" s="109">
        <v>5.8</v>
      </c>
      <c r="S56" s="109">
        <v>5.4000000000000012</v>
      </c>
      <c r="T56" s="110">
        <f>Table_14345[[#This Row],[COM 1 - 2021]]+Table_14345[[#This Row],[COM 2 - 2021]]+Table_14345[[#This Row],[COM 3 - 2021]]+Table_14345[[#This Row],[COM 4 - 2021]]</f>
        <v>35.050000000000004</v>
      </c>
      <c r="U56" s="91">
        <v>46</v>
      </c>
      <c r="V56" s="91">
        <v>46</v>
      </c>
      <c r="W56" s="91">
        <v>47</v>
      </c>
      <c r="X56" s="209">
        <v>48</v>
      </c>
      <c r="Y56" s="112">
        <f>Table_14345[[#This Row],[COM 1 - 2023]]+Table_14345[[#This Row],[COM 2 - 2023]]+Table_14345[[#This Row],[COM 3 - 2023]]+Table_14345[[#This Row],[COM 4 - 2023]]</f>
        <v>40.938333333333333</v>
      </c>
      <c r="Z56" s="113">
        <f>Table_14345[[#This Row],[COM 1 (sumatoria)]]</f>
        <v>13.150000000000002</v>
      </c>
      <c r="AA56" s="113">
        <f>Table_14345[[#This Row],[COM 2 (sumatoria)]]</f>
        <v>13.53833333333333</v>
      </c>
      <c r="AB56" s="113">
        <f>Table_14345[[#This Row],[COM 3 (sumatoria)]]</f>
        <v>6.6</v>
      </c>
      <c r="AC56" s="114">
        <f>Table_14345[[#This Row],[COM 4 (sumatoria)]]</f>
        <v>7.6499999999999995</v>
      </c>
      <c r="AD56" s="115">
        <f>Table_14345[[#This Row],[Resultado IIP
2023]]-Table_14345[[#This Row],[Resultado IIP
2021]]</f>
        <v>5.8883333333333283</v>
      </c>
      <c r="AE56" s="116">
        <f>Table_14345[[#This Row],[COM 1 - 2023]]*100/25</f>
        <v>52.600000000000009</v>
      </c>
      <c r="AF56" s="116">
        <f>Table_14345[[#This Row],[COM 2 - 2023]]*100/35</f>
        <v>38.68095238095237</v>
      </c>
      <c r="AG56" s="116">
        <f>Table_14345[[#This Row],[COM 3 - 2023]]*100/25</f>
        <v>26.4</v>
      </c>
      <c r="AH56" s="116">
        <f>Table_14345[[#This Row],[COM 4 - 2023]]*100/15</f>
        <v>51</v>
      </c>
      <c r="AI56" s="117" t="s">
        <v>167</v>
      </c>
      <c r="AJ56" s="118" t="s">
        <v>218</v>
      </c>
      <c r="AK56" s="99">
        <v>0</v>
      </c>
      <c r="AL56" s="99">
        <v>2.9</v>
      </c>
      <c r="AM56" s="99">
        <v>0</v>
      </c>
      <c r="AN56" s="99">
        <v>0</v>
      </c>
      <c r="AO56" s="99">
        <v>0</v>
      </c>
      <c r="AP56" s="99">
        <v>2.6500000000000004</v>
      </c>
      <c r="AQ56" s="99">
        <v>0</v>
      </c>
      <c r="AR56" s="99">
        <v>4</v>
      </c>
      <c r="AS56" s="99">
        <v>0</v>
      </c>
      <c r="AT56" s="99">
        <v>0</v>
      </c>
      <c r="AU56" s="99">
        <v>1.8</v>
      </c>
      <c r="AV56" s="99">
        <v>0</v>
      </c>
      <c r="AW56" s="99">
        <v>1.8</v>
      </c>
      <c r="AX56" s="100">
        <f t="shared" si="4"/>
        <v>13.150000000000002</v>
      </c>
      <c r="AY56" s="99">
        <v>0.75</v>
      </c>
      <c r="AZ56" s="99">
        <v>0.4</v>
      </c>
      <c r="BA56" s="99">
        <v>1.5</v>
      </c>
      <c r="BB56" s="99">
        <v>0.98</v>
      </c>
      <c r="BC56" s="99">
        <v>0.89999999999999991</v>
      </c>
      <c r="BD56" s="99">
        <v>1.1000000000000001</v>
      </c>
      <c r="BE56" s="99">
        <v>1.1000000000000001</v>
      </c>
      <c r="BF56" s="99">
        <v>0.6</v>
      </c>
      <c r="BG56" s="99">
        <v>0.6</v>
      </c>
      <c r="BH56" s="99">
        <v>2.7250000000000001</v>
      </c>
      <c r="BI56" s="99">
        <v>0.75</v>
      </c>
      <c r="BJ56" s="99">
        <v>0.7</v>
      </c>
      <c r="BK56" s="99">
        <v>0.33333333333333337</v>
      </c>
      <c r="BL56" s="99">
        <v>1.1000000000000001</v>
      </c>
      <c r="BM56" s="100">
        <f t="shared" si="5"/>
        <v>13.53833333333333</v>
      </c>
      <c r="BN56" s="99">
        <v>5</v>
      </c>
      <c r="BO56" s="99">
        <v>1.1000000000000001</v>
      </c>
      <c r="BP56" s="99">
        <v>0.5</v>
      </c>
      <c r="BQ56" s="100">
        <f t="shared" si="6"/>
        <v>6.6</v>
      </c>
      <c r="BR56" s="99">
        <v>0</v>
      </c>
      <c r="BS56" s="99">
        <v>2.9</v>
      </c>
      <c r="BT56" s="99">
        <v>0.75</v>
      </c>
      <c r="BU56" s="99">
        <v>0.95</v>
      </c>
      <c r="BV56" s="99">
        <v>0.75</v>
      </c>
      <c r="BW56" s="99">
        <v>0.75</v>
      </c>
      <c r="BX56" s="99">
        <v>0.85000000000000009</v>
      </c>
      <c r="BY56" s="99">
        <v>0.7</v>
      </c>
      <c r="BZ56" s="99">
        <v>0</v>
      </c>
      <c r="CA56" s="101">
        <f t="shared" si="7"/>
        <v>7.6499999999999995</v>
      </c>
      <c r="CB56" s="99">
        <v>2.4</v>
      </c>
      <c r="CC56" s="99">
        <f>Table_14345[[#This Row],[PREAJUSTE
32]]+0.5</f>
        <v>2.9</v>
      </c>
      <c r="CD56" s="99"/>
      <c r="CE56" s="99">
        <f>Table_14345[[#This Row],[AJUSTADO
32]]-Table_14345[[#This Row],[DIFERENCIA
32]]</f>
        <v>2.9</v>
      </c>
      <c r="CF56" s="102">
        <v>0.2</v>
      </c>
      <c r="CG56" s="102">
        <f>Table_14345[[#This Row],[PREAJUSTE
38]]+0.5</f>
        <v>0.7</v>
      </c>
      <c r="CH56" s="102"/>
      <c r="CI56" s="102">
        <f>Table_14345[[#This Row],[AJUSTADO
38]]-Table_14345[[#This Row],[DIFERENCIA
38]]</f>
        <v>0.7</v>
      </c>
    </row>
    <row r="57" spans="2:87" x14ac:dyDescent="0.3">
      <c r="B57" s="103">
        <f>Table_14345[[#This Row],[Resultado IIP
2019]]</f>
        <v>0</v>
      </c>
      <c r="C57" s="104">
        <f>Table_14345[[#This Row],[Resultado IIP
2021]]</f>
        <v>16.8</v>
      </c>
      <c r="D57" s="104">
        <f>Table_14345[[#This Row],[Resultado IIP
2023]]</f>
        <v>39.616666666666667</v>
      </c>
      <c r="E57" s="105"/>
      <c r="F57" s="223"/>
      <c r="G57" s="223">
        <f>Table_14345[[#This Row],[POSICIÓN
2021]]</f>
        <v>65</v>
      </c>
      <c r="H57" s="223">
        <f>Table_14345[[#This Row],[POSICIÓN
2023]]</f>
        <v>49</v>
      </c>
      <c r="I57" s="220"/>
      <c r="J57" s="106"/>
      <c r="K57" s="107"/>
      <c r="L57" s="107"/>
      <c r="M57" s="107"/>
      <c r="N57" s="201"/>
      <c r="O57" s="204">
        <v>65</v>
      </c>
      <c r="P57" s="108">
        <v>6.0500000000000007</v>
      </c>
      <c r="Q57" s="109">
        <v>7.5700000000000012</v>
      </c>
      <c r="R57" s="109">
        <v>0</v>
      </c>
      <c r="S57" s="109">
        <v>3.1799999999999997</v>
      </c>
      <c r="T57" s="110">
        <f>Table_14345[[#This Row],[COM 1 - 2021]]+Table_14345[[#This Row],[COM 2 - 2021]]+Table_14345[[#This Row],[COM 3 - 2021]]+Table_14345[[#This Row],[COM 4 - 2021]]</f>
        <v>16.8</v>
      </c>
      <c r="U57" s="111">
        <v>45</v>
      </c>
      <c r="V57" s="111">
        <v>45</v>
      </c>
      <c r="W57" s="111">
        <v>46</v>
      </c>
      <c r="X57" s="210">
        <v>49</v>
      </c>
      <c r="Y57" s="112">
        <f>Table_14345[[#This Row],[COM 1 - 2023]]+Table_14345[[#This Row],[COM 2 - 2023]]+Table_14345[[#This Row],[COM 3 - 2023]]+Table_14345[[#This Row],[COM 4 - 2023]]</f>
        <v>39.616666666666667</v>
      </c>
      <c r="Z57" s="113">
        <f>Table_14345[[#This Row],[COM 1 (sumatoria)]]</f>
        <v>10.116666666666667</v>
      </c>
      <c r="AA57" s="113">
        <f>Table_14345[[#This Row],[COM 2 (sumatoria)]]</f>
        <v>14.4</v>
      </c>
      <c r="AB57" s="113">
        <f>Table_14345[[#This Row],[COM 3 (sumatoria)]]</f>
        <v>8.3999999999999986</v>
      </c>
      <c r="AC57" s="114">
        <f>Table_14345[[#This Row],[COM 4 (sumatoria)]]</f>
        <v>6.7</v>
      </c>
      <c r="AD57" s="115">
        <f>Table_14345[[#This Row],[Resultado IIP
2023]]-Table_14345[[#This Row],[Resultado IIP
2021]]</f>
        <v>22.816666666666666</v>
      </c>
      <c r="AE57" s="116">
        <f>Table_14345[[#This Row],[COM 1 - 2023]]*100/25</f>
        <v>40.466666666666669</v>
      </c>
      <c r="AF57" s="116">
        <f>Table_14345[[#This Row],[COM 2 - 2023]]*100/35</f>
        <v>41.142857142857146</v>
      </c>
      <c r="AG57" s="116">
        <f>Table_14345[[#This Row],[COM 3 - 2023]]*100/25</f>
        <v>33.599999999999994</v>
      </c>
      <c r="AH57" s="116">
        <f>Table_14345[[#This Row],[COM 4 - 2023]]*100/15</f>
        <v>44.666666666666664</v>
      </c>
      <c r="AI57" s="117" t="s">
        <v>167</v>
      </c>
      <c r="AJ57" s="118" t="s">
        <v>219</v>
      </c>
      <c r="AK57" s="99">
        <v>0</v>
      </c>
      <c r="AL57" s="99">
        <v>2.666666666666667</v>
      </c>
      <c r="AM57" s="99">
        <v>0</v>
      </c>
      <c r="AN57" s="99">
        <v>0.4</v>
      </c>
      <c r="AO57" s="99">
        <v>0</v>
      </c>
      <c r="AP57" s="99">
        <v>0.4</v>
      </c>
      <c r="AQ57" s="99">
        <v>0</v>
      </c>
      <c r="AR57" s="99">
        <v>0</v>
      </c>
      <c r="AS57" s="99">
        <v>0</v>
      </c>
      <c r="AT57" s="99">
        <v>0</v>
      </c>
      <c r="AU57" s="99">
        <v>4.7</v>
      </c>
      <c r="AV57" s="99">
        <v>0</v>
      </c>
      <c r="AW57" s="99">
        <v>1.95</v>
      </c>
      <c r="AX57" s="100">
        <f t="shared" si="4"/>
        <v>10.116666666666667</v>
      </c>
      <c r="AY57" s="99">
        <v>0</v>
      </c>
      <c r="AZ57" s="99">
        <v>0</v>
      </c>
      <c r="BA57" s="99">
        <v>1.2</v>
      </c>
      <c r="BB57" s="99">
        <v>1</v>
      </c>
      <c r="BC57" s="99">
        <v>0.8</v>
      </c>
      <c r="BD57" s="99">
        <v>1.3</v>
      </c>
      <c r="BE57" s="99">
        <v>1.3</v>
      </c>
      <c r="BF57" s="99">
        <v>0.4</v>
      </c>
      <c r="BG57" s="99">
        <v>0.4</v>
      </c>
      <c r="BH57" s="99">
        <v>5</v>
      </c>
      <c r="BI57" s="99">
        <v>0.3</v>
      </c>
      <c r="BJ57" s="99">
        <v>1.5999999999999996</v>
      </c>
      <c r="BK57" s="99">
        <v>0.6</v>
      </c>
      <c r="BL57" s="99">
        <v>0.5</v>
      </c>
      <c r="BM57" s="100">
        <f t="shared" si="5"/>
        <v>14.4</v>
      </c>
      <c r="BN57" s="99">
        <v>6.1</v>
      </c>
      <c r="BO57" s="99">
        <v>0</v>
      </c>
      <c r="BP57" s="99">
        <v>2.2999999999999998</v>
      </c>
      <c r="BQ57" s="100">
        <f t="shared" si="6"/>
        <v>8.3999999999999986</v>
      </c>
      <c r="BR57" s="120">
        <v>0</v>
      </c>
      <c r="BS57" s="120">
        <v>1.5</v>
      </c>
      <c r="BT57" s="120">
        <v>0.5</v>
      </c>
      <c r="BU57" s="120">
        <v>0.5</v>
      </c>
      <c r="BV57" s="120">
        <v>0.5</v>
      </c>
      <c r="BW57" s="120">
        <v>0.5</v>
      </c>
      <c r="BX57" s="120">
        <v>1</v>
      </c>
      <c r="BY57" s="120">
        <v>1</v>
      </c>
      <c r="BZ57" s="120">
        <v>1.2</v>
      </c>
      <c r="CA57" s="101">
        <f t="shared" si="7"/>
        <v>6.7</v>
      </c>
      <c r="CB57" s="99">
        <v>1.5</v>
      </c>
      <c r="CC57" s="99"/>
      <c r="CD57" s="99"/>
      <c r="CE57" s="99">
        <f>Table_14345[[#This Row],[AJUSTADO
32]]-Table_14345[[#This Row],[DIFERENCIA
32]]</f>
        <v>0</v>
      </c>
      <c r="CF57" s="102">
        <v>0.5</v>
      </c>
      <c r="CG57" s="102">
        <f>Table_14345[[#This Row],[PREAJUSTE
38]]+0.5</f>
        <v>1</v>
      </c>
      <c r="CH57" s="102"/>
      <c r="CI57" s="102">
        <f>Table_14345[[#This Row],[AJUSTADO
38]]-Table_14345[[#This Row],[DIFERENCIA
38]]</f>
        <v>1</v>
      </c>
    </row>
    <row r="58" spans="2:87" x14ac:dyDescent="0.3">
      <c r="B58" s="103">
        <f>Table_14345[[#This Row],[Resultado IIP
2019]]</f>
        <v>51.91</v>
      </c>
      <c r="C58" s="104">
        <f>Table_14345[[#This Row],[Resultado IIP
2021]]</f>
        <v>52.050000000000004</v>
      </c>
      <c r="D58" s="104">
        <f>Table_14345[[#This Row],[Resultado IIP
2023]]</f>
        <v>38.938333333333333</v>
      </c>
      <c r="E58" s="105"/>
      <c r="F58" s="223">
        <f>Table_14345[[#This Row],[POSICIÓN
2019]]</f>
        <v>11</v>
      </c>
      <c r="G58" s="223">
        <f>Table_14345[[#This Row],[POSICIÓN
2021]]</f>
        <v>16</v>
      </c>
      <c r="H58" s="223">
        <f>Table_14345[[#This Row],[POSICIÓN
2023]]</f>
        <v>50</v>
      </c>
      <c r="I58" s="220">
        <v>11</v>
      </c>
      <c r="J58" s="106">
        <v>58.46</v>
      </c>
      <c r="K58" s="107">
        <v>39.57</v>
      </c>
      <c r="L58" s="107">
        <v>60</v>
      </c>
      <c r="M58" s="107">
        <v>64.7</v>
      </c>
      <c r="N58" s="201">
        <v>51.91</v>
      </c>
      <c r="O58" s="204">
        <v>16</v>
      </c>
      <c r="P58" s="108">
        <v>15.1</v>
      </c>
      <c r="Q58" s="109">
        <v>15.850000000000001</v>
      </c>
      <c r="R58" s="109">
        <v>13.1</v>
      </c>
      <c r="S58" s="109">
        <v>8</v>
      </c>
      <c r="T58" s="110">
        <f>Table_14345[[#This Row],[COM 1 - 2021]]+Table_14345[[#This Row],[COM 2 - 2021]]+Table_14345[[#This Row],[COM 3 - 2021]]+Table_14345[[#This Row],[COM 4 - 2021]]</f>
        <v>52.050000000000004</v>
      </c>
      <c r="U58" s="111">
        <v>48</v>
      </c>
      <c r="V58" s="111">
        <v>48</v>
      </c>
      <c r="W58" s="111">
        <v>48</v>
      </c>
      <c r="X58" s="210">
        <v>50</v>
      </c>
      <c r="Y58" s="112">
        <f>Table_14345[[#This Row],[COM 1 - 2023]]+Table_14345[[#This Row],[COM 2 - 2023]]+Table_14345[[#This Row],[COM 3 - 2023]]+Table_14345[[#This Row],[COM 4 - 2023]]</f>
        <v>38.938333333333333</v>
      </c>
      <c r="Z58" s="113">
        <f>Table_14345[[#This Row],[COM 1 (sumatoria)]]</f>
        <v>6.65</v>
      </c>
      <c r="AA58" s="113">
        <f>Table_14345[[#This Row],[COM 2 (sumatoria)]]</f>
        <v>11.413333333333334</v>
      </c>
      <c r="AB58" s="113">
        <f>Table_14345[[#This Row],[COM 3 (sumatoria)]]</f>
        <v>10.275</v>
      </c>
      <c r="AC58" s="114">
        <f>Table_14345[[#This Row],[COM 4 (sumatoria)]]</f>
        <v>10.6</v>
      </c>
      <c r="AD58" s="115">
        <f>Table_14345[[#This Row],[Resultado IIP
2023]]-Table_14345[[#This Row],[Resultado IIP
2021]]</f>
        <v>-13.111666666666672</v>
      </c>
      <c r="AE58" s="116">
        <f>Table_14345[[#This Row],[COM 1 - 2023]]*100/25</f>
        <v>26.6</v>
      </c>
      <c r="AF58" s="116">
        <f>Table_14345[[#This Row],[COM 2 - 2023]]*100/35</f>
        <v>32.609523809523814</v>
      </c>
      <c r="AG58" s="116">
        <f>Table_14345[[#This Row],[COM 3 - 2023]]*100/25</f>
        <v>41.1</v>
      </c>
      <c r="AH58" s="116">
        <f>Table_14345[[#This Row],[COM 4 - 2023]]*100/15</f>
        <v>70.666666666666671</v>
      </c>
      <c r="AI58" s="117" t="s">
        <v>167</v>
      </c>
      <c r="AJ58" s="118" t="s">
        <v>220</v>
      </c>
      <c r="AK58" s="99">
        <v>0</v>
      </c>
      <c r="AL58" s="99">
        <v>3.4000000000000004</v>
      </c>
      <c r="AM58" s="99">
        <v>0</v>
      </c>
      <c r="AN58" s="99">
        <v>0</v>
      </c>
      <c r="AO58" s="99">
        <v>0</v>
      </c>
      <c r="AP58" s="99">
        <v>1.6</v>
      </c>
      <c r="AQ58" s="99">
        <v>0</v>
      </c>
      <c r="AR58" s="99">
        <v>1.65</v>
      </c>
      <c r="AS58" s="99">
        <v>0</v>
      </c>
      <c r="AT58" s="99">
        <v>0</v>
      </c>
      <c r="AU58" s="99">
        <v>0</v>
      </c>
      <c r="AV58" s="99">
        <v>0</v>
      </c>
      <c r="AW58" s="99">
        <v>0</v>
      </c>
      <c r="AX58" s="100">
        <f t="shared" si="4"/>
        <v>6.65</v>
      </c>
      <c r="AY58" s="99">
        <v>0</v>
      </c>
      <c r="AZ58" s="99">
        <v>0</v>
      </c>
      <c r="BA58" s="99">
        <v>2.0300000000000002</v>
      </c>
      <c r="BB58" s="99">
        <v>0.5</v>
      </c>
      <c r="BC58" s="99">
        <v>0.4</v>
      </c>
      <c r="BD58" s="99">
        <v>0</v>
      </c>
      <c r="BE58" s="99">
        <v>2.2000000000000002</v>
      </c>
      <c r="BF58" s="99">
        <v>0.4</v>
      </c>
      <c r="BG58" s="99">
        <v>0.4</v>
      </c>
      <c r="BH58" s="99">
        <v>2.5</v>
      </c>
      <c r="BI58" s="99">
        <v>0.75</v>
      </c>
      <c r="BJ58" s="99">
        <v>0.90000000000000013</v>
      </c>
      <c r="BK58" s="99">
        <v>0.23333333333333331</v>
      </c>
      <c r="BL58" s="99">
        <v>1.1000000000000001</v>
      </c>
      <c r="BM58" s="100">
        <f t="shared" si="5"/>
        <v>11.413333333333334</v>
      </c>
      <c r="BN58" s="99">
        <v>8.6750000000000007</v>
      </c>
      <c r="BO58" s="99">
        <v>1.1000000000000001</v>
      </c>
      <c r="BP58" s="99">
        <v>0.5</v>
      </c>
      <c r="BQ58" s="100">
        <f t="shared" si="6"/>
        <v>10.275</v>
      </c>
      <c r="BR58" s="99">
        <v>0</v>
      </c>
      <c r="BS58" s="99">
        <v>3</v>
      </c>
      <c r="BT58" s="99">
        <v>0</v>
      </c>
      <c r="BU58" s="99">
        <v>1</v>
      </c>
      <c r="BV58" s="99">
        <v>0</v>
      </c>
      <c r="BW58" s="99">
        <v>1</v>
      </c>
      <c r="BX58" s="99">
        <v>1</v>
      </c>
      <c r="BY58" s="99">
        <v>1</v>
      </c>
      <c r="BZ58" s="99">
        <v>3.6</v>
      </c>
      <c r="CA58" s="101">
        <f t="shared" si="7"/>
        <v>10.6</v>
      </c>
      <c r="CB58" s="99">
        <v>3</v>
      </c>
      <c r="CC58" s="99">
        <f>Table_14345[[#This Row],[PREAJUSTE
32]]+0.5</f>
        <v>3.5</v>
      </c>
      <c r="CD58" s="99">
        <f>Table_14345[[#This Row],[AJUSTADO
32]]-3</f>
        <v>0.5</v>
      </c>
      <c r="CE58" s="99">
        <f>Table_14345[[#This Row],[AJUSTADO
32]]-Table_14345[[#This Row],[DIFERENCIA
32]]</f>
        <v>3</v>
      </c>
      <c r="CF58" s="102">
        <v>0.5</v>
      </c>
      <c r="CG58" s="102">
        <f>Table_14345[[#This Row],[PREAJUSTE
38]]+0.5</f>
        <v>1</v>
      </c>
      <c r="CH58" s="102"/>
      <c r="CI58" s="102">
        <f>Table_14345[[#This Row],[AJUSTADO
38]]-Table_14345[[#This Row],[DIFERENCIA
38]]</f>
        <v>1</v>
      </c>
    </row>
    <row r="59" spans="2:87" x14ac:dyDescent="0.3">
      <c r="B59" s="103">
        <f>Table_14345[[#This Row],[Resultado IIP
2019]]</f>
        <v>0</v>
      </c>
      <c r="C59" s="104">
        <f>Table_14345[[#This Row],[Resultado IIP
2021]]</f>
        <v>38.150000000000006</v>
      </c>
      <c r="D59" s="104">
        <f>Table_14345[[#This Row],[Resultado IIP
2023]]</f>
        <v>36.966666666666669</v>
      </c>
      <c r="E59" s="105"/>
      <c r="F59" s="223"/>
      <c r="G59" s="223">
        <f>Table_14345[[#This Row],[POSICIÓN
2021]]</f>
        <v>37</v>
      </c>
      <c r="H59" s="223">
        <f>Table_14345[[#This Row],[POSICIÓN
2023]]</f>
        <v>51</v>
      </c>
      <c r="I59" s="219"/>
      <c r="J59" s="106"/>
      <c r="K59" s="107"/>
      <c r="L59" s="107"/>
      <c r="M59" s="107"/>
      <c r="N59" s="201"/>
      <c r="O59" s="203">
        <v>37</v>
      </c>
      <c r="P59" s="108">
        <v>9.2000000000000011</v>
      </c>
      <c r="Q59" s="109">
        <v>16.05</v>
      </c>
      <c r="R59" s="109">
        <v>8.1000000000000014</v>
      </c>
      <c r="S59" s="109">
        <v>4.8000000000000007</v>
      </c>
      <c r="T59" s="110">
        <f>Table_14345[[#This Row],[COM 1 - 2021]]+Table_14345[[#This Row],[COM 2 - 2021]]+Table_14345[[#This Row],[COM 3 - 2021]]+Table_14345[[#This Row],[COM 4 - 2021]]</f>
        <v>38.150000000000006</v>
      </c>
      <c r="U59" s="111">
        <v>51</v>
      </c>
      <c r="V59" s="111">
        <v>51</v>
      </c>
      <c r="W59" s="91">
        <v>53</v>
      </c>
      <c r="X59" s="209">
        <v>51</v>
      </c>
      <c r="Y59" s="112">
        <f>Table_14345[[#This Row],[COM 1 - 2023]]+Table_14345[[#This Row],[COM 2 - 2023]]+Table_14345[[#This Row],[COM 3 - 2023]]+Table_14345[[#This Row],[COM 4 - 2023]]</f>
        <v>36.966666666666669</v>
      </c>
      <c r="Z59" s="113">
        <f>Table_14345[[#This Row],[COM 1 (sumatoria)]]</f>
        <v>10.866666666666667</v>
      </c>
      <c r="AA59" s="113">
        <f>Table_14345[[#This Row],[COM 2 (sumatoria)]]</f>
        <v>14.900000000000002</v>
      </c>
      <c r="AB59" s="113">
        <f>Table_14345[[#This Row],[COM 3 (sumatoria)]]</f>
        <v>7.7</v>
      </c>
      <c r="AC59" s="114">
        <f>Table_14345[[#This Row],[COM 4 (sumatoria)]]</f>
        <v>3.5</v>
      </c>
      <c r="AD59" s="115">
        <f>Table_14345[[#This Row],[Resultado IIP
2023]]-Table_14345[[#This Row],[Resultado IIP
2021]]</f>
        <v>-1.1833333333333371</v>
      </c>
      <c r="AE59" s="116">
        <f>Table_14345[[#This Row],[COM 1 - 2023]]*100/25</f>
        <v>43.466666666666669</v>
      </c>
      <c r="AF59" s="116">
        <f>Table_14345[[#This Row],[COM 2 - 2023]]*100/35</f>
        <v>42.571428571428577</v>
      </c>
      <c r="AG59" s="116">
        <f>Table_14345[[#This Row],[COM 3 - 2023]]*100/25</f>
        <v>30.8</v>
      </c>
      <c r="AH59" s="116">
        <f>Table_14345[[#This Row],[COM 4 - 2023]]*100/15</f>
        <v>23.333333333333332</v>
      </c>
      <c r="AI59" s="117" t="s">
        <v>167</v>
      </c>
      <c r="AJ59" s="118" t="s">
        <v>221</v>
      </c>
      <c r="AK59" s="99">
        <v>0</v>
      </c>
      <c r="AL59" s="99">
        <v>2.666666666666667</v>
      </c>
      <c r="AM59" s="99">
        <v>0</v>
      </c>
      <c r="AN59" s="99">
        <v>3.3</v>
      </c>
      <c r="AO59" s="99">
        <v>0</v>
      </c>
      <c r="AP59" s="99">
        <v>1.2999999999999998</v>
      </c>
      <c r="AQ59" s="99">
        <v>0</v>
      </c>
      <c r="AR59" s="99">
        <v>0</v>
      </c>
      <c r="AS59" s="99">
        <v>0</v>
      </c>
      <c r="AT59" s="99">
        <v>0</v>
      </c>
      <c r="AU59" s="99">
        <v>0</v>
      </c>
      <c r="AV59" s="99">
        <v>0</v>
      </c>
      <c r="AW59" s="99">
        <v>3.6</v>
      </c>
      <c r="AX59" s="100">
        <f t="shared" si="4"/>
        <v>10.866666666666667</v>
      </c>
      <c r="AY59" s="99">
        <v>0</v>
      </c>
      <c r="AZ59" s="99">
        <v>0</v>
      </c>
      <c r="BA59" s="99">
        <v>0</v>
      </c>
      <c r="BB59" s="99">
        <v>1</v>
      </c>
      <c r="BC59" s="99">
        <v>0.4</v>
      </c>
      <c r="BD59" s="99">
        <v>1.8</v>
      </c>
      <c r="BE59" s="99">
        <v>1.8</v>
      </c>
      <c r="BF59" s="99">
        <v>0.4</v>
      </c>
      <c r="BG59" s="99">
        <v>0.7</v>
      </c>
      <c r="BH59" s="99">
        <v>5.5</v>
      </c>
      <c r="BI59" s="99">
        <v>2</v>
      </c>
      <c r="BJ59" s="99">
        <v>1.3</v>
      </c>
      <c r="BK59" s="99">
        <v>0</v>
      </c>
      <c r="BL59" s="99">
        <v>0</v>
      </c>
      <c r="BM59" s="100">
        <f t="shared" si="5"/>
        <v>14.900000000000002</v>
      </c>
      <c r="BN59" s="99">
        <v>7.7</v>
      </c>
      <c r="BO59" s="99">
        <v>0</v>
      </c>
      <c r="BP59" s="99">
        <v>0</v>
      </c>
      <c r="BQ59" s="100">
        <f t="shared" si="6"/>
        <v>7.7</v>
      </c>
      <c r="BR59" s="99">
        <v>0</v>
      </c>
      <c r="BS59" s="99">
        <v>1.5</v>
      </c>
      <c r="BT59" s="99">
        <v>0</v>
      </c>
      <c r="BU59" s="99">
        <v>0</v>
      </c>
      <c r="BV59" s="99">
        <v>0</v>
      </c>
      <c r="BW59" s="99">
        <v>0</v>
      </c>
      <c r="BX59" s="99">
        <v>1</v>
      </c>
      <c r="BY59" s="99">
        <v>1</v>
      </c>
      <c r="BZ59" s="99">
        <v>0</v>
      </c>
      <c r="CA59" s="101">
        <f t="shared" si="7"/>
        <v>3.5</v>
      </c>
      <c r="CB59" s="99">
        <v>1.5</v>
      </c>
      <c r="CC59" s="99"/>
      <c r="CD59" s="99"/>
      <c r="CE59" s="99">
        <f>Table_14345[[#This Row],[AJUSTADO
32]]-Table_14345[[#This Row],[DIFERENCIA
32]]</f>
        <v>0</v>
      </c>
      <c r="CF59" s="102">
        <v>0.5</v>
      </c>
      <c r="CG59" s="102">
        <f>Table_14345[[#This Row],[PREAJUSTE
38]]+0.5</f>
        <v>1</v>
      </c>
      <c r="CH59" s="102"/>
      <c r="CI59" s="102">
        <f>Table_14345[[#This Row],[AJUSTADO
38]]-Table_14345[[#This Row],[DIFERENCIA
38]]</f>
        <v>1</v>
      </c>
    </row>
    <row r="60" spans="2:87" x14ac:dyDescent="0.3">
      <c r="B60" s="103">
        <f>Table_14345[[#This Row],[Resultado IIP
2019]]</f>
        <v>0</v>
      </c>
      <c r="C60" s="104">
        <f>Table_14345[[#This Row],[Resultado IIP
2021]]</f>
        <v>13.756</v>
      </c>
      <c r="D60" s="104">
        <f>Table_14345[[#This Row],[Resultado IIP
2023]]</f>
        <v>36.946666666666665</v>
      </c>
      <c r="E60" s="105"/>
      <c r="F60" s="223"/>
      <c r="G60" s="223">
        <f>Table_14345[[#This Row],[POSICIÓN
2021]]</f>
        <v>66</v>
      </c>
      <c r="H60" s="223">
        <f>Table_14345[[#This Row],[POSICIÓN
2023]]</f>
        <v>52</v>
      </c>
      <c r="I60" s="220"/>
      <c r="J60" s="106"/>
      <c r="K60" s="107"/>
      <c r="L60" s="107"/>
      <c r="M60" s="107"/>
      <c r="N60" s="201"/>
      <c r="O60" s="204">
        <v>66</v>
      </c>
      <c r="P60" s="108">
        <v>3.25</v>
      </c>
      <c r="Q60" s="109">
        <v>6</v>
      </c>
      <c r="R60" s="109">
        <v>0</v>
      </c>
      <c r="S60" s="109">
        <v>4.5060000000000002</v>
      </c>
      <c r="T60" s="110">
        <f>Table_14345[[#This Row],[COM 1 - 2021]]+Table_14345[[#This Row],[COM 2 - 2021]]+Table_14345[[#This Row],[COM 3 - 2021]]+Table_14345[[#This Row],[COM 4 - 2021]]</f>
        <v>13.756</v>
      </c>
      <c r="U60" s="91">
        <v>50</v>
      </c>
      <c r="V60" s="91">
        <v>50</v>
      </c>
      <c r="W60" s="111">
        <v>51</v>
      </c>
      <c r="X60" s="210">
        <v>52</v>
      </c>
      <c r="Y60" s="112">
        <f>Table_14345[[#This Row],[COM 1 - 2023]]+Table_14345[[#This Row],[COM 2 - 2023]]+Table_14345[[#This Row],[COM 3 - 2023]]+Table_14345[[#This Row],[COM 4 - 2023]]</f>
        <v>36.946666666666665</v>
      </c>
      <c r="Z60" s="113">
        <f>Table_14345[[#This Row],[COM 1 (sumatoria)]]</f>
        <v>13.246666666666666</v>
      </c>
      <c r="AA60" s="113">
        <f>Table_14345[[#This Row],[COM 2 (sumatoria)]]</f>
        <v>8.27</v>
      </c>
      <c r="AB60" s="113">
        <f>Table_14345[[#This Row],[COM 3 (sumatoria)]]</f>
        <v>10.029999999999999</v>
      </c>
      <c r="AC60" s="114">
        <f>Table_14345[[#This Row],[COM 4 (sumatoria)]]</f>
        <v>5.4</v>
      </c>
      <c r="AD60" s="115">
        <f>Table_14345[[#This Row],[Resultado IIP
2023]]-Table_14345[[#This Row],[Resultado IIP
2021]]</f>
        <v>23.190666666666665</v>
      </c>
      <c r="AE60" s="116">
        <f>Table_14345[[#This Row],[COM 1 - 2023]]*100/25</f>
        <v>52.986666666666657</v>
      </c>
      <c r="AF60" s="116">
        <f>Table_14345[[#This Row],[COM 2 - 2023]]*100/35</f>
        <v>23.62857142857143</v>
      </c>
      <c r="AG60" s="116">
        <f>Table_14345[[#This Row],[COM 3 - 2023]]*100/25</f>
        <v>40.119999999999997</v>
      </c>
      <c r="AH60" s="116">
        <f>Table_14345[[#This Row],[COM 4 - 2023]]*100/15</f>
        <v>36</v>
      </c>
      <c r="AI60" s="117" t="s">
        <v>167</v>
      </c>
      <c r="AJ60" s="118" t="s">
        <v>222</v>
      </c>
      <c r="AK60" s="99">
        <v>0</v>
      </c>
      <c r="AL60" s="99">
        <v>2.666666666666667</v>
      </c>
      <c r="AM60" s="99">
        <v>0</v>
      </c>
      <c r="AN60" s="99">
        <v>1.1000000000000001</v>
      </c>
      <c r="AO60" s="99">
        <v>0</v>
      </c>
      <c r="AP60" s="99">
        <v>2.95</v>
      </c>
      <c r="AQ60" s="99">
        <v>0</v>
      </c>
      <c r="AR60" s="99">
        <v>0</v>
      </c>
      <c r="AS60" s="99">
        <v>0</v>
      </c>
      <c r="AT60" s="99">
        <v>0</v>
      </c>
      <c r="AU60" s="99">
        <v>3.35</v>
      </c>
      <c r="AV60" s="99">
        <v>0</v>
      </c>
      <c r="AW60" s="99">
        <v>3.18</v>
      </c>
      <c r="AX60" s="100">
        <f t="shared" si="4"/>
        <v>13.246666666666666</v>
      </c>
      <c r="AY60" s="99">
        <v>0</v>
      </c>
      <c r="AZ60" s="99">
        <v>0.5</v>
      </c>
      <c r="BA60" s="99">
        <v>0</v>
      </c>
      <c r="BB60" s="99">
        <v>0</v>
      </c>
      <c r="BC60" s="99">
        <v>0.4</v>
      </c>
      <c r="BD60" s="99">
        <v>0</v>
      </c>
      <c r="BE60" s="99">
        <v>0</v>
      </c>
      <c r="BF60" s="99">
        <v>0.6</v>
      </c>
      <c r="BG60" s="99">
        <v>0.6</v>
      </c>
      <c r="BH60" s="99">
        <v>4.67</v>
      </c>
      <c r="BI60" s="99">
        <v>1.5</v>
      </c>
      <c r="BJ60" s="99">
        <v>0</v>
      </c>
      <c r="BK60" s="99">
        <v>0</v>
      </c>
      <c r="BL60" s="99">
        <v>0</v>
      </c>
      <c r="BM60" s="100">
        <f t="shared" si="5"/>
        <v>8.27</v>
      </c>
      <c r="BN60" s="99">
        <v>8.93</v>
      </c>
      <c r="BO60" s="99">
        <v>0</v>
      </c>
      <c r="BP60" s="99">
        <v>1.1000000000000001</v>
      </c>
      <c r="BQ60" s="100">
        <f t="shared" si="6"/>
        <v>10.029999999999999</v>
      </c>
      <c r="BR60" s="99">
        <v>0</v>
      </c>
      <c r="BS60" s="99">
        <v>1.5</v>
      </c>
      <c r="BT60" s="99">
        <v>0.95</v>
      </c>
      <c r="BU60" s="99">
        <v>0</v>
      </c>
      <c r="BV60" s="99">
        <v>0.95</v>
      </c>
      <c r="BW60" s="99">
        <v>0</v>
      </c>
      <c r="BX60" s="99">
        <v>1</v>
      </c>
      <c r="BY60" s="99">
        <v>1</v>
      </c>
      <c r="BZ60" s="99">
        <v>0</v>
      </c>
      <c r="CA60" s="101">
        <f t="shared" si="7"/>
        <v>5.4</v>
      </c>
      <c r="CB60" s="99">
        <v>1.5</v>
      </c>
      <c r="CC60" s="99"/>
      <c r="CD60" s="99"/>
      <c r="CE60" s="99">
        <f>Table_14345[[#This Row],[AJUSTADO
32]]-Table_14345[[#This Row],[DIFERENCIA
32]]</f>
        <v>0</v>
      </c>
      <c r="CF60" s="102">
        <v>0.5</v>
      </c>
      <c r="CG60" s="102">
        <f>Table_14345[[#This Row],[PREAJUSTE
38]]+0.5</f>
        <v>1</v>
      </c>
      <c r="CH60" s="102"/>
      <c r="CI60" s="102">
        <f>Table_14345[[#This Row],[AJUSTADO
38]]-Table_14345[[#This Row],[DIFERENCIA
38]]</f>
        <v>1</v>
      </c>
    </row>
    <row r="61" spans="2:87" x14ac:dyDescent="0.3">
      <c r="B61" s="103">
        <f>Table_14345[[#This Row],[Resultado IIP
2019]]</f>
        <v>0</v>
      </c>
      <c r="C61" s="104">
        <f>Table_14345[[#This Row],[Resultado IIP
2021]]</f>
        <v>36.353000000000002</v>
      </c>
      <c r="D61" s="104">
        <f>Table_14345[[#This Row],[Resultado IIP
2023]]</f>
        <v>31.116666666666667</v>
      </c>
      <c r="E61" s="105"/>
      <c r="F61" s="223"/>
      <c r="G61" s="223">
        <f>Table_14345[[#This Row],[POSICIÓN
2021]]</f>
        <v>44</v>
      </c>
      <c r="H61" s="223">
        <f>Table_14345[[#This Row],[POSICIÓN
2023]]</f>
        <v>53</v>
      </c>
      <c r="I61" s="220"/>
      <c r="J61" s="106"/>
      <c r="K61" s="107"/>
      <c r="L61" s="107"/>
      <c r="M61" s="107"/>
      <c r="N61" s="201"/>
      <c r="O61" s="204">
        <v>44</v>
      </c>
      <c r="P61" s="108">
        <v>8.3000000000000007</v>
      </c>
      <c r="Q61" s="109">
        <v>14.32</v>
      </c>
      <c r="R61" s="109">
        <v>9.6000000000000014</v>
      </c>
      <c r="S61" s="109">
        <v>4.133</v>
      </c>
      <c r="T61" s="110">
        <f>Table_14345[[#This Row],[COM 1 - 2021]]+Table_14345[[#This Row],[COM 2 - 2021]]+Table_14345[[#This Row],[COM 3 - 2021]]+Table_14345[[#This Row],[COM 4 - 2021]]</f>
        <v>36.353000000000002</v>
      </c>
      <c r="U61" s="111">
        <v>53</v>
      </c>
      <c r="V61" s="111">
        <v>53</v>
      </c>
      <c r="W61" s="111">
        <v>54</v>
      </c>
      <c r="X61" s="210">
        <v>53</v>
      </c>
      <c r="Y61" s="112">
        <f>Table_14345[[#This Row],[COM 1 - 2023]]+Table_14345[[#This Row],[COM 2 - 2023]]+Table_14345[[#This Row],[COM 3 - 2023]]+Table_14345[[#This Row],[COM 4 - 2023]]</f>
        <v>31.116666666666667</v>
      </c>
      <c r="Z61" s="113">
        <f>Table_14345[[#This Row],[COM 1 (sumatoria)]]</f>
        <v>6.4166666666666679</v>
      </c>
      <c r="AA61" s="113">
        <f>Table_14345[[#This Row],[COM 2 (sumatoria)]]</f>
        <v>10.899999999999999</v>
      </c>
      <c r="AB61" s="113">
        <f>Table_14345[[#This Row],[COM 3 (sumatoria)]]</f>
        <v>10.3</v>
      </c>
      <c r="AC61" s="114">
        <f>Table_14345[[#This Row],[COM 4 (sumatoria)]]</f>
        <v>3.5</v>
      </c>
      <c r="AD61" s="115">
        <f>Table_14345[[#This Row],[Resultado IIP
2023]]-Table_14345[[#This Row],[Resultado IIP
2021]]</f>
        <v>-5.2363333333333344</v>
      </c>
      <c r="AE61" s="116">
        <f>Table_14345[[#This Row],[COM 1 - 2023]]*100/25</f>
        <v>25.666666666666671</v>
      </c>
      <c r="AF61" s="116">
        <f>Table_14345[[#This Row],[COM 2 - 2023]]*100/35</f>
        <v>31.142857142857135</v>
      </c>
      <c r="AG61" s="116">
        <f>Table_14345[[#This Row],[COM 3 - 2023]]*100/25</f>
        <v>41.2</v>
      </c>
      <c r="AH61" s="116">
        <f>Table_14345[[#This Row],[COM 4 - 2023]]*100/15</f>
        <v>23.333333333333332</v>
      </c>
      <c r="AI61" s="117" t="s">
        <v>167</v>
      </c>
      <c r="AJ61" s="118" t="s">
        <v>223</v>
      </c>
      <c r="AK61" s="99">
        <v>0</v>
      </c>
      <c r="AL61" s="99">
        <v>2.666666666666667</v>
      </c>
      <c r="AM61" s="99">
        <v>0</v>
      </c>
      <c r="AN61" s="99">
        <v>0</v>
      </c>
      <c r="AO61" s="99">
        <v>0</v>
      </c>
      <c r="AP61" s="99">
        <v>0</v>
      </c>
      <c r="AQ61" s="99">
        <v>0</v>
      </c>
      <c r="AR61" s="99">
        <v>1.35</v>
      </c>
      <c r="AS61" s="99">
        <v>0</v>
      </c>
      <c r="AT61" s="99">
        <v>0</v>
      </c>
      <c r="AU61" s="99">
        <v>2.4</v>
      </c>
      <c r="AV61" s="99">
        <v>0</v>
      </c>
      <c r="AW61" s="99">
        <v>0</v>
      </c>
      <c r="AX61" s="100">
        <f t="shared" si="4"/>
        <v>6.4166666666666679</v>
      </c>
      <c r="AY61" s="99">
        <v>0</v>
      </c>
      <c r="AZ61" s="99">
        <v>0.30000000000000004</v>
      </c>
      <c r="BA61" s="99">
        <v>0.7</v>
      </c>
      <c r="BB61" s="99">
        <v>0.4</v>
      </c>
      <c r="BC61" s="99">
        <v>0.4</v>
      </c>
      <c r="BD61" s="99">
        <v>0.8</v>
      </c>
      <c r="BE61" s="99">
        <v>0.8</v>
      </c>
      <c r="BF61" s="99">
        <v>0.4</v>
      </c>
      <c r="BG61" s="99">
        <v>0.4</v>
      </c>
      <c r="BH61" s="99">
        <v>2.5</v>
      </c>
      <c r="BI61" s="99">
        <v>1.5</v>
      </c>
      <c r="BJ61" s="99">
        <v>1.6</v>
      </c>
      <c r="BK61" s="99">
        <v>0</v>
      </c>
      <c r="BL61" s="99">
        <v>1.1000000000000001</v>
      </c>
      <c r="BM61" s="100">
        <f t="shared" si="5"/>
        <v>10.899999999999999</v>
      </c>
      <c r="BN61" s="99">
        <v>6.9</v>
      </c>
      <c r="BO61" s="99">
        <v>1.1000000000000001</v>
      </c>
      <c r="BP61" s="99">
        <v>2.2999999999999998</v>
      </c>
      <c r="BQ61" s="100">
        <f t="shared" si="6"/>
        <v>10.3</v>
      </c>
      <c r="BR61" s="99">
        <v>0</v>
      </c>
      <c r="BS61" s="99">
        <v>1.5</v>
      </c>
      <c r="BT61" s="99">
        <v>0</v>
      </c>
      <c r="BU61" s="99">
        <v>0</v>
      </c>
      <c r="BV61" s="99">
        <v>0</v>
      </c>
      <c r="BW61" s="99">
        <v>0</v>
      </c>
      <c r="BX61" s="99">
        <v>1</v>
      </c>
      <c r="BY61" s="99">
        <v>1</v>
      </c>
      <c r="BZ61" s="99">
        <v>0</v>
      </c>
      <c r="CA61" s="101">
        <f t="shared" si="7"/>
        <v>3.5</v>
      </c>
      <c r="CB61" s="99">
        <v>1.5</v>
      </c>
      <c r="CC61" s="99"/>
      <c r="CD61" s="99"/>
      <c r="CE61" s="99">
        <f>Table_14345[[#This Row],[AJUSTADO
32]]-Table_14345[[#This Row],[DIFERENCIA
32]]</f>
        <v>0</v>
      </c>
      <c r="CF61" s="102">
        <v>0.5</v>
      </c>
      <c r="CG61" s="102">
        <f>Table_14345[[#This Row],[PREAJUSTE
38]]+0.5</f>
        <v>1</v>
      </c>
      <c r="CH61" s="102"/>
      <c r="CI61" s="102">
        <f>Table_14345[[#This Row],[AJUSTADO
38]]-Table_14345[[#This Row],[DIFERENCIA
38]]</f>
        <v>1</v>
      </c>
    </row>
    <row r="62" spans="2:87" x14ac:dyDescent="0.3">
      <c r="B62" s="103">
        <f>Table_14345[[#This Row],[Resultado IIP
2019]]</f>
        <v>0</v>
      </c>
      <c r="C62" s="104">
        <f>Table_14345[[#This Row],[Resultado IIP
2021]]</f>
        <v>10.579999999999998</v>
      </c>
      <c r="D62" s="104">
        <f>Table_14345[[#This Row],[Resultado IIP
2023]]</f>
        <v>31.06666666666667</v>
      </c>
      <c r="E62" s="105"/>
      <c r="F62" s="223"/>
      <c r="G62" s="223">
        <f>Table_14345[[#This Row],[POSICIÓN
2021]]</f>
        <v>67</v>
      </c>
      <c r="H62" s="223">
        <f>Table_14345[[#This Row],[POSICIÓN
2023]]</f>
        <v>54</v>
      </c>
      <c r="I62" s="219"/>
      <c r="J62" s="106"/>
      <c r="K62" s="107"/>
      <c r="L62" s="107"/>
      <c r="M62" s="107"/>
      <c r="N62" s="201"/>
      <c r="O62" s="203">
        <v>67</v>
      </c>
      <c r="P62" s="108">
        <v>0</v>
      </c>
      <c r="Q62" s="109">
        <v>5.2</v>
      </c>
      <c r="R62" s="109">
        <v>3.5</v>
      </c>
      <c r="S62" s="109">
        <v>1.88</v>
      </c>
      <c r="T62" s="110">
        <f>Table_14345[[#This Row],[COM 1 - 2021]]+Table_14345[[#This Row],[COM 2 - 2021]]+Table_14345[[#This Row],[COM 3 - 2021]]+Table_14345[[#This Row],[COM 4 - 2021]]</f>
        <v>10.579999999999998</v>
      </c>
      <c r="U62" s="111">
        <v>54</v>
      </c>
      <c r="V62" s="111">
        <v>54</v>
      </c>
      <c r="W62" s="91">
        <v>55</v>
      </c>
      <c r="X62" s="209">
        <v>54</v>
      </c>
      <c r="Y62" s="112">
        <f>Table_14345[[#This Row],[COM 1 - 2023]]+Table_14345[[#This Row],[COM 2 - 2023]]+Table_14345[[#This Row],[COM 3 - 2023]]+Table_14345[[#This Row],[COM 4 - 2023]]</f>
        <v>31.06666666666667</v>
      </c>
      <c r="Z62" s="113">
        <f>Table_14345[[#This Row],[COM 1 (sumatoria)]]</f>
        <v>5.7666666666666666</v>
      </c>
      <c r="AA62" s="113">
        <f>Table_14345[[#This Row],[COM 2 (sumatoria)]]</f>
        <v>11.500000000000002</v>
      </c>
      <c r="AB62" s="113">
        <f>Table_14345[[#This Row],[COM 3 (sumatoria)]]</f>
        <v>7.2999999999999989</v>
      </c>
      <c r="AC62" s="114">
        <f>Table_14345[[#This Row],[COM 4 (sumatoria)]]</f>
        <v>6.5</v>
      </c>
      <c r="AD62" s="115">
        <f>Table_14345[[#This Row],[Resultado IIP
2023]]-Table_14345[[#This Row],[Resultado IIP
2021]]</f>
        <v>20.486666666666672</v>
      </c>
      <c r="AE62" s="116">
        <f>Table_14345[[#This Row],[COM 1 - 2023]]*100/25</f>
        <v>23.066666666666666</v>
      </c>
      <c r="AF62" s="116">
        <f>Table_14345[[#This Row],[COM 2 - 2023]]*100/35</f>
        <v>32.857142857142861</v>
      </c>
      <c r="AG62" s="116">
        <f>Table_14345[[#This Row],[COM 3 - 2023]]*100/25</f>
        <v>29.199999999999996</v>
      </c>
      <c r="AH62" s="116">
        <f>Table_14345[[#This Row],[COM 4 - 2023]]*100/15</f>
        <v>43.333333333333336</v>
      </c>
      <c r="AI62" s="117" t="s">
        <v>167</v>
      </c>
      <c r="AJ62" s="118" t="s">
        <v>224</v>
      </c>
      <c r="AK62" s="99">
        <v>0</v>
      </c>
      <c r="AL62" s="99">
        <v>2.666666666666667</v>
      </c>
      <c r="AM62" s="99">
        <v>0</v>
      </c>
      <c r="AN62" s="99">
        <v>0</v>
      </c>
      <c r="AO62" s="99">
        <v>0</v>
      </c>
      <c r="AP62" s="99">
        <v>1.2999999999999998</v>
      </c>
      <c r="AQ62" s="99">
        <v>0</v>
      </c>
      <c r="AR62" s="99">
        <v>0</v>
      </c>
      <c r="AS62" s="99">
        <v>0</v>
      </c>
      <c r="AT62" s="99">
        <v>0</v>
      </c>
      <c r="AU62" s="99">
        <v>1.8</v>
      </c>
      <c r="AV62" s="99">
        <v>0</v>
      </c>
      <c r="AW62" s="99">
        <v>0</v>
      </c>
      <c r="AX62" s="100">
        <f t="shared" si="4"/>
        <v>5.7666666666666666</v>
      </c>
      <c r="AY62" s="99">
        <v>0</v>
      </c>
      <c r="AZ62" s="99">
        <v>0</v>
      </c>
      <c r="BA62" s="99">
        <v>1.7</v>
      </c>
      <c r="BB62" s="99">
        <v>0.5</v>
      </c>
      <c r="BC62" s="99">
        <v>0.4</v>
      </c>
      <c r="BD62" s="99">
        <v>0</v>
      </c>
      <c r="BE62" s="99">
        <v>1.8</v>
      </c>
      <c r="BF62" s="99">
        <v>0.4</v>
      </c>
      <c r="BG62" s="99">
        <v>0.4</v>
      </c>
      <c r="BH62" s="99">
        <v>4.5</v>
      </c>
      <c r="BI62" s="99">
        <v>1.5</v>
      </c>
      <c r="BJ62" s="99">
        <v>0</v>
      </c>
      <c r="BK62" s="99">
        <v>0.30000000000000004</v>
      </c>
      <c r="BL62" s="99">
        <v>0</v>
      </c>
      <c r="BM62" s="100">
        <f t="shared" si="5"/>
        <v>11.500000000000002</v>
      </c>
      <c r="BN62" s="99">
        <v>5.0999999999999996</v>
      </c>
      <c r="BO62" s="99">
        <v>1.1000000000000001</v>
      </c>
      <c r="BP62" s="99">
        <v>1.1000000000000001</v>
      </c>
      <c r="BQ62" s="100">
        <f t="shared" si="6"/>
        <v>7.2999999999999989</v>
      </c>
      <c r="BR62" s="99">
        <v>0</v>
      </c>
      <c r="BS62" s="99">
        <v>1.5</v>
      </c>
      <c r="BT62" s="99">
        <v>0</v>
      </c>
      <c r="BU62" s="99">
        <v>0</v>
      </c>
      <c r="BV62" s="99">
        <v>0</v>
      </c>
      <c r="BW62" s="99">
        <v>0</v>
      </c>
      <c r="BX62" s="99">
        <v>1</v>
      </c>
      <c r="BY62" s="99">
        <v>1</v>
      </c>
      <c r="BZ62" s="99">
        <v>3</v>
      </c>
      <c r="CA62" s="101">
        <f t="shared" si="7"/>
        <v>6.5</v>
      </c>
      <c r="CB62" s="99">
        <v>1.5</v>
      </c>
      <c r="CC62" s="99"/>
      <c r="CD62" s="99"/>
      <c r="CE62" s="99">
        <f>Table_14345[[#This Row],[AJUSTADO
32]]-Table_14345[[#This Row],[DIFERENCIA
32]]</f>
        <v>0</v>
      </c>
      <c r="CF62" s="102">
        <v>0.5</v>
      </c>
      <c r="CG62" s="102">
        <f>Table_14345[[#This Row],[PREAJUSTE
38]]+0.5</f>
        <v>1</v>
      </c>
      <c r="CH62" s="102"/>
      <c r="CI62" s="102">
        <f>Table_14345[[#This Row],[AJUSTADO
38]]-Table_14345[[#This Row],[DIFERENCIA
38]]</f>
        <v>1</v>
      </c>
    </row>
    <row r="63" spans="2:87" x14ac:dyDescent="0.3">
      <c r="B63" s="103">
        <f>Table_14345[[#This Row],[Resultado IIP
2019]]</f>
        <v>0</v>
      </c>
      <c r="C63" s="104">
        <f>Table_14345[[#This Row],[Resultado IIP
2021]]</f>
        <v>38.89</v>
      </c>
      <c r="D63" s="104">
        <f>Table_14345[[#This Row],[Resultado IIP
2023]]</f>
        <v>30.966666666666669</v>
      </c>
      <c r="E63" s="105"/>
      <c r="F63" s="223"/>
      <c r="G63" s="223">
        <f>Table_14345[[#This Row],[POSICIÓN
2021]]</f>
        <v>34</v>
      </c>
      <c r="H63" s="223">
        <f>Table_14345[[#This Row],[POSICIÓN
2023]]</f>
        <v>55</v>
      </c>
      <c r="I63" s="220"/>
      <c r="J63" s="106"/>
      <c r="K63" s="107"/>
      <c r="L63" s="107"/>
      <c r="M63" s="107"/>
      <c r="N63" s="201"/>
      <c r="O63" s="204">
        <v>34</v>
      </c>
      <c r="P63" s="108">
        <v>10.5</v>
      </c>
      <c r="Q63" s="109">
        <v>16.57</v>
      </c>
      <c r="R63" s="109">
        <v>7</v>
      </c>
      <c r="S63" s="109">
        <v>4.82</v>
      </c>
      <c r="T63" s="110">
        <f>Table_14345[[#This Row],[COM 1 - 2021]]+Table_14345[[#This Row],[COM 2 - 2021]]+Table_14345[[#This Row],[COM 3 - 2021]]+Table_14345[[#This Row],[COM 4 - 2021]]</f>
        <v>38.89</v>
      </c>
      <c r="U63" s="111">
        <v>55</v>
      </c>
      <c r="V63" s="111">
        <v>55</v>
      </c>
      <c r="W63" s="111">
        <v>56</v>
      </c>
      <c r="X63" s="210">
        <v>55</v>
      </c>
      <c r="Y63" s="112">
        <f>Table_14345[[#This Row],[COM 1 - 2023]]+Table_14345[[#This Row],[COM 2 - 2023]]+Table_14345[[#This Row],[COM 3 - 2023]]+Table_14345[[#This Row],[COM 4 - 2023]]</f>
        <v>30.966666666666669</v>
      </c>
      <c r="Z63" s="113">
        <f>Table_14345[[#This Row],[COM 1 (sumatoria)]]</f>
        <v>5.0666666666666664</v>
      </c>
      <c r="AA63" s="113">
        <f>Table_14345[[#This Row],[COM 2 (sumatoria)]]</f>
        <v>10.9</v>
      </c>
      <c r="AB63" s="113">
        <f>Table_14345[[#This Row],[COM 3 (sumatoria)]]</f>
        <v>7.7</v>
      </c>
      <c r="AC63" s="114">
        <f>Table_14345[[#This Row],[COM 4 (sumatoria)]]</f>
        <v>7.3</v>
      </c>
      <c r="AD63" s="115">
        <f>Table_14345[[#This Row],[Resultado IIP
2023]]-Table_14345[[#This Row],[Resultado IIP
2021]]</f>
        <v>-7.923333333333332</v>
      </c>
      <c r="AE63" s="116">
        <f>Table_14345[[#This Row],[COM 1 - 2023]]*100/25</f>
        <v>20.266666666666666</v>
      </c>
      <c r="AF63" s="116">
        <f>Table_14345[[#This Row],[COM 2 - 2023]]*100/35</f>
        <v>31.142857142857142</v>
      </c>
      <c r="AG63" s="116">
        <f>Table_14345[[#This Row],[COM 3 - 2023]]*100/25</f>
        <v>30.8</v>
      </c>
      <c r="AH63" s="116">
        <f>Table_14345[[#This Row],[COM 4 - 2023]]*100/15</f>
        <v>48.666666666666664</v>
      </c>
      <c r="AI63" s="117" t="s">
        <v>167</v>
      </c>
      <c r="AJ63" s="118" t="s">
        <v>225</v>
      </c>
      <c r="AK63" s="99">
        <v>0</v>
      </c>
      <c r="AL63" s="99">
        <v>2.666666666666667</v>
      </c>
      <c r="AM63" s="99">
        <v>0</v>
      </c>
      <c r="AN63" s="99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2.4</v>
      </c>
      <c r="AV63" s="99">
        <v>0</v>
      </c>
      <c r="AW63" s="99">
        <v>0</v>
      </c>
      <c r="AX63" s="100">
        <f t="shared" si="4"/>
        <v>5.0666666666666664</v>
      </c>
      <c r="AY63" s="99">
        <v>0</v>
      </c>
      <c r="AZ63" s="99">
        <v>0.4</v>
      </c>
      <c r="BA63" s="99">
        <v>1</v>
      </c>
      <c r="BB63" s="99">
        <v>0.4</v>
      </c>
      <c r="BC63" s="99">
        <v>0.4</v>
      </c>
      <c r="BD63" s="99">
        <v>1.1000000000000001</v>
      </c>
      <c r="BE63" s="99">
        <v>0.8</v>
      </c>
      <c r="BF63" s="99">
        <v>0.9</v>
      </c>
      <c r="BG63" s="99">
        <v>1</v>
      </c>
      <c r="BH63" s="99">
        <v>3.5</v>
      </c>
      <c r="BI63" s="99">
        <v>0.3</v>
      </c>
      <c r="BJ63" s="99">
        <v>0</v>
      </c>
      <c r="BK63" s="99">
        <v>0</v>
      </c>
      <c r="BL63" s="99">
        <v>1.1000000000000001</v>
      </c>
      <c r="BM63" s="100">
        <f t="shared" si="5"/>
        <v>10.9</v>
      </c>
      <c r="BN63" s="99">
        <v>7.7</v>
      </c>
      <c r="BO63" s="99">
        <v>0</v>
      </c>
      <c r="BP63" s="99">
        <v>0</v>
      </c>
      <c r="BQ63" s="100">
        <f t="shared" si="6"/>
        <v>7.7</v>
      </c>
      <c r="BR63" s="99">
        <v>0</v>
      </c>
      <c r="BS63" s="99">
        <v>1.5</v>
      </c>
      <c r="BT63" s="99">
        <v>0</v>
      </c>
      <c r="BU63" s="99">
        <v>1</v>
      </c>
      <c r="BV63" s="99">
        <v>0</v>
      </c>
      <c r="BW63" s="99">
        <v>1</v>
      </c>
      <c r="BX63" s="99">
        <v>1</v>
      </c>
      <c r="BY63" s="99">
        <v>1</v>
      </c>
      <c r="BZ63" s="99">
        <v>1.8</v>
      </c>
      <c r="CA63" s="101">
        <f t="shared" si="7"/>
        <v>7.3</v>
      </c>
      <c r="CB63" s="99">
        <v>1.5</v>
      </c>
      <c r="CC63" s="99"/>
      <c r="CD63" s="99"/>
      <c r="CE63" s="99">
        <f>Table_14345[[#This Row],[AJUSTADO
32]]-Table_14345[[#This Row],[DIFERENCIA
32]]</f>
        <v>0</v>
      </c>
      <c r="CF63" s="102">
        <v>0.5</v>
      </c>
      <c r="CG63" s="102">
        <f>Table_14345[[#This Row],[PREAJUSTE
38]]+0.5</f>
        <v>1</v>
      </c>
      <c r="CH63" s="102"/>
      <c r="CI63" s="102">
        <f>Table_14345[[#This Row],[AJUSTADO
38]]-Table_14345[[#This Row],[DIFERENCIA
38]]</f>
        <v>1</v>
      </c>
    </row>
    <row r="64" spans="2:87" x14ac:dyDescent="0.3">
      <c r="B64" s="103">
        <f>Table_14345[[#This Row],[Resultado IIP
2019]]</f>
        <v>20.14</v>
      </c>
      <c r="C64" s="104">
        <f>Table_14345[[#This Row],[Resultado IIP
2021]]</f>
        <v>35.118000000000002</v>
      </c>
      <c r="D64" s="104">
        <f>Table_14345[[#This Row],[Resultado IIP
2023]]</f>
        <v>28.983333333333338</v>
      </c>
      <c r="E64" s="105"/>
      <c r="F64" s="223">
        <f>Table_14345[[#This Row],[POSICIÓN
2019]]</f>
        <v>31</v>
      </c>
      <c r="G64" s="223">
        <f>Table_14345[[#This Row],[POSICIÓN
2021]]</f>
        <v>48</v>
      </c>
      <c r="H64" s="223">
        <f>Table_14345[[#This Row],[POSICIÓN
2023]]</f>
        <v>56</v>
      </c>
      <c r="I64" s="220">
        <v>31</v>
      </c>
      <c r="J64" s="106">
        <v>0</v>
      </c>
      <c r="K64" s="107">
        <v>13.84</v>
      </c>
      <c r="L64" s="107">
        <v>46.67</v>
      </c>
      <c r="M64" s="107">
        <v>29.41</v>
      </c>
      <c r="N64" s="201">
        <v>20.14</v>
      </c>
      <c r="O64" s="204">
        <v>48</v>
      </c>
      <c r="P64" s="108">
        <v>7.05</v>
      </c>
      <c r="Q64" s="109">
        <v>10.090000000000002</v>
      </c>
      <c r="R64" s="109">
        <v>12.2</v>
      </c>
      <c r="S64" s="109">
        <v>5.7780000000000005</v>
      </c>
      <c r="T64" s="110">
        <f>Table_14345[[#This Row],[COM 1 - 2021]]+Table_14345[[#This Row],[COM 2 - 2021]]+Table_14345[[#This Row],[COM 3 - 2021]]+Table_14345[[#This Row],[COM 4 - 2021]]</f>
        <v>35.118000000000002</v>
      </c>
      <c r="U64" s="91">
        <v>57</v>
      </c>
      <c r="V64" s="91">
        <v>57</v>
      </c>
      <c r="W64" s="111">
        <v>60</v>
      </c>
      <c r="X64" s="210">
        <v>56</v>
      </c>
      <c r="Y64" s="112">
        <f>Table_14345[[#This Row],[COM 1 - 2023]]+Table_14345[[#This Row],[COM 2 - 2023]]+Table_14345[[#This Row],[COM 3 - 2023]]+Table_14345[[#This Row],[COM 4 - 2023]]</f>
        <v>28.983333333333338</v>
      </c>
      <c r="Z64" s="113">
        <f>Table_14345[[#This Row],[COM 1 (sumatoria)]]</f>
        <v>7.45</v>
      </c>
      <c r="AA64" s="113">
        <f>Table_14345[[#This Row],[COM 2 (sumatoria)]]</f>
        <v>10.733333333333336</v>
      </c>
      <c r="AB64" s="113">
        <f>Table_14345[[#This Row],[COM 3 (sumatoria)]]</f>
        <v>7.5</v>
      </c>
      <c r="AC64" s="114">
        <f>Table_14345[[#This Row],[COM 4 (sumatoria)]]</f>
        <v>3.3</v>
      </c>
      <c r="AD64" s="115">
        <f>Table_14345[[#This Row],[Resultado IIP
2023]]-Table_14345[[#This Row],[Resultado IIP
2021]]</f>
        <v>-6.1346666666666643</v>
      </c>
      <c r="AE64" s="116">
        <f>Table_14345[[#This Row],[COM 1 - 2023]]*100/25</f>
        <v>29.8</v>
      </c>
      <c r="AF64" s="116">
        <f>Table_14345[[#This Row],[COM 2 - 2023]]*100/35</f>
        <v>30.666666666666679</v>
      </c>
      <c r="AG64" s="116">
        <f>Table_14345[[#This Row],[COM 3 - 2023]]*100/25</f>
        <v>30</v>
      </c>
      <c r="AH64" s="116">
        <f>Table_14345[[#This Row],[COM 4 - 2023]]*100/15</f>
        <v>22</v>
      </c>
      <c r="AI64" s="117" t="s">
        <v>167</v>
      </c>
      <c r="AJ64" s="118" t="s">
        <v>226</v>
      </c>
      <c r="AK64" s="99">
        <v>0</v>
      </c>
      <c r="AL64" s="99">
        <v>2</v>
      </c>
      <c r="AM64" s="99">
        <v>0</v>
      </c>
      <c r="AN64" s="99">
        <v>0</v>
      </c>
      <c r="AO64" s="99">
        <v>0</v>
      </c>
      <c r="AP64" s="99">
        <v>3.7</v>
      </c>
      <c r="AQ64" s="99">
        <v>0</v>
      </c>
      <c r="AR64" s="99">
        <v>0.75</v>
      </c>
      <c r="AS64" s="99">
        <v>0</v>
      </c>
      <c r="AT64" s="99">
        <v>0</v>
      </c>
      <c r="AU64" s="99">
        <v>1</v>
      </c>
      <c r="AV64" s="99">
        <v>0</v>
      </c>
      <c r="AW64" s="99">
        <v>0</v>
      </c>
      <c r="AX64" s="100">
        <f t="shared" si="4"/>
        <v>7.45</v>
      </c>
      <c r="AY64" s="99">
        <v>1.75</v>
      </c>
      <c r="AZ64" s="99">
        <v>0.7</v>
      </c>
      <c r="BA64" s="99">
        <v>0.95</v>
      </c>
      <c r="BB64" s="99">
        <v>0.7</v>
      </c>
      <c r="BC64" s="99">
        <v>0.7</v>
      </c>
      <c r="BD64" s="99">
        <v>0</v>
      </c>
      <c r="BE64" s="99">
        <v>0</v>
      </c>
      <c r="BF64" s="99">
        <v>0.4</v>
      </c>
      <c r="BG64" s="99">
        <v>0.4</v>
      </c>
      <c r="BH64" s="99">
        <v>3.5</v>
      </c>
      <c r="BI64" s="99">
        <v>0.3</v>
      </c>
      <c r="BJ64" s="99">
        <v>1.0000000000000002</v>
      </c>
      <c r="BK64" s="99">
        <v>0.33333333333333331</v>
      </c>
      <c r="BL64" s="99">
        <v>0</v>
      </c>
      <c r="BM64" s="100">
        <f t="shared" si="5"/>
        <v>10.733333333333336</v>
      </c>
      <c r="BN64" s="99">
        <v>6.4</v>
      </c>
      <c r="BO64" s="99">
        <v>1.1000000000000001</v>
      </c>
      <c r="BP64" s="99">
        <v>0</v>
      </c>
      <c r="BQ64" s="100">
        <f t="shared" si="6"/>
        <v>7.5</v>
      </c>
      <c r="BR64" s="99">
        <v>0</v>
      </c>
      <c r="BS64" s="99">
        <v>2.2999999999999998</v>
      </c>
      <c r="BT64" s="99">
        <v>0</v>
      </c>
      <c r="BU64" s="99">
        <v>0</v>
      </c>
      <c r="BV64" s="99">
        <v>0</v>
      </c>
      <c r="BW64" s="99">
        <v>0</v>
      </c>
      <c r="BX64" s="99">
        <v>0</v>
      </c>
      <c r="BY64" s="99">
        <v>1</v>
      </c>
      <c r="BZ64" s="99">
        <v>0</v>
      </c>
      <c r="CA64" s="101">
        <f t="shared" si="7"/>
        <v>3.3</v>
      </c>
      <c r="CB64" s="99">
        <v>1.8</v>
      </c>
      <c r="CC64" s="99">
        <f>Table_14345[[#This Row],[PREAJUSTE
32]]+0.5</f>
        <v>2.2999999999999998</v>
      </c>
      <c r="CD64" s="99"/>
      <c r="CE64" s="99">
        <f>Table_14345[[#This Row],[AJUSTADO
32]]-Table_14345[[#This Row],[DIFERENCIA
32]]</f>
        <v>2.2999999999999998</v>
      </c>
      <c r="CF64" s="102">
        <v>0.6</v>
      </c>
      <c r="CG64" s="102">
        <f>Table_14345[[#This Row],[PREAJUSTE
38]]+0.5</f>
        <v>1.1000000000000001</v>
      </c>
      <c r="CH64" s="102">
        <f>Table_14345[[#This Row],[AJUSTADO
38]]-1</f>
        <v>0.10000000000000009</v>
      </c>
      <c r="CI64" s="102">
        <f>Table_14345[[#This Row],[AJUSTADO
38]]-Table_14345[[#This Row],[DIFERENCIA
38]]</f>
        <v>1</v>
      </c>
    </row>
    <row r="65" spans="2:87" x14ac:dyDescent="0.3">
      <c r="B65" s="103">
        <f>Table_14345[[#This Row],[Resultado IIP
2019]]</f>
        <v>12.4</v>
      </c>
      <c r="C65" s="104">
        <f>Table_14345[[#This Row],[Resultado IIP
2021]]</f>
        <v>27.364000000000004</v>
      </c>
      <c r="D65" s="104">
        <f>Table_14345[[#This Row],[Resultado IIP
2023]]</f>
        <v>28.946666666666665</v>
      </c>
      <c r="E65" s="105"/>
      <c r="F65" s="223">
        <f>Table_14345[[#This Row],[POSICIÓN
2019]]</f>
        <v>35</v>
      </c>
      <c r="G65" s="223">
        <f>Table_14345[[#This Row],[POSICIÓN
2021]]</f>
        <v>59</v>
      </c>
      <c r="H65" s="223">
        <f>Table_14345[[#This Row],[POSICIÓN
2023]]</f>
        <v>57</v>
      </c>
      <c r="I65" s="219">
        <v>35</v>
      </c>
      <c r="J65" s="106">
        <v>20</v>
      </c>
      <c r="K65" s="107">
        <v>7.22</v>
      </c>
      <c r="L65" s="107">
        <v>0</v>
      </c>
      <c r="M65" s="107">
        <v>45.1</v>
      </c>
      <c r="N65" s="201">
        <v>12.4</v>
      </c>
      <c r="O65" s="203">
        <v>59</v>
      </c>
      <c r="P65" s="108">
        <v>5.6000000000000005</v>
      </c>
      <c r="Q65" s="109">
        <v>10.950000000000001</v>
      </c>
      <c r="R65" s="109">
        <v>6.4</v>
      </c>
      <c r="S65" s="109">
        <v>4.4140000000000006</v>
      </c>
      <c r="T65" s="110">
        <f>Table_14345[[#This Row],[COM 1 - 2021]]+Table_14345[[#This Row],[COM 2 - 2021]]+Table_14345[[#This Row],[COM 3 - 2021]]+Table_14345[[#This Row],[COM 4 - 2021]]</f>
        <v>27.364000000000004</v>
      </c>
      <c r="U65" s="111">
        <v>56</v>
      </c>
      <c r="V65" s="111">
        <v>56</v>
      </c>
      <c r="W65" s="123">
        <v>58</v>
      </c>
      <c r="X65" s="209">
        <v>57</v>
      </c>
      <c r="Y65" s="112">
        <f>Table_14345[[#This Row],[COM 1 - 2023]]+Table_14345[[#This Row],[COM 2 - 2023]]+Table_14345[[#This Row],[COM 3 - 2023]]+Table_14345[[#This Row],[COM 4 - 2023]]</f>
        <v>28.946666666666665</v>
      </c>
      <c r="Z65" s="113">
        <f>Table_14345[[#This Row],[COM 1 (sumatoria)]]</f>
        <v>5.0466666666666669</v>
      </c>
      <c r="AA65" s="113">
        <f>Table_14345[[#This Row],[COM 2 (sumatoria)]]</f>
        <v>10.400000000000002</v>
      </c>
      <c r="AB65" s="113">
        <f>Table_14345[[#This Row],[COM 3 (sumatoria)]]</f>
        <v>8.1</v>
      </c>
      <c r="AC65" s="114">
        <f>Table_14345[[#This Row],[COM 4 (sumatoria)]]</f>
        <v>5.4</v>
      </c>
      <c r="AD65" s="115">
        <f>Table_14345[[#This Row],[Resultado IIP
2023]]-Table_14345[[#This Row],[Resultado IIP
2021]]</f>
        <v>1.5826666666666611</v>
      </c>
      <c r="AE65" s="116">
        <f>Table_14345[[#This Row],[COM 1 - 2023]]*100/25</f>
        <v>20.186666666666667</v>
      </c>
      <c r="AF65" s="116">
        <f>Table_14345[[#This Row],[COM 2 - 2023]]*100/35</f>
        <v>29.714285714285722</v>
      </c>
      <c r="AG65" s="116">
        <f>Table_14345[[#This Row],[COM 3 - 2023]]*100/25</f>
        <v>32.4</v>
      </c>
      <c r="AH65" s="116">
        <f>Table_14345[[#This Row],[COM 4 - 2023]]*100/15</f>
        <v>36</v>
      </c>
      <c r="AI65" s="117" t="s">
        <v>167</v>
      </c>
      <c r="AJ65" s="118" t="s">
        <v>227</v>
      </c>
      <c r="AK65" s="99">
        <v>0</v>
      </c>
      <c r="AL65" s="99">
        <v>2.2666666666666666</v>
      </c>
      <c r="AM65" s="99">
        <v>0</v>
      </c>
      <c r="AN65" s="99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2.78</v>
      </c>
      <c r="AX65" s="100">
        <f t="shared" si="4"/>
        <v>5.0466666666666669</v>
      </c>
      <c r="AY65" s="99">
        <v>0.75</v>
      </c>
      <c r="AZ65" s="99">
        <v>0.30000000000000004</v>
      </c>
      <c r="BA65" s="99">
        <v>0.7</v>
      </c>
      <c r="BB65" s="99">
        <v>0.2</v>
      </c>
      <c r="BC65" s="99">
        <v>0.5</v>
      </c>
      <c r="BD65" s="99">
        <v>0.8</v>
      </c>
      <c r="BE65" s="99">
        <v>1.8</v>
      </c>
      <c r="BF65" s="99">
        <v>0.4</v>
      </c>
      <c r="BG65" s="99">
        <v>0.4</v>
      </c>
      <c r="BH65" s="99">
        <v>3.5</v>
      </c>
      <c r="BI65" s="99">
        <v>0.75</v>
      </c>
      <c r="BJ65" s="99">
        <v>0</v>
      </c>
      <c r="BK65" s="99">
        <v>0.3</v>
      </c>
      <c r="BL65" s="99">
        <v>0</v>
      </c>
      <c r="BM65" s="100">
        <f t="shared" si="5"/>
        <v>10.400000000000002</v>
      </c>
      <c r="BN65" s="99">
        <v>7.1</v>
      </c>
      <c r="BO65" s="99">
        <v>0.5</v>
      </c>
      <c r="BP65" s="99">
        <v>0.5</v>
      </c>
      <c r="BQ65" s="100">
        <f t="shared" si="6"/>
        <v>8.1</v>
      </c>
      <c r="BR65" s="99">
        <v>0</v>
      </c>
      <c r="BS65" s="99">
        <v>3</v>
      </c>
      <c r="BT65" s="99">
        <v>0</v>
      </c>
      <c r="BU65" s="99">
        <v>0</v>
      </c>
      <c r="BV65" s="99">
        <v>0</v>
      </c>
      <c r="BW65" s="99">
        <v>0</v>
      </c>
      <c r="BX65" s="99">
        <v>0</v>
      </c>
      <c r="BY65" s="99">
        <v>0</v>
      </c>
      <c r="BZ65" s="99">
        <v>2.4</v>
      </c>
      <c r="CA65" s="101">
        <f t="shared" si="7"/>
        <v>5.4</v>
      </c>
      <c r="CB65" s="99">
        <v>2.7</v>
      </c>
      <c r="CC65" s="99">
        <f>Table_14345[[#This Row],[PREAJUSTE
32]]+0.5</f>
        <v>3.2</v>
      </c>
      <c r="CD65" s="99">
        <f>Table_14345[[#This Row],[AJUSTADO
32]]-3</f>
        <v>0.20000000000000018</v>
      </c>
      <c r="CE65" s="99">
        <f>Table_14345[[#This Row],[AJUSTADO
32]]-Table_14345[[#This Row],[DIFERENCIA
32]]</f>
        <v>3</v>
      </c>
      <c r="CF65" s="102">
        <v>0</v>
      </c>
      <c r="CG65" s="102">
        <f>Table_14345[[#This Row],[PREAJUSTE
38]]+0.5</f>
        <v>0.5</v>
      </c>
      <c r="CH65" s="102"/>
      <c r="CI65" s="102">
        <f>Table_14345[[#This Row],[AJUSTADO
38]]-Table_14345[[#This Row],[DIFERENCIA
38]]</f>
        <v>0.5</v>
      </c>
    </row>
    <row r="66" spans="2:87" x14ac:dyDescent="0.3">
      <c r="B66" s="103">
        <f>Table_14345[[#This Row],[Resultado IIP
2019]]</f>
        <v>0</v>
      </c>
      <c r="C66" s="104">
        <f>Table_14345[[#This Row],[Resultado IIP
2021]]</f>
        <v>35.393000000000001</v>
      </c>
      <c r="D66" s="104">
        <f>Table_14345[[#This Row],[Resultado IIP
2023]]</f>
        <v>28.666666666666668</v>
      </c>
      <c r="E66" s="105"/>
      <c r="F66" s="223"/>
      <c r="G66" s="223">
        <f>Table_14345[[#This Row],[POSICIÓN
2021]]</f>
        <v>46</v>
      </c>
      <c r="H66" s="223">
        <f>Table_14345[[#This Row],[POSICIÓN
2023]]</f>
        <v>58</v>
      </c>
      <c r="I66" s="220"/>
      <c r="J66" s="106"/>
      <c r="K66" s="107"/>
      <c r="L66" s="107"/>
      <c r="M66" s="107"/>
      <c r="N66" s="201"/>
      <c r="O66" s="204">
        <v>46</v>
      </c>
      <c r="P66" s="108">
        <v>9.4499999999999993</v>
      </c>
      <c r="Q66" s="109">
        <v>14.340000000000002</v>
      </c>
      <c r="R66" s="109">
        <v>6.1000000000000005</v>
      </c>
      <c r="S66" s="109">
        <v>5.5030000000000001</v>
      </c>
      <c r="T66" s="110">
        <f>Table_14345[[#This Row],[COM 1 - 2021]]+Table_14345[[#This Row],[COM 2 - 2021]]+Table_14345[[#This Row],[COM 3 - 2021]]+Table_14345[[#This Row],[COM 4 - 2021]]</f>
        <v>35.393000000000001</v>
      </c>
      <c r="U66" s="111">
        <v>49</v>
      </c>
      <c r="V66" s="111">
        <v>49</v>
      </c>
      <c r="W66" s="111">
        <v>49</v>
      </c>
      <c r="X66" s="210">
        <v>58</v>
      </c>
      <c r="Y66" s="112">
        <f>Table_14345[[#This Row],[COM 1 - 2023]]+Table_14345[[#This Row],[COM 2 - 2023]]+Table_14345[[#This Row],[COM 3 - 2023]]+Table_14345[[#This Row],[COM 4 - 2023]]</f>
        <v>28.666666666666668</v>
      </c>
      <c r="Z66" s="113">
        <f>Table_14345[[#This Row],[COM 1 (sumatoria)]]</f>
        <v>2.666666666666667</v>
      </c>
      <c r="AA66" s="113">
        <f>Table_14345[[#This Row],[COM 2 (sumatoria)]]</f>
        <v>9.1000000000000014</v>
      </c>
      <c r="AB66" s="113">
        <f>Table_14345[[#This Row],[COM 3 (sumatoria)]]</f>
        <v>11.2</v>
      </c>
      <c r="AC66" s="114">
        <f>Table_14345[[#This Row],[COM 4 (sumatoria)]]</f>
        <v>5.7</v>
      </c>
      <c r="AD66" s="115">
        <f>Table_14345[[#This Row],[Resultado IIP
2023]]-Table_14345[[#This Row],[Resultado IIP
2021]]</f>
        <v>-6.7263333333333328</v>
      </c>
      <c r="AE66" s="116">
        <f>Table_14345[[#This Row],[COM 1 - 2023]]*100/25</f>
        <v>10.666666666666668</v>
      </c>
      <c r="AF66" s="116">
        <f>Table_14345[[#This Row],[COM 2 - 2023]]*100/35</f>
        <v>26.000000000000004</v>
      </c>
      <c r="AG66" s="116">
        <f>Table_14345[[#This Row],[COM 3 - 2023]]*100/25</f>
        <v>44.8</v>
      </c>
      <c r="AH66" s="116">
        <f>Table_14345[[#This Row],[COM 4 - 2023]]*100/15</f>
        <v>38</v>
      </c>
      <c r="AI66" s="117" t="s">
        <v>167</v>
      </c>
      <c r="AJ66" s="118" t="s">
        <v>228</v>
      </c>
      <c r="AK66" s="99">
        <v>0</v>
      </c>
      <c r="AL66" s="99">
        <v>2.666666666666667</v>
      </c>
      <c r="AM66" s="99">
        <v>0</v>
      </c>
      <c r="AN66" s="99">
        <v>0</v>
      </c>
      <c r="AO66" s="99">
        <v>0</v>
      </c>
      <c r="AP66" s="99">
        <v>0</v>
      </c>
      <c r="AQ66" s="99">
        <v>0</v>
      </c>
      <c r="AR66" s="99">
        <v>0</v>
      </c>
      <c r="AS66" s="99">
        <v>0</v>
      </c>
      <c r="AT66" s="99">
        <v>0</v>
      </c>
      <c r="AU66" s="99">
        <v>0</v>
      </c>
      <c r="AV66" s="99">
        <v>0</v>
      </c>
      <c r="AW66" s="99">
        <v>0</v>
      </c>
      <c r="AX66" s="100">
        <f t="shared" si="4"/>
        <v>2.666666666666667</v>
      </c>
      <c r="AY66" s="99">
        <v>0</v>
      </c>
      <c r="AZ66" s="99">
        <v>0.4</v>
      </c>
      <c r="BA66" s="99">
        <v>1</v>
      </c>
      <c r="BB66" s="99">
        <v>0.4</v>
      </c>
      <c r="BC66" s="99">
        <v>0.4</v>
      </c>
      <c r="BD66" s="99">
        <v>0.8</v>
      </c>
      <c r="BE66" s="99">
        <v>0.8</v>
      </c>
      <c r="BF66" s="99">
        <v>0.4</v>
      </c>
      <c r="BG66" s="99">
        <v>0.4</v>
      </c>
      <c r="BH66" s="99">
        <v>2.5</v>
      </c>
      <c r="BI66" s="99">
        <v>1</v>
      </c>
      <c r="BJ66" s="99">
        <v>0.5</v>
      </c>
      <c r="BK66" s="99">
        <v>0.5</v>
      </c>
      <c r="BL66" s="99">
        <v>0</v>
      </c>
      <c r="BM66" s="100">
        <f t="shared" si="5"/>
        <v>9.1000000000000014</v>
      </c>
      <c r="BN66" s="99">
        <v>6.7</v>
      </c>
      <c r="BO66" s="99">
        <v>2.2000000000000002</v>
      </c>
      <c r="BP66" s="99">
        <v>2.2999999999999998</v>
      </c>
      <c r="BQ66" s="100">
        <f t="shared" si="6"/>
        <v>11.2</v>
      </c>
      <c r="BR66" s="99">
        <v>0</v>
      </c>
      <c r="BS66" s="99">
        <v>1.5</v>
      </c>
      <c r="BT66" s="99">
        <v>0.3</v>
      </c>
      <c r="BU66" s="99">
        <v>0.3</v>
      </c>
      <c r="BV66" s="99">
        <v>0.3</v>
      </c>
      <c r="BW66" s="99">
        <v>0.3</v>
      </c>
      <c r="BX66" s="99">
        <v>0.8</v>
      </c>
      <c r="BY66" s="99">
        <v>1</v>
      </c>
      <c r="BZ66" s="99">
        <v>1.2</v>
      </c>
      <c r="CA66" s="101">
        <f t="shared" si="7"/>
        <v>5.7</v>
      </c>
      <c r="CB66" s="99">
        <v>1.5</v>
      </c>
      <c r="CC66" s="99"/>
      <c r="CD66" s="99"/>
      <c r="CE66" s="99">
        <f>Table_14345[[#This Row],[AJUSTADO
32]]-Table_14345[[#This Row],[DIFERENCIA
32]]</f>
        <v>0</v>
      </c>
      <c r="CF66" s="102">
        <v>0.5</v>
      </c>
      <c r="CG66" s="102">
        <f>Table_14345[[#This Row],[PREAJUSTE
38]]+0.5</f>
        <v>1</v>
      </c>
      <c r="CH66" s="102"/>
      <c r="CI66" s="102">
        <f>Table_14345[[#This Row],[AJUSTADO
38]]-Table_14345[[#This Row],[DIFERENCIA
38]]</f>
        <v>1</v>
      </c>
    </row>
    <row r="67" spans="2:87" x14ac:dyDescent="0.3">
      <c r="B67" s="103">
        <f>Table_14345[[#This Row],[Resultado IIP
2019]]</f>
        <v>0</v>
      </c>
      <c r="C67" s="104">
        <f>Table_14345[[#This Row],[Resultado IIP
2021]]</f>
        <v>31.573</v>
      </c>
      <c r="D67" s="104">
        <f>Table_14345[[#This Row],[Resultado IIP
2023]]</f>
        <v>24.736666666666668</v>
      </c>
      <c r="E67" s="105"/>
      <c r="F67" s="223"/>
      <c r="G67" s="223">
        <f>Table_14345[[#This Row],[POSICIÓN
2021]]</f>
        <v>55</v>
      </c>
      <c r="H67" s="223">
        <f>Table_14345[[#This Row],[POSICIÓN
2023]]</f>
        <v>59</v>
      </c>
      <c r="I67" s="220"/>
      <c r="J67" s="106"/>
      <c r="K67" s="107"/>
      <c r="L67" s="107"/>
      <c r="M67" s="107"/>
      <c r="N67" s="201"/>
      <c r="O67" s="204">
        <v>55</v>
      </c>
      <c r="P67" s="108">
        <v>10.600000000000001</v>
      </c>
      <c r="Q67" s="109">
        <v>11.249999999999998</v>
      </c>
      <c r="R67" s="109">
        <v>4.5</v>
      </c>
      <c r="S67" s="109">
        <v>5.222999999999999</v>
      </c>
      <c r="T67" s="110">
        <f>Table_14345[[#This Row],[COM 1 - 2021]]+Table_14345[[#This Row],[COM 2 - 2021]]+Table_14345[[#This Row],[COM 3 - 2021]]+Table_14345[[#This Row],[COM 4 - 2021]]</f>
        <v>31.573</v>
      </c>
      <c r="U67" s="111">
        <v>59</v>
      </c>
      <c r="V67" s="111">
        <v>59</v>
      </c>
      <c r="W67" s="124">
        <v>59</v>
      </c>
      <c r="X67" s="210">
        <v>59</v>
      </c>
      <c r="Y67" s="112">
        <f>Table_14345[[#This Row],[COM 1 - 2023]]+Table_14345[[#This Row],[COM 2 - 2023]]+Table_14345[[#This Row],[COM 3 - 2023]]+Table_14345[[#This Row],[COM 4 - 2023]]</f>
        <v>24.736666666666668</v>
      </c>
      <c r="Z67" s="113">
        <f>Table_14345[[#This Row],[COM 1 (sumatoria)]]</f>
        <v>2.666666666666667</v>
      </c>
      <c r="AA67" s="113">
        <f>Table_14345[[#This Row],[COM 2 (sumatoria)]]</f>
        <v>7.77</v>
      </c>
      <c r="AB67" s="113">
        <f>Table_14345[[#This Row],[COM 3 (sumatoria)]]</f>
        <v>11.2</v>
      </c>
      <c r="AC67" s="114">
        <f>Table_14345[[#This Row],[COM 4 (sumatoria)]]</f>
        <v>3.1</v>
      </c>
      <c r="AD67" s="115">
        <f>Table_14345[[#This Row],[Resultado IIP
2023]]-Table_14345[[#This Row],[Resultado IIP
2021]]</f>
        <v>-6.8363333333333323</v>
      </c>
      <c r="AE67" s="116">
        <f>Table_14345[[#This Row],[COM 1 - 2023]]*100/25</f>
        <v>10.666666666666668</v>
      </c>
      <c r="AF67" s="116">
        <f>Table_14345[[#This Row],[COM 2 - 2023]]*100/35</f>
        <v>22.2</v>
      </c>
      <c r="AG67" s="116">
        <f>Table_14345[[#This Row],[COM 3 - 2023]]*100/25</f>
        <v>44.8</v>
      </c>
      <c r="AH67" s="116">
        <f>Table_14345[[#This Row],[COM 4 - 2023]]*100/15</f>
        <v>20.666666666666668</v>
      </c>
      <c r="AI67" s="117" t="s">
        <v>167</v>
      </c>
      <c r="AJ67" s="118" t="s">
        <v>229</v>
      </c>
      <c r="AK67" s="99">
        <v>0</v>
      </c>
      <c r="AL67" s="99">
        <v>2.666666666666667</v>
      </c>
      <c r="AM67" s="99">
        <v>0</v>
      </c>
      <c r="AN67" s="99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100">
        <f t="shared" si="4"/>
        <v>2.666666666666667</v>
      </c>
      <c r="AY67" s="99">
        <v>0</v>
      </c>
      <c r="AZ67" s="99">
        <v>0.3</v>
      </c>
      <c r="BA67" s="99">
        <v>1.25</v>
      </c>
      <c r="BB67" s="99">
        <v>0.4</v>
      </c>
      <c r="BC67" s="99">
        <v>0</v>
      </c>
      <c r="BD67" s="99">
        <v>1.95</v>
      </c>
      <c r="BE67" s="99">
        <v>1.35</v>
      </c>
      <c r="BF67" s="99">
        <v>0.6</v>
      </c>
      <c r="BG67" s="99">
        <v>0.2</v>
      </c>
      <c r="BH67" s="99">
        <v>0</v>
      </c>
      <c r="BI67" s="99">
        <v>0</v>
      </c>
      <c r="BJ67" s="99">
        <v>1.3</v>
      </c>
      <c r="BK67" s="99">
        <v>0.42</v>
      </c>
      <c r="BL67" s="99">
        <v>0</v>
      </c>
      <c r="BM67" s="100">
        <f t="shared" si="5"/>
        <v>7.77</v>
      </c>
      <c r="BN67" s="99">
        <v>9</v>
      </c>
      <c r="BO67" s="99">
        <v>1.1000000000000001</v>
      </c>
      <c r="BP67" s="99">
        <v>1.1000000000000001</v>
      </c>
      <c r="BQ67" s="100">
        <f t="shared" si="6"/>
        <v>11.2</v>
      </c>
      <c r="BR67" s="99">
        <v>0</v>
      </c>
      <c r="BS67" s="99">
        <v>1.5</v>
      </c>
      <c r="BT67" s="99">
        <v>0</v>
      </c>
      <c r="BU67" s="99">
        <v>0</v>
      </c>
      <c r="BV67" s="99">
        <v>0</v>
      </c>
      <c r="BW67" s="99">
        <v>0</v>
      </c>
      <c r="BX67" s="99">
        <v>0.6</v>
      </c>
      <c r="BY67" s="99">
        <v>1</v>
      </c>
      <c r="BZ67" s="99">
        <v>0</v>
      </c>
      <c r="CA67" s="101">
        <f t="shared" si="7"/>
        <v>3.1</v>
      </c>
      <c r="CB67" s="99">
        <v>1.5</v>
      </c>
      <c r="CC67" s="99"/>
      <c r="CD67" s="99"/>
      <c r="CE67" s="99">
        <f>Table_14345[[#This Row],[AJUSTADO
32]]-Table_14345[[#This Row],[DIFERENCIA
32]]</f>
        <v>0</v>
      </c>
      <c r="CF67" s="102">
        <v>0.5</v>
      </c>
      <c r="CG67" s="102">
        <f>Table_14345[[#This Row],[PREAJUSTE
38]]+0.5</f>
        <v>1</v>
      </c>
      <c r="CH67" s="102"/>
      <c r="CI67" s="102">
        <f>Table_14345[[#This Row],[AJUSTADO
38]]-Table_14345[[#This Row],[DIFERENCIA
38]]</f>
        <v>1</v>
      </c>
    </row>
    <row r="68" spans="2:87" x14ac:dyDescent="0.3">
      <c r="B68" s="103">
        <f>Table_14345[[#This Row],[Resultado IIP
2019]]</f>
        <v>0</v>
      </c>
      <c r="C68" s="104">
        <f>Table_14345[[#This Row],[Resultado IIP
2021]]</f>
        <v>4.4000000000000004</v>
      </c>
      <c r="D68" s="104">
        <f>Table_14345[[#This Row],[Resultado IIP
2023]]</f>
        <v>23.916666666666668</v>
      </c>
      <c r="E68" s="105"/>
      <c r="F68" s="223"/>
      <c r="G68" s="223">
        <f>Table_14345[[#This Row],[POSICIÓN
2021]]</f>
        <v>68</v>
      </c>
      <c r="H68" s="223">
        <f>Table_14345[[#This Row],[POSICIÓN
2023]]</f>
        <v>60</v>
      </c>
      <c r="I68" s="219"/>
      <c r="J68" s="106"/>
      <c r="K68" s="107"/>
      <c r="L68" s="107"/>
      <c r="M68" s="107"/>
      <c r="N68" s="201"/>
      <c r="O68" s="203">
        <v>68</v>
      </c>
      <c r="P68" s="108">
        <v>4</v>
      </c>
      <c r="Q68" s="109">
        <v>0.4</v>
      </c>
      <c r="R68" s="109">
        <v>0</v>
      </c>
      <c r="S68" s="109">
        <v>0</v>
      </c>
      <c r="T68" s="110">
        <f>Table_14345[[#This Row],[COM 1 - 2021]]+Table_14345[[#This Row],[COM 2 - 2021]]+Table_14345[[#This Row],[COM 3 - 2021]]+Table_14345[[#This Row],[COM 4 - 2021]]</f>
        <v>4.4000000000000004</v>
      </c>
      <c r="U68" s="91">
        <v>58</v>
      </c>
      <c r="V68" s="91">
        <v>58</v>
      </c>
      <c r="W68" s="91">
        <v>57</v>
      </c>
      <c r="X68" s="209">
        <v>60</v>
      </c>
      <c r="Y68" s="112">
        <f>Table_14345[[#This Row],[COM 1 - 2023]]+Table_14345[[#This Row],[COM 2 - 2023]]+Table_14345[[#This Row],[COM 3 - 2023]]+Table_14345[[#This Row],[COM 4 - 2023]]</f>
        <v>23.916666666666668</v>
      </c>
      <c r="Z68" s="113">
        <f>Table_14345[[#This Row],[COM 1 (sumatoria)]]</f>
        <v>11.216666666666667</v>
      </c>
      <c r="AA68" s="113">
        <f>Table_14345[[#This Row],[COM 2 (sumatoria)]]</f>
        <v>9</v>
      </c>
      <c r="AB68" s="113">
        <f>Table_14345[[#This Row],[COM 3 (sumatoria)]]</f>
        <v>2.2000000000000002</v>
      </c>
      <c r="AC68" s="114">
        <f>Table_14345[[#This Row],[COM 4 (sumatoria)]]</f>
        <v>1.5</v>
      </c>
      <c r="AD68" s="115">
        <f>Table_14345[[#This Row],[Resultado IIP
2023]]-Table_14345[[#This Row],[Resultado IIP
2021]]</f>
        <v>19.516666666666666</v>
      </c>
      <c r="AE68" s="116">
        <f>Table_14345[[#This Row],[COM 1 - 2023]]*100/25</f>
        <v>44.866666666666667</v>
      </c>
      <c r="AF68" s="116">
        <f>Table_14345[[#This Row],[COM 2 - 2023]]*100/35</f>
        <v>25.714285714285715</v>
      </c>
      <c r="AG68" s="116">
        <f>Table_14345[[#This Row],[COM 3 - 2023]]*100/25</f>
        <v>8.8000000000000007</v>
      </c>
      <c r="AH68" s="116">
        <f>Table_14345[[#This Row],[COM 4 - 2023]]*100/15</f>
        <v>10</v>
      </c>
      <c r="AI68" s="117" t="s">
        <v>167</v>
      </c>
      <c r="AJ68" s="118" t="s">
        <v>230</v>
      </c>
      <c r="AK68" s="99">
        <v>0</v>
      </c>
      <c r="AL68" s="99">
        <v>2.666666666666667</v>
      </c>
      <c r="AM68" s="99">
        <v>0</v>
      </c>
      <c r="AN68" s="99">
        <v>0</v>
      </c>
      <c r="AO68" s="99">
        <v>0</v>
      </c>
      <c r="AP68" s="99">
        <v>1.9</v>
      </c>
      <c r="AQ68" s="99">
        <v>0</v>
      </c>
      <c r="AR68" s="99">
        <v>1.95</v>
      </c>
      <c r="AS68" s="99">
        <v>0</v>
      </c>
      <c r="AT68" s="99">
        <v>0</v>
      </c>
      <c r="AU68" s="99">
        <v>4.7</v>
      </c>
      <c r="AV68" s="99">
        <v>0</v>
      </c>
      <c r="AW68" s="99">
        <v>0</v>
      </c>
      <c r="AX68" s="100">
        <f t="shared" si="4"/>
        <v>11.216666666666667</v>
      </c>
      <c r="AY68" s="99">
        <v>0.65</v>
      </c>
      <c r="AZ68" s="99">
        <v>0.4</v>
      </c>
      <c r="BA68" s="99">
        <v>1.1499999999999999</v>
      </c>
      <c r="BB68" s="99">
        <v>0.8</v>
      </c>
      <c r="BC68" s="99">
        <v>0.8</v>
      </c>
      <c r="BD68" s="99">
        <v>0</v>
      </c>
      <c r="BE68" s="99">
        <v>1.3</v>
      </c>
      <c r="BF68" s="99">
        <v>0.5</v>
      </c>
      <c r="BG68" s="99">
        <v>0.6</v>
      </c>
      <c r="BH68" s="99">
        <v>0</v>
      </c>
      <c r="BI68" s="99">
        <v>1.7</v>
      </c>
      <c r="BJ68" s="99">
        <v>1.1000000000000001</v>
      </c>
      <c r="BK68" s="99">
        <v>0</v>
      </c>
      <c r="BL68" s="99">
        <v>0</v>
      </c>
      <c r="BM68" s="100">
        <f t="shared" si="5"/>
        <v>9</v>
      </c>
      <c r="BN68" s="99">
        <v>0</v>
      </c>
      <c r="BO68" s="99">
        <v>1.1000000000000001</v>
      </c>
      <c r="BP68" s="99">
        <v>1.1000000000000001</v>
      </c>
      <c r="BQ68" s="100">
        <f t="shared" si="6"/>
        <v>2.2000000000000002</v>
      </c>
      <c r="BR68" s="99">
        <v>0</v>
      </c>
      <c r="BS68" s="99">
        <v>1.5</v>
      </c>
      <c r="BT68" s="99">
        <v>0</v>
      </c>
      <c r="BU68" s="99">
        <v>0</v>
      </c>
      <c r="BV68" s="99">
        <v>0</v>
      </c>
      <c r="BW68" s="99">
        <v>0</v>
      </c>
      <c r="BX68" s="99">
        <v>0</v>
      </c>
      <c r="BY68" s="99">
        <v>0</v>
      </c>
      <c r="BZ68" s="99">
        <v>0</v>
      </c>
      <c r="CA68" s="101">
        <f t="shared" si="7"/>
        <v>1.5</v>
      </c>
      <c r="CB68" s="99">
        <v>1.5</v>
      </c>
      <c r="CC68" s="99"/>
      <c r="CD68" s="99"/>
      <c r="CE68" s="99">
        <f>Table_14345[[#This Row],[AJUSTADO
32]]-Table_14345[[#This Row],[DIFERENCIA
32]]</f>
        <v>0</v>
      </c>
      <c r="CF68" s="102">
        <v>0.5</v>
      </c>
      <c r="CG68" s="102">
        <f>Table_14345[[#This Row],[PREAJUSTE
38]]+0.5</f>
        <v>1</v>
      </c>
      <c r="CH68" s="102"/>
      <c r="CI68" s="102">
        <f>Table_14345[[#This Row],[AJUSTADO
38]]-Table_14345[[#This Row],[DIFERENCIA
38]]</f>
        <v>1</v>
      </c>
    </row>
    <row r="69" spans="2:87" x14ac:dyDescent="0.3">
      <c r="B69" s="103">
        <f>Table_14345[[#This Row],[Resultado IIP
2019]]</f>
        <v>39.97</v>
      </c>
      <c r="C69" s="104">
        <f>Table_14345[[#This Row],[Resultado IIP
2021]]</f>
        <v>48.11999999999999</v>
      </c>
      <c r="D69" s="104">
        <f>Table_14345[[#This Row],[Resultado IIP
2023]]</f>
        <v>23.166666666666668</v>
      </c>
      <c r="E69" s="105"/>
      <c r="F69" s="223">
        <f>Table_14345[[#This Row],[POSICIÓN
2019]]</f>
        <v>19</v>
      </c>
      <c r="G69" s="223">
        <f>Table_14345[[#This Row],[POSICIÓN
2021]]</f>
        <v>20</v>
      </c>
      <c r="H69" s="223">
        <f>Table_14345[[#This Row],[POSICIÓN
2023]]</f>
        <v>61</v>
      </c>
      <c r="I69" s="220">
        <v>19</v>
      </c>
      <c r="J69" s="106">
        <v>39.79</v>
      </c>
      <c r="K69" s="107">
        <v>33.380000000000003</v>
      </c>
      <c r="L69" s="107">
        <v>66.67</v>
      </c>
      <c r="M69" s="107">
        <v>0</v>
      </c>
      <c r="N69" s="201">
        <v>39.97</v>
      </c>
      <c r="O69" s="204">
        <v>20</v>
      </c>
      <c r="P69" s="108">
        <v>11.95</v>
      </c>
      <c r="Q69" s="109">
        <v>16.599999999999998</v>
      </c>
      <c r="R69" s="109">
        <v>15.049999999999999</v>
      </c>
      <c r="S69" s="109">
        <v>4.5199999999999996</v>
      </c>
      <c r="T69" s="110">
        <f>Table_14345[[#This Row],[COM 1 - 2021]]+Table_14345[[#This Row],[COM 2 - 2021]]+Table_14345[[#This Row],[COM 3 - 2021]]+Table_14345[[#This Row],[COM 4 - 2021]]</f>
        <v>48.11999999999999</v>
      </c>
      <c r="U69" s="111">
        <v>60</v>
      </c>
      <c r="V69" s="111">
        <v>60</v>
      </c>
      <c r="W69" s="111">
        <v>62</v>
      </c>
      <c r="X69" s="210">
        <v>61</v>
      </c>
      <c r="Y69" s="112">
        <f>Table_14345[[#This Row],[COM 1 - 2023]]+Table_14345[[#This Row],[COM 2 - 2023]]+Table_14345[[#This Row],[COM 3 - 2023]]+Table_14345[[#This Row],[COM 4 - 2023]]</f>
        <v>23.166666666666668</v>
      </c>
      <c r="Z69" s="113">
        <f>Table_14345[[#This Row],[COM 1 (sumatoria)]]</f>
        <v>10.100000000000001</v>
      </c>
      <c r="AA69" s="113">
        <f>Table_14345[[#This Row],[COM 2 (sumatoria)]]</f>
        <v>4.0666666666666664</v>
      </c>
      <c r="AB69" s="113">
        <f>Table_14345[[#This Row],[COM 3 (sumatoria)]]</f>
        <v>2.2000000000000002</v>
      </c>
      <c r="AC69" s="114">
        <f>Table_14345[[#This Row],[COM 4 (sumatoria)]]</f>
        <v>6.8</v>
      </c>
      <c r="AD69" s="115">
        <f>Table_14345[[#This Row],[Resultado IIP
2023]]-Table_14345[[#This Row],[Resultado IIP
2021]]</f>
        <v>-24.953333333333322</v>
      </c>
      <c r="AE69" s="116">
        <f>Table_14345[[#This Row],[COM 1 - 2023]]*100/25</f>
        <v>40.400000000000006</v>
      </c>
      <c r="AF69" s="116">
        <f>Table_14345[[#This Row],[COM 2 - 2023]]*100/35</f>
        <v>11.619047619047619</v>
      </c>
      <c r="AG69" s="116">
        <f>Table_14345[[#This Row],[COM 3 - 2023]]*100/25</f>
        <v>8.8000000000000007</v>
      </c>
      <c r="AH69" s="116">
        <f>Table_14345[[#This Row],[COM 4 - 2023]]*100/15</f>
        <v>45.333333333333336</v>
      </c>
      <c r="AI69" s="117" t="s">
        <v>167</v>
      </c>
      <c r="AJ69" s="118" t="s">
        <v>231</v>
      </c>
      <c r="AK69" s="99">
        <v>0</v>
      </c>
      <c r="AL69" s="99">
        <v>2.8</v>
      </c>
      <c r="AM69" s="99">
        <v>0</v>
      </c>
      <c r="AN69" s="99">
        <v>0</v>
      </c>
      <c r="AO69" s="99">
        <v>0</v>
      </c>
      <c r="AP69" s="99">
        <v>0</v>
      </c>
      <c r="AQ69" s="99">
        <v>0</v>
      </c>
      <c r="AR69" s="99">
        <v>1.35</v>
      </c>
      <c r="AS69" s="99">
        <v>0</v>
      </c>
      <c r="AT69" s="99">
        <v>0</v>
      </c>
      <c r="AU69" s="99">
        <v>3.4</v>
      </c>
      <c r="AV69" s="99">
        <v>0</v>
      </c>
      <c r="AW69" s="99">
        <v>2.5499999999999998</v>
      </c>
      <c r="AX69" s="100">
        <f t="shared" si="4"/>
        <v>10.100000000000001</v>
      </c>
      <c r="AY69" s="99">
        <v>0</v>
      </c>
      <c r="AZ69" s="99">
        <v>0</v>
      </c>
      <c r="BA69" s="99">
        <v>0</v>
      </c>
      <c r="BB69" s="99">
        <v>0</v>
      </c>
      <c r="BC69" s="99">
        <v>0.4</v>
      </c>
      <c r="BD69" s="99">
        <v>0</v>
      </c>
      <c r="BE69" s="99">
        <v>0</v>
      </c>
      <c r="BF69" s="99">
        <v>0</v>
      </c>
      <c r="BG69" s="99">
        <v>0.4</v>
      </c>
      <c r="BH69" s="99">
        <v>0</v>
      </c>
      <c r="BI69" s="99">
        <v>0.3</v>
      </c>
      <c r="BJ69" s="99">
        <v>1.2999999999999998</v>
      </c>
      <c r="BK69" s="99">
        <v>0.56666666666666665</v>
      </c>
      <c r="BL69" s="99">
        <v>1.1000000000000001</v>
      </c>
      <c r="BM69" s="100">
        <f t="shared" si="5"/>
        <v>4.0666666666666664</v>
      </c>
      <c r="BN69" s="99">
        <v>0</v>
      </c>
      <c r="BO69" s="99">
        <v>1.1000000000000001</v>
      </c>
      <c r="BP69" s="99">
        <v>1.1000000000000001</v>
      </c>
      <c r="BQ69" s="100">
        <f t="shared" si="6"/>
        <v>2.2000000000000002</v>
      </c>
      <c r="BR69" s="99">
        <f>[6]Matriz!$M$99</f>
        <v>0</v>
      </c>
      <c r="BS69" s="99">
        <v>2.2999999999999998</v>
      </c>
      <c r="BT69" s="99">
        <v>0</v>
      </c>
      <c r="BU69" s="99">
        <v>0</v>
      </c>
      <c r="BV69" s="99">
        <v>0</v>
      </c>
      <c r="BW69" s="99">
        <v>0</v>
      </c>
      <c r="BX69" s="99">
        <v>0.5</v>
      </c>
      <c r="BY69" s="99">
        <v>1</v>
      </c>
      <c r="BZ69" s="99">
        <f>[6]Matriz!$M$111</f>
        <v>3</v>
      </c>
      <c r="CA69" s="101">
        <f t="shared" si="7"/>
        <v>6.8</v>
      </c>
      <c r="CB69" s="99">
        <v>1.7999999999999998</v>
      </c>
      <c r="CC69" s="99">
        <f>Table_14345[[#This Row],[PREAJUSTE
32]]+0.5</f>
        <v>2.2999999999999998</v>
      </c>
      <c r="CD69" s="99"/>
      <c r="CE69" s="99">
        <f>Table_14345[[#This Row],[AJUSTADO
32]]-Table_14345[[#This Row],[DIFERENCIA
32]]</f>
        <v>2.2999999999999998</v>
      </c>
      <c r="CF69" s="102">
        <v>0.6</v>
      </c>
      <c r="CG69" s="102">
        <f>Table_14345[[#This Row],[PREAJUSTE
38]]+0.5</f>
        <v>1.1000000000000001</v>
      </c>
      <c r="CH69" s="102">
        <f>Table_14345[[#This Row],[AJUSTADO
38]]-1</f>
        <v>0.10000000000000009</v>
      </c>
      <c r="CI69" s="102">
        <f>Table_14345[[#This Row],[AJUSTADO
38]]-Table_14345[[#This Row],[DIFERENCIA
38]]</f>
        <v>1</v>
      </c>
    </row>
    <row r="70" spans="2:87" x14ac:dyDescent="0.3">
      <c r="B70" s="103">
        <f>Table_14345[[#This Row],[Resultado IIP
2019]]</f>
        <v>0</v>
      </c>
      <c r="C70" s="104">
        <f>Table_14345[[#This Row],[Resultado IIP
2021]]</f>
        <v>35.299999999999997</v>
      </c>
      <c r="D70" s="104">
        <f>Table_14345[[#This Row],[Resultado IIP
2023]]</f>
        <v>21.566666666666666</v>
      </c>
      <c r="E70" s="105"/>
      <c r="F70" s="223"/>
      <c r="G70" s="223">
        <f>Table_14345[[#This Row],[POSICIÓN
2021]]</f>
        <v>47</v>
      </c>
      <c r="H70" s="223">
        <f>Table_14345[[#This Row],[POSICIÓN
2023]]</f>
        <v>62</v>
      </c>
      <c r="I70" s="220"/>
      <c r="J70" s="106"/>
      <c r="K70" s="107"/>
      <c r="L70" s="107"/>
      <c r="M70" s="107"/>
      <c r="N70" s="201"/>
      <c r="O70" s="204">
        <v>47</v>
      </c>
      <c r="P70" s="108">
        <v>11.719999999999999</v>
      </c>
      <c r="Q70" s="109">
        <v>12.639999999999999</v>
      </c>
      <c r="R70" s="109">
        <v>6.5500000000000007</v>
      </c>
      <c r="S70" s="109">
        <v>4.3900000000000006</v>
      </c>
      <c r="T70" s="110">
        <f>Table_14345[[#This Row],[COM 1 - 2021]]+Table_14345[[#This Row],[COM 2 - 2021]]+Table_14345[[#This Row],[COM 3 - 2021]]+Table_14345[[#This Row],[COM 4 - 2021]]</f>
        <v>35.299999999999997</v>
      </c>
      <c r="U70" s="111">
        <v>61</v>
      </c>
      <c r="V70" s="111">
        <v>62</v>
      </c>
      <c r="W70" s="111">
        <v>63</v>
      </c>
      <c r="X70" s="210">
        <v>62</v>
      </c>
      <c r="Y70" s="112">
        <f>Table_14345[[#This Row],[COM 1 - 2023]]+Table_14345[[#This Row],[COM 2 - 2023]]+Table_14345[[#This Row],[COM 3 - 2023]]+Table_14345[[#This Row],[COM 4 - 2023]]</f>
        <v>21.566666666666666</v>
      </c>
      <c r="Z70" s="113">
        <f>Table_14345[[#This Row],[COM 1 (sumatoria)]]</f>
        <v>5.9466666666666672</v>
      </c>
      <c r="AA70" s="113">
        <f>Table_14345[[#This Row],[COM 2 (sumatoria)]]</f>
        <v>8.92</v>
      </c>
      <c r="AB70" s="113">
        <f>Table_14345[[#This Row],[COM 3 (sumatoria)]]</f>
        <v>2.2000000000000002</v>
      </c>
      <c r="AC70" s="114">
        <f>Table_14345[[#This Row],[COM 4 (sumatoria)]]</f>
        <v>4.5</v>
      </c>
      <c r="AD70" s="115">
        <f>Table_14345[[#This Row],[Resultado IIP
2023]]-Table_14345[[#This Row],[Resultado IIP
2021]]</f>
        <v>-13.733333333333331</v>
      </c>
      <c r="AE70" s="116">
        <f>Table_14345[[#This Row],[COM 1 - 2023]]*100/25</f>
        <v>23.786666666666669</v>
      </c>
      <c r="AF70" s="116">
        <f>Table_14345[[#This Row],[COM 2 - 2023]]*100/35</f>
        <v>25.485714285714284</v>
      </c>
      <c r="AG70" s="116">
        <f>Table_14345[[#This Row],[COM 3 - 2023]]*100/25</f>
        <v>8.8000000000000007</v>
      </c>
      <c r="AH70" s="116">
        <f>Table_14345[[#This Row],[COM 4 - 2023]]*100/15</f>
        <v>30</v>
      </c>
      <c r="AI70" s="117" t="s">
        <v>167</v>
      </c>
      <c r="AJ70" s="118" t="s">
        <v>232</v>
      </c>
      <c r="AK70" s="99">
        <v>0</v>
      </c>
      <c r="AL70" s="99">
        <v>2.666666666666667</v>
      </c>
      <c r="AM70" s="99">
        <v>0</v>
      </c>
      <c r="AN70" s="99">
        <v>0</v>
      </c>
      <c r="AO70" s="99">
        <v>0</v>
      </c>
      <c r="AP70" s="99">
        <v>0</v>
      </c>
      <c r="AQ70" s="99">
        <v>0</v>
      </c>
      <c r="AR70" s="99">
        <v>0</v>
      </c>
      <c r="AS70" s="99">
        <v>0</v>
      </c>
      <c r="AT70" s="99">
        <v>0</v>
      </c>
      <c r="AU70" s="99">
        <v>0</v>
      </c>
      <c r="AV70" s="99">
        <v>0</v>
      </c>
      <c r="AW70" s="99">
        <v>3.28</v>
      </c>
      <c r="AX70" s="100">
        <f t="shared" si="4"/>
        <v>5.9466666666666672</v>
      </c>
      <c r="AY70" s="99">
        <v>1.65</v>
      </c>
      <c r="AZ70" s="99">
        <v>0.6</v>
      </c>
      <c r="BA70" s="99">
        <v>1.7</v>
      </c>
      <c r="BB70" s="99">
        <v>0.5</v>
      </c>
      <c r="BC70" s="99">
        <v>0.8</v>
      </c>
      <c r="BD70" s="99">
        <v>0.8</v>
      </c>
      <c r="BE70" s="99">
        <v>1.35</v>
      </c>
      <c r="BF70" s="99">
        <v>0.85</v>
      </c>
      <c r="BG70" s="99">
        <v>0.67</v>
      </c>
      <c r="BH70" s="99">
        <v>0</v>
      </c>
      <c r="BI70" s="99">
        <v>0</v>
      </c>
      <c r="BJ70" s="99">
        <v>0</v>
      </c>
      <c r="BK70" s="99">
        <v>0</v>
      </c>
      <c r="BL70" s="99">
        <v>0</v>
      </c>
      <c r="BM70" s="100">
        <f t="shared" si="5"/>
        <v>8.92</v>
      </c>
      <c r="BN70" s="99">
        <v>0</v>
      </c>
      <c r="BO70" s="99">
        <v>1.1000000000000001</v>
      </c>
      <c r="BP70" s="99">
        <v>1.1000000000000001</v>
      </c>
      <c r="BQ70" s="100">
        <f t="shared" si="6"/>
        <v>2.2000000000000002</v>
      </c>
      <c r="BR70" s="99">
        <v>0</v>
      </c>
      <c r="BS70" s="99">
        <v>1.5</v>
      </c>
      <c r="BT70" s="99">
        <v>1</v>
      </c>
      <c r="BU70" s="99">
        <v>0</v>
      </c>
      <c r="BV70" s="99">
        <v>0</v>
      </c>
      <c r="BW70" s="99">
        <v>0</v>
      </c>
      <c r="BX70" s="99">
        <v>1</v>
      </c>
      <c r="BY70" s="99">
        <v>1</v>
      </c>
      <c r="BZ70" s="99">
        <v>0</v>
      </c>
      <c r="CA70" s="101">
        <f t="shared" si="7"/>
        <v>4.5</v>
      </c>
      <c r="CB70" s="99">
        <v>1.5</v>
      </c>
      <c r="CC70" s="99"/>
      <c r="CD70" s="99"/>
      <c r="CE70" s="99">
        <f>Table_14345[[#This Row],[AJUSTADO
32]]-Table_14345[[#This Row],[DIFERENCIA
32]]</f>
        <v>0</v>
      </c>
      <c r="CF70" s="102">
        <v>0.5</v>
      </c>
      <c r="CG70" s="102">
        <f>Table_14345[[#This Row],[PREAJUSTE
38]]+0.5</f>
        <v>1</v>
      </c>
      <c r="CH70" s="102"/>
      <c r="CI70" s="102">
        <f>Table_14345[[#This Row],[AJUSTADO
38]]-Table_14345[[#This Row],[DIFERENCIA
38]]</f>
        <v>1</v>
      </c>
    </row>
    <row r="71" spans="2:87" x14ac:dyDescent="0.3">
      <c r="B71" s="103">
        <f>Table_14345[[#This Row],[Resultado IIP
2019]]</f>
        <v>21.39</v>
      </c>
      <c r="C71" s="104">
        <f>Table_14345[[#This Row],[Resultado IIP
2021]]</f>
        <v>0</v>
      </c>
      <c r="D71" s="104">
        <f>Table_14345[[#This Row],[Resultado IIP
2023]]</f>
        <v>19.183333333333334</v>
      </c>
      <c r="E71" s="105"/>
      <c r="F71" s="223">
        <f>Table_14345[[#This Row],[POSICIÓN
2019]]</f>
        <v>30</v>
      </c>
      <c r="G71" s="223"/>
      <c r="H71" s="223">
        <f>Table_14345[[#This Row],[POSICIÓN
2023]]</f>
        <v>63</v>
      </c>
      <c r="I71" s="219">
        <v>30</v>
      </c>
      <c r="J71" s="106">
        <v>51.04</v>
      </c>
      <c r="K71" s="107">
        <v>18.670000000000002</v>
      </c>
      <c r="L71" s="107">
        <v>4.67</v>
      </c>
      <c r="M71" s="107">
        <v>0</v>
      </c>
      <c r="N71" s="201">
        <v>21.39</v>
      </c>
      <c r="O71" s="203"/>
      <c r="P71" s="108"/>
      <c r="Q71" s="109"/>
      <c r="R71" s="109"/>
      <c r="S71" s="109"/>
      <c r="T71" s="110"/>
      <c r="U71" s="111">
        <v>63</v>
      </c>
      <c r="V71" s="111">
        <v>63</v>
      </c>
      <c r="W71" s="91">
        <v>64</v>
      </c>
      <c r="X71" s="209">
        <v>63</v>
      </c>
      <c r="Y71" s="112">
        <f>Table_14345[[#This Row],[COM 1 - 2023]]+Table_14345[[#This Row],[COM 2 - 2023]]+Table_14345[[#This Row],[COM 3 - 2023]]+Table_14345[[#This Row],[COM 4 - 2023]]</f>
        <v>19.183333333333334</v>
      </c>
      <c r="Z71" s="113">
        <f>Table_14345[[#This Row],[COM 1 (sumatoria)]]</f>
        <v>6.3833333333333337</v>
      </c>
      <c r="AA71" s="113">
        <f>Table_14345[[#This Row],[COM 2 (sumatoria)]]</f>
        <v>7.1</v>
      </c>
      <c r="AB71" s="113">
        <f>Table_14345[[#This Row],[COM 3 (sumatoria)]]</f>
        <v>2.2000000000000002</v>
      </c>
      <c r="AC71" s="114">
        <f>Table_14345[[#This Row],[COM 4 (sumatoria)]]</f>
        <v>3.5</v>
      </c>
      <c r="AD71" s="115"/>
      <c r="AE71" s="116">
        <f>Table_14345[[#This Row],[COM 1 - 2023]]*100/25</f>
        <v>25.533333333333335</v>
      </c>
      <c r="AF71" s="116">
        <f>Table_14345[[#This Row],[COM 2 - 2023]]*100/35</f>
        <v>20.285714285714285</v>
      </c>
      <c r="AG71" s="116">
        <f>Table_14345[[#This Row],[COM 3 - 2023]]*100/25</f>
        <v>8.8000000000000007</v>
      </c>
      <c r="AH71" s="116">
        <f>Table_14345[[#This Row],[COM 4 - 2023]]*100/15</f>
        <v>23.333333333333332</v>
      </c>
      <c r="AI71" s="117" t="s">
        <v>167</v>
      </c>
      <c r="AJ71" s="118" t="s">
        <v>233</v>
      </c>
      <c r="AK71" s="99">
        <v>0</v>
      </c>
      <c r="AL71" s="99">
        <v>1.9333333333333333</v>
      </c>
      <c r="AM71" s="99">
        <v>0</v>
      </c>
      <c r="AN71" s="99">
        <v>1.55</v>
      </c>
      <c r="AO71" s="99">
        <v>0</v>
      </c>
      <c r="AP71" s="99">
        <v>0</v>
      </c>
      <c r="AQ71" s="99">
        <v>0</v>
      </c>
      <c r="AR71" s="99">
        <v>1.35</v>
      </c>
      <c r="AS71" s="99">
        <v>0</v>
      </c>
      <c r="AT71" s="99">
        <v>0</v>
      </c>
      <c r="AU71" s="99">
        <v>1.55</v>
      </c>
      <c r="AV71" s="99">
        <v>0</v>
      </c>
      <c r="AW71" s="99">
        <v>0</v>
      </c>
      <c r="AX71" s="100">
        <f t="shared" si="4"/>
        <v>6.3833333333333337</v>
      </c>
      <c r="AY71" s="99">
        <v>0</v>
      </c>
      <c r="AZ71" s="99">
        <v>0</v>
      </c>
      <c r="BA71" s="99">
        <v>0</v>
      </c>
      <c r="BB71" s="99">
        <v>0.6</v>
      </c>
      <c r="BC71" s="99">
        <v>0.6</v>
      </c>
      <c r="BD71" s="99">
        <v>0</v>
      </c>
      <c r="BE71" s="99">
        <v>0</v>
      </c>
      <c r="BF71" s="99">
        <v>0.6</v>
      </c>
      <c r="BG71" s="99">
        <v>0.6</v>
      </c>
      <c r="BH71" s="99">
        <v>0</v>
      </c>
      <c r="BI71" s="99">
        <v>3.3</v>
      </c>
      <c r="BJ71" s="99">
        <v>1.4</v>
      </c>
      <c r="BK71" s="99">
        <v>0</v>
      </c>
      <c r="BL71" s="99">
        <v>0</v>
      </c>
      <c r="BM71" s="100">
        <f t="shared" si="5"/>
        <v>7.1</v>
      </c>
      <c r="BN71" s="99">
        <v>0</v>
      </c>
      <c r="BO71" s="99">
        <v>1.1000000000000001</v>
      </c>
      <c r="BP71" s="99">
        <v>1.1000000000000001</v>
      </c>
      <c r="BQ71" s="100">
        <f t="shared" si="6"/>
        <v>2.2000000000000002</v>
      </c>
      <c r="BR71" s="99">
        <v>0</v>
      </c>
      <c r="BS71" s="99">
        <v>2.5</v>
      </c>
      <c r="BT71" s="99">
        <v>0</v>
      </c>
      <c r="BU71" s="99">
        <v>0</v>
      </c>
      <c r="BV71" s="99">
        <v>0</v>
      </c>
      <c r="BW71" s="99">
        <v>0</v>
      </c>
      <c r="BX71" s="99">
        <v>0</v>
      </c>
      <c r="BY71" s="99">
        <v>1</v>
      </c>
      <c r="BZ71" s="99">
        <v>0</v>
      </c>
      <c r="CA71" s="101">
        <f t="shared" si="7"/>
        <v>3.5</v>
      </c>
      <c r="CB71" s="99">
        <v>1.5</v>
      </c>
      <c r="CC71" s="99">
        <f>Table_14345[[#This Row],[PREAJUSTE
32]]+0.5</f>
        <v>2</v>
      </c>
      <c r="CD71" s="99"/>
      <c r="CE71" s="99">
        <f>Table_14345[[#This Row],[AJUSTADO
32]]-Table_14345[[#This Row],[DIFERENCIA
32]]</f>
        <v>2</v>
      </c>
      <c r="CF71" s="102">
        <v>0.6</v>
      </c>
      <c r="CG71" s="102">
        <f>Table_14345[[#This Row],[PREAJUSTE
38]]+0.5</f>
        <v>1.1000000000000001</v>
      </c>
      <c r="CH71" s="102">
        <f>Table_14345[[#This Row],[AJUSTADO
38]]-1</f>
        <v>0.10000000000000009</v>
      </c>
      <c r="CI71" s="102">
        <f>Table_14345[[#This Row],[AJUSTADO
38]]-Table_14345[[#This Row],[DIFERENCIA
38]]</f>
        <v>1</v>
      </c>
    </row>
    <row r="72" spans="2:87" x14ac:dyDescent="0.3">
      <c r="B72" s="103">
        <f>Table_14345[[#This Row],[Resultado IIP
2019]]</f>
        <v>0</v>
      </c>
      <c r="C72" s="104">
        <f>Table_14345[[#This Row],[Resultado IIP
2021]]</f>
        <v>37.643000000000001</v>
      </c>
      <c r="D72" s="104">
        <f>Table_14345[[#This Row],[Resultado IIP
2023]]</f>
        <v>15.916666666666668</v>
      </c>
      <c r="E72" s="105"/>
      <c r="F72" s="223"/>
      <c r="G72" s="223">
        <f>Table_14345[[#This Row],[POSICIÓN
2021]]</f>
        <v>39</v>
      </c>
      <c r="H72" s="223">
        <f>Table_14345[[#This Row],[POSICIÓN
2023]]</f>
        <v>64</v>
      </c>
      <c r="I72" s="220"/>
      <c r="J72" s="106"/>
      <c r="K72" s="107"/>
      <c r="L72" s="107"/>
      <c r="M72" s="107"/>
      <c r="N72" s="201"/>
      <c r="O72" s="204">
        <v>39</v>
      </c>
      <c r="P72" s="108">
        <v>8.5</v>
      </c>
      <c r="Q72" s="109">
        <v>15.049999999999997</v>
      </c>
      <c r="R72" s="109">
        <v>10.1</v>
      </c>
      <c r="S72" s="109">
        <v>3.9930000000000003</v>
      </c>
      <c r="T72" s="110">
        <f>Table_14345[[#This Row],[COM 1 - 2021]]+Table_14345[[#This Row],[COM 2 - 2021]]+Table_14345[[#This Row],[COM 3 - 2021]]+Table_14345[[#This Row],[COM 4 - 2021]]</f>
        <v>37.643000000000001</v>
      </c>
      <c r="U72" s="91">
        <v>64</v>
      </c>
      <c r="V72" s="91">
        <v>64</v>
      </c>
      <c r="W72" s="111">
        <v>65</v>
      </c>
      <c r="X72" s="210">
        <v>64</v>
      </c>
      <c r="Y72" s="112">
        <f>Table_14345[[#This Row],[COM 1 - 2023]]+Table_14345[[#This Row],[COM 2 - 2023]]+Table_14345[[#This Row],[COM 3 - 2023]]+Table_14345[[#This Row],[COM 4 - 2023]]</f>
        <v>15.916666666666668</v>
      </c>
      <c r="Z72" s="113">
        <f>Table_14345[[#This Row],[COM 1 (sumatoria)]]</f>
        <v>12.416666666666668</v>
      </c>
      <c r="AA72" s="113">
        <f>Table_14345[[#This Row],[COM 2 (sumatoria)]]</f>
        <v>0</v>
      </c>
      <c r="AB72" s="113">
        <f>Table_14345[[#This Row],[COM 3 (sumatoria)]]</f>
        <v>0</v>
      </c>
      <c r="AC72" s="114">
        <f>Table_14345[[#This Row],[COM 4 (sumatoria)]]</f>
        <v>3.5</v>
      </c>
      <c r="AD72" s="115">
        <f>Table_14345[[#This Row],[Resultado IIP
2023]]-Table_14345[[#This Row],[Resultado IIP
2021]]</f>
        <v>-21.726333333333333</v>
      </c>
      <c r="AE72" s="116">
        <f>Table_14345[[#This Row],[COM 1 - 2023]]*100/25</f>
        <v>49.666666666666671</v>
      </c>
      <c r="AF72" s="116">
        <f>Table_14345[[#This Row],[COM 2 - 2023]]*100/35</f>
        <v>0</v>
      </c>
      <c r="AG72" s="116">
        <f>Table_14345[[#This Row],[COM 3 - 2023]]*100/25</f>
        <v>0</v>
      </c>
      <c r="AH72" s="116">
        <f>Table_14345[[#This Row],[COM 4 - 2023]]*100/15</f>
        <v>23.333333333333332</v>
      </c>
      <c r="AI72" s="117" t="s">
        <v>167</v>
      </c>
      <c r="AJ72" s="118" t="s">
        <v>234</v>
      </c>
      <c r="AK72" s="99">
        <v>0</v>
      </c>
      <c r="AL72" s="99">
        <v>2.666666666666667</v>
      </c>
      <c r="AM72" s="99">
        <v>0</v>
      </c>
      <c r="AN72" s="99">
        <v>4</v>
      </c>
      <c r="AO72" s="99">
        <v>0</v>
      </c>
      <c r="AP72" s="99">
        <v>1.2999999999999998</v>
      </c>
      <c r="AQ72" s="99">
        <v>0</v>
      </c>
      <c r="AR72" s="99">
        <v>1.65</v>
      </c>
      <c r="AS72" s="99">
        <v>0</v>
      </c>
      <c r="AT72" s="99">
        <v>0</v>
      </c>
      <c r="AU72" s="99">
        <v>2.8</v>
      </c>
      <c r="AV72" s="99">
        <v>0</v>
      </c>
      <c r="AW72" s="99">
        <v>0</v>
      </c>
      <c r="AX72" s="100">
        <f t="shared" ref="AX72:AX77" si="8">(SUM(AK72:AW72))</f>
        <v>12.416666666666668</v>
      </c>
      <c r="AY72" s="99">
        <v>0</v>
      </c>
      <c r="AZ72" s="99">
        <v>0</v>
      </c>
      <c r="BA72" s="99">
        <v>0</v>
      </c>
      <c r="BB72" s="99">
        <v>0</v>
      </c>
      <c r="BC72" s="99">
        <v>0</v>
      </c>
      <c r="BD72" s="99">
        <v>0</v>
      </c>
      <c r="BE72" s="99">
        <v>0</v>
      </c>
      <c r="BF72" s="99">
        <v>0</v>
      </c>
      <c r="BG72" s="99">
        <v>0</v>
      </c>
      <c r="BH72" s="99">
        <v>0</v>
      </c>
      <c r="BI72" s="99">
        <v>0</v>
      </c>
      <c r="BJ72" s="99">
        <v>0</v>
      </c>
      <c r="BK72" s="99">
        <v>0</v>
      </c>
      <c r="BL72" s="99">
        <v>0</v>
      </c>
      <c r="BM72" s="100">
        <f t="shared" ref="BM72:BM77" si="9">(SUM(AY72:BL72))</f>
        <v>0</v>
      </c>
      <c r="BN72" s="99">
        <v>0</v>
      </c>
      <c r="BO72" s="99">
        <v>0</v>
      </c>
      <c r="BP72" s="99">
        <v>0</v>
      </c>
      <c r="BQ72" s="100">
        <f t="shared" ref="BQ72:BQ77" si="10">(SUM(BN72:BP72))</f>
        <v>0</v>
      </c>
      <c r="BR72" s="99">
        <v>0</v>
      </c>
      <c r="BS72" s="99">
        <v>1.5</v>
      </c>
      <c r="BT72" s="99">
        <v>0</v>
      </c>
      <c r="BU72" s="99">
        <v>0</v>
      </c>
      <c r="BV72" s="99">
        <v>0</v>
      </c>
      <c r="BW72" s="99">
        <v>0</v>
      </c>
      <c r="BX72" s="99">
        <v>1</v>
      </c>
      <c r="BY72" s="99">
        <v>1</v>
      </c>
      <c r="BZ72" s="99">
        <v>0</v>
      </c>
      <c r="CA72" s="101">
        <f t="shared" ref="CA72:CA77" si="11">(SUM(BR72:BZ72))</f>
        <v>3.5</v>
      </c>
      <c r="CB72" s="99">
        <v>1.5</v>
      </c>
      <c r="CC72" s="99"/>
      <c r="CD72" s="99"/>
      <c r="CE72" s="99">
        <f>Table_14345[[#This Row],[AJUSTADO
32]]-Table_14345[[#This Row],[DIFERENCIA
32]]</f>
        <v>0</v>
      </c>
      <c r="CF72" s="102">
        <v>0.5</v>
      </c>
      <c r="CG72" s="102">
        <f>Table_14345[[#This Row],[PREAJUSTE
38]]+0.5</f>
        <v>1</v>
      </c>
      <c r="CH72" s="102"/>
      <c r="CI72" s="102">
        <f>Table_14345[[#This Row],[AJUSTADO
38]]-Table_14345[[#This Row],[DIFERENCIA
38]]</f>
        <v>1</v>
      </c>
    </row>
    <row r="73" spans="2:87" x14ac:dyDescent="0.3">
      <c r="B73" s="103">
        <f>Table_14345[[#This Row],[Resultado IIP
2019]]</f>
        <v>0</v>
      </c>
      <c r="C73" s="104">
        <f>Table_14345[[#This Row],[Resultado IIP
2021]]</f>
        <v>20.880000000000003</v>
      </c>
      <c r="D73" s="104">
        <f>Table_14345[[#This Row],[Resultado IIP
2023]]</f>
        <v>15.266666666666666</v>
      </c>
      <c r="E73" s="105"/>
      <c r="F73" s="223"/>
      <c r="G73" s="223">
        <f>Table_14345[[#This Row],[POSICIÓN
2021]]</f>
        <v>64</v>
      </c>
      <c r="H73" s="223">
        <f>Table_14345[[#This Row],[POSICIÓN
2023]]</f>
        <v>65</v>
      </c>
      <c r="I73" s="220"/>
      <c r="J73" s="106"/>
      <c r="K73" s="107"/>
      <c r="L73" s="107"/>
      <c r="M73" s="107"/>
      <c r="N73" s="201"/>
      <c r="O73" s="204">
        <v>64</v>
      </c>
      <c r="P73" s="108">
        <v>9</v>
      </c>
      <c r="Q73" s="109">
        <v>6.4000000000000012</v>
      </c>
      <c r="R73" s="109">
        <v>3</v>
      </c>
      <c r="S73" s="109">
        <v>2.4800000000000004</v>
      </c>
      <c r="T73" s="110">
        <f>Table_14345[[#This Row],[COM 1 - 2021]]+Table_14345[[#This Row],[COM 2 - 2021]]+Table_14345[[#This Row],[COM 3 - 2021]]+Table_14345[[#This Row],[COM 4 - 2021]]</f>
        <v>20.880000000000003</v>
      </c>
      <c r="U73" s="111">
        <v>65</v>
      </c>
      <c r="V73" s="111">
        <v>65</v>
      </c>
      <c r="W73" s="111">
        <v>66</v>
      </c>
      <c r="X73" s="210">
        <v>65</v>
      </c>
      <c r="Y73" s="112">
        <f>Table_14345[[#This Row],[COM 1 - 2023]]+Table_14345[[#This Row],[COM 2 - 2023]]+Table_14345[[#This Row],[COM 3 - 2023]]+Table_14345[[#This Row],[COM 4 - 2023]]</f>
        <v>15.266666666666666</v>
      </c>
      <c r="Z73" s="113">
        <f>Table_14345[[#This Row],[COM 1 (sumatoria)]]</f>
        <v>7.2166666666666668</v>
      </c>
      <c r="AA73" s="113">
        <f>Table_14345[[#This Row],[COM 2 (sumatoria)]]</f>
        <v>5.4499999999999993</v>
      </c>
      <c r="AB73" s="113">
        <f>Table_14345[[#This Row],[COM 3 (sumatoria)]]</f>
        <v>0</v>
      </c>
      <c r="AC73" s="114">
        <f>Table_14345[[#This Row],[COM 4 (sumatoria)]]</f>
        <v>2.6</v>
      </c>
      <c r="AD73" s="115">
        <f>Table_14345[[#This Row],[Resultado IIP
2023]]-Table_14345[[#This Row],[Resultado IIP
2021]]</f>
        <v>-5.6133333333333368</v>
      </c>
      <c r="AE73" s="116">
        <f>Table_14345[[#This Row],[COM 1 - 2023]]*100/25</f>
        <v>28.866666666666664</v>
      </c>
      <c r="AF73" s="116">
        <f>Table_14345[[#This Row],[COM 2 - 2023]]*100/35</f>
        <v>15.571428571428568</v>
      </c>
      <c r="AG73" s="116">
        <f>Table_14345[[#This Row],[COM 3 - 2023]]*100/25</f>
        <v>0</v>
      </c>
      <c r="AH73" s="116">
        <f>Table_14345[[#This Row],[COM 4 - 2023]]*100/15</f>
        <v>17.333333333333332</v>
      </c>
      <c r="AI73" s="117" t="s">
        <v>167</v>
      </c>
      <c r="AJ73" s="118" t="s">
        <v>235</v>
      </c>
      <c r="AK73" s="99">
        <v>0</v>
      </c>
      <c r="AL73" s="99">
        <v>2.4666666666666668</v>
      </c>
      <c r="AM73" s="99">
        <v>0</v>
      </c>
      <c r="AN73" s="99">
        <v>0</v>
      </c>
      <c r="AO73" s="99">
        <v>0</v>
      </c>
      <c r="AP73" s="99">
        <v>0</v>
      </c>
      <c r="AQ73" s="99">
        <v>0</v>
      </c>
      <c r="AR73" s="99">
        <v>1.35</v>
      </c>
      <c r="AS73" s="99">
        <v>0</v>
      </c>
      <c r="AT73" s="99">
        <v>0</v>
      </c>
      <c r="AU73" s="99">
        <v>3.4</v>
      </c>
      <c r="AV73" s="99">
        <v>0</v>
      </c>
      <c r="AW73" s="99">
        <v>0</v>
      </c>
      <c r="AX73" s="100">
        <f t="shared" si="8"/>
        <v>7.2166666666666668</v>
      </c>
      <c r="AY73" s="99">
        <v>0</v>
      </c>
      <c r="AZ73" s="99">
        <v>0</v>
      </c>
      <c r="BA73" s="99">
        <v>0</v>
      </c>
      <c r="BB73" s="99">
        <v>1.2</v>
      </c>
      <c r="BC73" s="99">
        <v>0</v>
      </c>
      <c r="BD73" s="99">
        <v>0</v>
      </c>
      <c r="BE73" s="99">
        <v>0</v>
      </c>
      <c r="BF73" s="99">
        <v>0.9</v>
      </c>
      <c r="BG73" s="99">
        <v>0</v>
      </c>
      <c r="BH73" s="99">
        <v>2.25</v>
      </c>
      <c r="BI73" s="99">
        <v>0</v>
      </c>
      <c r="BJ73" s="99">
        <v>0</v>
      </c>
      <c r="BK73" s="99">
        <v>0</v>
      </c>
      <c r="BL73" s="99">
        <v>1.1000000000000001</v>
      </c>
      <c r="BM73" s="100">
        <f t="shared" si="9"/>
        <v>5.4499999999999993</v>
      </c>
      <c r="BN73" s="99">
        <v>0</v>
      </c>
      <c r="BO73" s="99">
        <v>0</v>
      </c>
      <c r="BP73" s="99">
        <v>0</v>
      </c>
      <c r="BQ73" s="100">
        <f t="shared" si="10"/>
        <v>0</v>
      </c>
      <c r="BR73" s="99">
        <f>[7]Matriz!$M$99</f>
        <v>0</v>
      </c>
      <c r="BS73" s="99">
        <v>2.6</v>
      </c>
      <c r="BT73" s="99">
        <v>0</v>
      </c>
      <c r="BU73" s="99">
        <v>0</v>
      </c>
      <c r="BV73" s="99">
        <v>0</v>
      </c>
      <c r="BW73" s="99">
        <v>0</v>
      </c>
      <c r="BX73" s="99">
        <v>0</v>
      </c>
      <c r="BY73" s="99">
        <v>0</v>
      </c>
      <c r="BZ73" s="99">
        <f>[7]Matriz!$M$111</f>
        <v>0</v>
      </c>
      <c r="CA73" s="101">
        <f t="shared" si="11"/>
        <v>2.6</v>
      </c>
      <c r="CB73" s="99">
        <v>2.1</v>
      </c>
      <c r="CC73" s="99">
        <f>Table_14345[[#This Row],[PREAJUSTE
32]]+0.5</f>
        <v>2.6</v>
      </c>
      <c r="CD73" s="99"/>
      <c r="CE73" s="99">
        <f>Table_14345[[#This Row],[AJUSTADO
32]]-Table_14345[[#This Row],[DIFERENCIA
32]]</f>
        <v>2.6</v>
      </c>
      <c r="CF73" s="102">
        <v>0</v>
      </c>
      <c r="CG73" s="102">
        <f>Table_14345[[#This Row],[PREAJUSTE
38]]+0.5</f>
        <v>0.5</v>
      </c>
      <c r="CH73" s="102"/>
      <c r="CI73" s="102">
        <f>Table_14345[[#This Row],[AJUSTADO
38]]-Table_14345[[#This Row],[DIFERENCIA
38]]</f>
        <v>0.5</v>
      </c>
    </row>
    <row r="74" spans="2:87" x14ac:dyDescent="0.3">
      <c r="B74" s="103">
        <f>Table_14345[[#This Row],[Resultado IIP
2019]]</f>
        <v>23.84</v>
      </c>
      <c r="C74" s="104">
        <f>Table_14345[[#This Row],[Resultado IIP
2021]]</f>
        <v>37.32</v>
      </c>
      <c r="D74" s="104">
        <f>Table_14345[[#This Row],[Resultado IIP
2023]]</f>
        <v>14.500000000000002</v>
      </c>
      <c r="E74" s="105"/>
      <c r="F74" s="223">
        <f>Table_14345[[#This Row],[POSICIÓN
2019]]</f>
        <v>28</v>
      </c>
      <c r="G74" s="223">
        <f>Table_14345[[#This Row],[POSICIÓN
2021]]</f>
        <v>41</v>
      </c>
      <c r="H74" s="223">
        <f>Table_14345[[#This Row],[POSICIÓN
2023]]</f>
        <v>66</v>
      </c>
      <c r="I74" s="219">
        <v>28</v>
      </c>
      <c r="J74" s="106">
        <v>42.25</v>
      </c>
      <c r="K74" s="107">
        <v>19.95</v>
      </c>
      <c r="L74" s="107">
        <v>0</v>
      </c>
      <c r="M74" s="107">
        <v>52.94</v>
      </c>
      <c r="N74" s="201">
        <v>23.84</v>
      </c>
      <c r="O74" s="203">
        <v>41</v>
      </c>
      <c r="P74" s="108">
        <v>6.5</v>
      </c>
      <c r="Q74" s="109">
        <v>15.4</v>
      </c>
      <c r="R74" s="109">
        <v>9.8999999999999986</v>
      </c>
      <c r="S74" s="109">
        <v>5.5200000000000005</v>
      </c>
      <c r="T74" s="110">
        <f>Table_14345[[#This Row],[COM 1 - 2021]]+Table_14345[[#This Row],[COM 2 - 2021]]+Table_14345[[#This Row],[COM 3 - 2021]]+Table_14345[[#This Row],[COM 4 - 2021]]</f>
        <v>37.32</v>
      </c>
      <c r="U74" s="111">
        <v>66</v>
      </c>
      <c r="V74" s="111">
        <v>66</v>
      </c>
      <c r="W74" s="91">
        <v>67</v>
      </c>
      <c r="X74" s="209">
        <v>66</v>
      </c>
      <c r="Y74" s="112">
        <f>Table_14345[[#This Row],[COM 1 - 2023]]+Table_14345[[#This Row],[COM 2 - 2023]]+Table_14345[[#This Row],[COM 3 - 2023]]+Table_14345[[#This Row],[COM 4 - 2023]]</f>
        <v>14.500000000000002</v>
      </c>
      <c r="Z74" s="113">
        <f>Table_14345[[#This Row],[COM 1 (sumatoria)]]</f>
        <v>4.8000000000000007</v>
      </c>
      <c r="AA74" s="113">
        <f>Table_14345[[#This Row],[COM 2 (sumatoria)]]</f>
        <v>3.9</v>
      </c>
      <c r="AB74" s="113">
        <f>Table_14345[[#This Row],[COM 3 (sumatoria)]]</f>
        <v>2.2000000000000002</v>
      </c>
      <c r="AC74" s="114">
        <f>Table_14345[[#This Row],[COM 4 (sumatoria)]]</f>
        <v>3.6</v>
      </c>
      <c r="AD74" s="115">
        <f>Table_14345[[#This Row],[Resultado IIP
2023]]-Table_14345[[#This Row],[Resultado IIP
2021]]</f>
        <v>-22.82</v>
      </c>
      <c r="AE74" s="116">
        <f>Table_14345[[#This Row],[COM 1 - 2023]]*100/25</f>
        <v>19.200000000000003</v>
      </c>
      <c r="AF74" s="116">
        <f>Table_14345[[#This Row],[COM 2 - 2023]]*100/35</f>
        <v>11.142857142857142</v>
      </c>
      <c r="AG74" s="116">
        <f>Table_14345[[#This Row],[COM 3 - 2023]]*100/25</f>
        <v>8.8000000000000007</v>
      </c>
      <c r="AH74" s="116">
        <f>Table_14345[[#This Row],[COM 4 - 2023]]*100/15</f>
        <v>24</v>
      </c>
      <c r="AI74" s="117" t="s">
        <v>167</v>
      </c>
      <c r="AJ74" s="118" t="s">
        <v>236</v>
      </c>
      <c r="AK74" s="99">
        <v>0</v>
      </c>
      <c r="AL74" s="99">
        <v>2.6</v>
      </c>
      <c r="AM74" s="99">
        <v>0</v>
      </c>
      <c r="AN74" s="99">
        <v>0</v>
      </c>
      <c r="AO74" s="99">
        <v>0</v>
      </c>
      <c r="AP74" s="99">
        <v>0.6</v>
      </c>
      <c r="AQ74" s="99">
        <v>0</v>
      </c>
      <c r="AR74" s="99">
        <v>0</v>
      </c>
      <c r="AS74" s="99">
        <v>0</v>
      </c>
      <c r="AT74" s="99">
        <v>0</v>
      </c>
      <c r="AU74" s="99">
        <v>0</v>
      </c>
      <c r="AV74" s="99">
        <v>0</v>
      </c>
      <c r="AW74" s="99">
        <v>1.6</v>
      </c>
      <c r="AX74" s="100">
        <f t="shared" si="8"/>
        <v>4.8000000000000007</v>
      </c>
      <c r="AY74" s="99">
        <v>0</v>
      </c>
      <c r="AZ74" s="99">
        <v>0</v>
      </c>
      <c r="BA74" s="99">
        <v>0</v>
      </c>
      <c r="BB74" s="99">
        <v>0.9</v>
      </c>
      <c r="BC74" s="99">
        <v>0.3</v>
      </c>
      <c r="BD74" s="99">
        <v>0</v>
      </c>
      <c r="BE74" s="99">
        <v>0</v>
      </c>
      <c r="BF74" s="99">
        <v>0</v>
      </c>
      <c r="BG74" s="99">
        <v>0</v>
      </c>
      <c r="BH74" s="99">
        <v>0</v>
      </c>
      <c r="BI74" s="99">
        <v>1.8</v>
      </c>
      <c r="BJ74" s="99">
        <v>0.9</v>
      </c>
      <c r="BK74" s="99">
        <v>0</v>
      </c>
      <c r="BL74" s="99">
        <v>0</v>
      </c>
      <c r="BM74" s="100">
        <f t="shared" si="9"/>
        <v>3.9</v>
      </c>
      <c r="BN74" s="99">
        <v>0</v>
      </c>
      <c r="BO74" s="99">
        <v>1.1000000000000001</v>
      </c>
      <c r="BP74" s="99">
        <v>1.1000000000000001</v>
      </c>
      <c r="BQ74" s="100">
        <f t="shared" si="10"/>
        <v>2.2000000000000002</v>
      </c>
      <c r="BR74" s="99">
        <v>0</v>
      </c>
      <c r="BS74" s="99">
        <v>1.7</v>
      </c>
      <c r="BT74" s="99">
        <v>0</v>
      </c>
      <c r="BU74" s="99">
        <v>0</v>
      </c>
      <c r="BV74" s="99">
        <v>0</v>
      </c>
      <c r="BW74" s="99">
        <v>0</v>
      </c>
      <c r="BX74" s="99">
        <v>1</v>
      </c>
      <c r="BY74" s="99">
        <v>0.9</v>
      </c>
      <c r="BZ74" s="99">
        <v>0</v>
      </c>
      <c r="CA74" s="101">
        <f t="shared" si="11"/>
        <v>3.6</v>
      </c>
      <c r="CB74" s="99">
        <v>1.2</v>
      </c>
      <c r="CC74" s="99">
        <f>Table_14345[[#This Row],[PREAJUSTE
32]]+0.5</f>
        <v>1.7</v>
      </c>
      <c r="CD74" s="99"/>
      <c r="CE74" s="99">
        <f>Table_14345[[#This Row],[AJUSTADO
32]]-Table_14345[[#This Row],[DIFERENCIA
32]]</f>
        <v>1.7</v>
      </c>
      <c r="CF74" s="102">
        <v>0.4</v>
      </c>
      <c r="CG74" s="102">
        <f>Table_14345[[#This Row],[PREAJUSTE
38]]+0.5</f>
        <v>0.9</v>
      </c>
      <c r="CH74" s="102"/>
      <c r="CI74" s="102">
        <f>Table_14345[[#This Row],[AJUSTADO
38]]-Table_14345[[#This Row],[DIFERENCIA
38]]</f>
        <v>0.9</v>
      </c>
    </row>
    <row r="75" spans="2:87" x14ac:dyDescent="0.3">
      <c r="B75" s="103">
        <f>Table_14345[[#This Row],[Resultado IIP
2019]]</f>
        <v>0</v>
      </c>
      <c r="C75" s="104">
        <f>Table_14345[[#This Row],[Resultado IIP
2021]]</f>
        <v>37.21</v>
      </c>
      <c r="D75" s="104">
        <f>Table_14345[[#This Row],[Resultado IIP
2023]]</f>
        <v>13.666666666666668</v>
      </c>
      <c r="E75" s="105"/>
      <c r="F75" s="223"/>
      <c r="G75" s="223">
        <f>Table_14345[[#This Row],[POSICIÓN
2021]]</f>
        <v>42</v>
      </c>
      <c r="H75" s="223">
        <f>Table_14345[[#This Row],[POSICIÓN
2023]]</f>
        <v>67</v>
      </c>
      <c r="I75" s="220"/>
      <c r="J75" s="106"/>
      <c r="K75" s="107"/>
      <c r="L75" s="107"/>
      <c r="M75" s="107"/>
      <c r="N75" s="201"/>
      <c r="O75" s="204">
        <v>42</v>
      </c>
      <c r="P75" s="108">
        <v>10.3</v>
      </c>
      <c r="Q75" s="109">
        <v>14.870000000000001</v>
      </c>
      <c r="R75" s="109">
        <v>7.0000000000000009</v>
      </c>
      <c r="S75" s="109">
        <v>5.0400000000000009</v>
      </c>
      <c r="T75" s="110">
        <f>Table_14345[[#This Row],[COM 1 - 2021]]+Table_14345[[#This Row],[COM 2 - 2021]]+Table_14345[[#This Row],[COM 3 - 2021]]+Table_14345[[#This Row],[COM 4 - 2021]]</f>
        <v>37.21</v>
      </c>
      <c r="U75" s="111">
        <v>67</v>
      </c>
      <c r="V75" s="111">
        <v>67</v>
      </c>
      <c r="W75" s="111">
        <v>68</v>
      </c>
      <c r="X75" s="210">
        <v>67</v>
      </c>
      <c r="Y75" s="112">
        <f>Table_14345[[#This Row],[COM 1 - 2023]]+Table_14345[[#This Row],[COM 2 - 2023]]+Table_14345[[#This Row],[COM 3 - 2023]]+Table_14345[[#This Row],[COM 4 - 2023]]</f>
        <v>13.666666666666668</v>
      </c>
      <c r="Z75" s="113">
        <f>Table_14345[[#This Row],[COM 1 (sumatoria)]]</f>
        <v>7.3666666666666671</v>
      </c>
      <c r="AA75" s="113">
        <f>Table_14345[[#This Row],[COM 2 (sumatoria)]]</f>
        <v>0.6</v>
      </c>
      <c r="AB75" s="113">
        <f>Table_14345[[#This Row],[COM 3 (sumatoria)]]</f>
        <v>2.2000000000000002</v>
      </c>
      <c r="AC75" s="114">
        <f>Table_14345[[#This Row],[COM 4 (sumatoria)]]</f>
        <v>3.5</v>
      </c>
      <c r="AD75" s="115">
        <f>Table_14345[[#This Row],[Resultado IIP
2023]]-Table_14345[[#This Row],[Resultado IIP
2021]]</f>
        <v>-23.543333333333333</v>
      </c>
      <c r="AE75" s="116">
        <f>Table_14345[[#This Row],[COM 1 - 2023]]*100/25</f>
        <v>29.466666666666669</v>
      </c>
      <c r="AF75" s="116">
        <f>Table_14345[[#This Row],[COM 2 - 2023]]*100/35</f>
        <v>1.7142857142857142</v>
      </c>
      <c r="AG75" s="116">
        <f>Table_14345[[#This Row],[COM 3 - 2023]]*100/25</f>
        <v>8.8000000000000007</v>
      </c>
      <c r="AH75" s="116">
        <f>Table_14345[[#This Row],[COM 4 - 2023]]*100/15</f>
        <v>23.333333333333332</v>
      </c>
      <c r="AI75" s="117" t="s">
        <v>167</v>
      </c>
      <c r="AJ75" s="118" t="s">
        <v>237</v>
      </c>
      <c r="AK75" s="99">
        <v>0</v>
      </c>
      <c r="AL75" s="99">
        <v>2.666666666666667</v>
      </c>
      <c r="AM75" s="99">
        <v>0</v>
      </c>
      <c r="AN75" s="99">
        <v>0</v>
      </c>
      <c r="AO75" s="99">
        <v>0</v>
      </c>
      <c r="AP75" s="99">
        <v>0</v>
      </c>
      <c r="AQ75" s="99">
        <v>0</v>
      </c>
      <c r="AR75" s="99">
        <v>0</v>
      </c>
      <c r="AS75" s="99">
        <v>0</v>
      </c>
      <c r="AT75" s="99">
        <v>0</v>
      </c>
      <c r="AU75" s="99">
        <v>4.7</v>
      </c>
      <c r="AV75" s="99">
        <v>0</v>
      </c>
      <c r="AW75" s="99">
        <v>0</v>
      </c>
      <c r="AX75" s="100">
        <f t="shared" si="8"/>
        <v>7.3666666666666671</v>
      </c>
      <c r="AY75" s="99">
        <v>0</v>
      </c>
      <c r="AZ75" s="99">
        <v>0</v>
      </c>
      <c r="BA75" s="99">
        <v>0</v>
      </c>
      <c r="BB75" s="99">
        <v>0</v>
      </c>
      <c r="BC75" s="99">
        <v>0</v>
      </c>
      <c r="BD75" s="99">
        <v>0</v>
      </c>
      <c r="BE75" s="99">
        <v>0</v>
      </c>
      <c r="BF75" s="99">
        <v>0.6</v>
      </c>
      <c r="BG75" s="99">
        <v>0</v>
      </c>
      <c r="BH75" s="99">
        <v>0</v>
      </c>
      <c r="BI75" s="99">
        <v>0</v>
      </c>
      <c r="BJ75" s="99">
        <v>0</v>
      </c>
      <c r="BK75" s="99">
        <v>0</v>
      </c>
      <c r="BL75" s="99">
        <v>0</v>
      </c>
      <c r="BM75" s="100">
        <f t="shared" si="9"/>
        <v>0.6</v>
      </c>
      <c r="BN75" s="99">
        <v>0</v>
      </c>
      <c r="BO75" s="99">
        <v>1.1000000000000001</v>
      </c>
      <c r="BP75" s="99">
        <v>1.1000000000000001</v>
      </c>
      <c r="BQ75" s="100">
        <f t="shared" si="10"/>
        <v>2.2000000000000002</v>
      </c>
      <c r="BR75" s="99">
        <v>0</v>
      </c>
      <c r="BS75" s="99">
        <v>1.5</v>
      </c>
      <c r="BT75" s="99">
        <v>0</v>
      </c>
      <c r="BU75" s="99">
        <v>0</v>
      </c>
      <c r="BV75" s="99">
        <v>0</v>
      </c>
      <c r="BW75" s="99">
        <v>0</v>
      </c>
      <c r="BX75" s="99">
        <v>1</v>
      </c>
      <c r="BY75" s="99">
        <v>1</v>
      </c>
      <c r="BZ75" s="99">
        <v>0</v>
      </c>
      <c r="CA75" s="101">
        <f t="shared" si="11"/>
        <v>3.5</v>
      </c>
      <c r="CB75" s="99">
        <v>1.5</v>
      </c>
      <c r="CC75" s="99"/>
      <c r="CD75" s="99"/>
      <c r="CE75" s="99">
        <f>Table_14345[[#This Row],[AJUSTADO
32]]-Table_14345[[#This Row],[DIFERENCIA
32]]</f>
        <v>0</v>
      </c>
      <c r="CF75" s="102">
        <v>0.5</v>
      </c>
      <c r="CG75" s="102">
        <f>Table_14345[[#This Row],[PREAJUSTE
38]]+0.5</f>
        <v>1</v>
      </c>
      <c r="CH75" s="102"/>
      <c r="CI75" s="102">
        <f>Table_14345[[#This Row],[AJUSTADO
38]]-Table_14345[[#This Row],[DIFERENCIA
38]]</f>
        <v>1</v>
      </c>
    </row>
    <row r="76" spans="2:87" x14ac:dyDescent="0.3">
      <c r="B76" s="103">
        <f>Table_14345[[#This Row],[Resultado IIP
2019]]</f>
        <v>0</v>
      </c>
      <c r="C76" s="104">
        <f>Table_14345[[#This Row],[Resultado IIP
2021]]</f>
        <v>38.14</v>
      </c>
      <c r="D76" s="104">
        <f>Table_14345[[#This Row],[Resultado IIP
2023]]</f>
        <v>8.3166666666666664</v>
      </c>
      <c r="E76" s="105"/>
      <c r="F76" s="223"/>
      <c r="G76" s="223">
        <f>Table_14345[[#This Row],[POSICIÓN
2021]]</f>
        <v>38</v>
      </c>
      <c r="H76" s="223">
        <f>Table_14345[[#This Row],[POSICIÓN
2023]]</f>
        <v>68</v>
      </c>
      <c r="I76" s="220"/>
      <c r="J76" s="106"/>
      <c r="K76" s="107"/>
      <c r="L76" s="107"/>
      <c r="M76" s="107"/>
      <c r="N76" s="201"/>
      <c r="O76" s="204">
        <v>38</v>
      </c>
      <c r="P76" s="108">
        <v>8.15</v>
      </c>
      <c r="Q76" s="109">
        <v>15.600000000000003</v>
      </c>
      <c r="R76" s="109">
        <v>9.0500000000000007</v>
      </c>
      <c r="S76" s="109">
        <v>5.34</v>
      </c>
      <c r="T76" s="110">
        <f>Table_14345[[#This Row],[COM 1 - 2021]]+Table_14345[[#This Row],[COM 2 - 2021]]+Table_14345[[#This Row],[COM 3 - 2021]]+Table_14345[[#This Row],[COM 4 - 2021]]</f>
        <v>38.14</v>
      </c>
      <c r="U76" s="91">
        <v>68</v>
      </c>
      <c r="V76" s="91">
        <v>68</v>
      </c>
      <c r="W76" s="111">
        <v>69</v>
      </c>
      <c r="X76" s="210">
        <v>68</v>
      </c>
      <c r="Y76" s="112">
        <f>Table_14345[[#This Row],[COM 1 - 2023]]+Table_14345[[#This Row],[COM 2 - 2023]]+Table_14345[[#This Row],[COM 3 - 2023]]+Table_14345[[#This Row],[COM 4 - 2023]]</f>
        <v>8.3166666666666664</v>
      </c>
      <c r="Z76" s="113">
        <f>Table_14345[[#This Row],[COM 1 (sumatoria)]]</f>
        <v>4.8166666666666664</v>
      </c>
      <c r="AA76" s="113">
        <f>Table_14345[[#This Row],[COM 2 (sumatoria)]]</f>
        <v>0</v>
      </c>
      <c r="AB76" s="113">
        <f>Table_14345[[#This Row],[COM 3 (sumatoria)]]</f>
        <v>0</v>
      </c>
      <c r="AC76" s="114">
        <f>Table_14345[[#This Row],[COM 4 (sumatoria)]]</f>
        <v>3.5</v>
      </c>
      <c r="AD76" s="115">
        <f>Table_14345[[#This Row],[Resultado IIP
2023]]-Table_14345[[#This Row],[Resultado IIP
2021]]</f>
        <v>-29.823333333333334</v>
      </c>
      <c r="AE76" s="116">
        <f>Table_14345[[#This Row],[COM 1 - 2023]]*100/25</f>
        <v>19.266666666666666</v>
      </c>
      <c r="AF76" s="116">
        <f>Table_14345[[#This Row],[COM 2 - 2023]]*100/35</f>
        <v>0</v>
      </c>
      <c r="AG76" s="116">
        <f>Table_14345[[#This Row],[COM 3 - 2023]]*100/25</f>
        <v>0</v>
      </c>
      <c r="AH76" s="116">
        <f>Table_14345[[#This Row],[COM 4 - 2023]]*100/15</f>
        <v>23.333333333333332</v>
      </c>
      <c r="AI76" s="117" t="s">
        <v>167</v>
      </c>
      <c r="AJ76" s="118" t="s">
        <v>238</v>
      </c>
      <c r="AK76" s="99">
        <v>0</v>
      </c>
      <c r="AL76" s="99">
        <v>2.666666666666667</v>
      </c>
      <c r="AM76" s="99">
        <v>0</v>
      </c>
      <c r="AN76" s="99">
        <v>2.15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100">
        <f t="shared" si="8"/>
        <v>4.8166666666666664</v>
      </c>
      <c r="AY76" s="99">
        <v>0</v>
      </c>
      <c r="AZ76" s="99">
        <v>0</v>
      </c>
      <c r="BA76" s="99">
        <v>0</v>
      </c>
      <c r="BB76" s="99">
        <v>0</v>
      </c>
      <c r="BC76" s="99">
        <v>0</v>
      </c>
      <c r="BD76" s="99">
        <v>0</v>
      </c>
      <c r="BE76" s="99">
        <v>0</v>
      </c>
      <c r="BF76" s="99">
        <v>0</v>
      </c>
      <c r="BG76" s="99">
        <v>0</v>
      </c>
      <c r="BH76" s="99">
        <v>0</v>
      </c>
      <c r="BI76" s="99">
        <v>0</v>
      </c>
      <c r="BJ76" s="99">
        <v>0</v>
      </c>
      <c r="BK76" s="99">
        <v>0</v>
      </c>
      <c r="BL76" s="99">
        <v>0</v>
      </c>
      <c r="BM76" s="100">
        <f t="shared" si="9"/>
        <v>0</v>
      </c>
      <c r="BN76" s="99">
        <v>0</v>
      </c>
      <c r="BO76" s="99">
        <v>0</v>
      </c>
      <c r="BP76" s="99">
        <v>0</v>
      </c>
      <c r="BQ76" s="100">
        <f t="shared" si="10"/>
        <v>0</v>
      </c>
      <c r="BR76" s="99">
        <v>0</v>
      </c>
      <c r="BS76" s="99">
        <v>1.5</v>
      </c>
      <c r="BT76" s="99">
        <v>0</v>
      </c>
      <c r="BU76" s="99">
        <v>0</v>
      </c>
      <c r="BV76" s="99">
        <v>0</v>
      </c>
      <c r="BW76" s="99">
        <v>0</v>
      </c>
      <c r="BX76" s="99">
        <v>1</v>
      </c>
      <c r="BY76" s="99">
        <v>1</v>
      </c>
      <c r="BZ76" s="99">
        <v>0</v>
      </c>
      <c r="CA76" s="101">
        <f t="shared" si="11"/>
        <v>3.5</v>
      </c>
      <c r="CB76" s="99">
        <v>1.5</v>
      </c>
      <c r="CC76" s="99"/>
      <c r="CD76" s="99"/>
      <c r="CE76" s="99">
        <f>Table_14345[[#This Row],[AJUSTADO
32]]-Table_14345[[#This Row],[DIFERENCIA
32]]</f>
        <v>0</v>
      </c>
      <c r="CF76" s="102">
        <v>0.5</v>
      </c>
      <c r="CG76" s="102">
        <f>Table_14345[[#This Row],[PREAJUSTE
38]]+0.5</f>
        <v>1</v>
      </c>
      <c r="CH76" s="102"/>
      <c r="CI76" s="102">
        <f>Table_14345[[#This Row],[AJUSTADO
38]]-Table_14345[[#This Row],[DIFERENCIA
38]]</f>
        <v>1</v>
      </c>
    </row>
    <row r="77" spans="2:87" x14ac:dyDescent="0.3">
      <c r="B77" s="103">
        <f>Table_14345[[#This Row],[Resultado IIP
2019]]</f>
        <v>0</v>
      </c>
      <c r="C77" s="104">
        <f>Table_14345[[#This Row],[Resultado IIP
2021]]</f>
        <v>23.05</v>
      </c>
      <c r="D77" s="104">
        <f>Table_14345[[#This Row],[Resultado IIP
2023]]</f>
        <v>7.3666666666666671</v>
      </c>
      <c r="E77" s="105"/>
      <c r="F77" s="223"/>
      <c r="G77" s="223">
        <f>Table_14345[[#This Row],[POSICIÓN
2021]]</f>
        <v>63</v>
      </c>
      <c r="H77" s="223">
        <f>Table_14345[[#This Row],[POSICIÓN
2023]]</f>
        <v>69</v>
      </c>
      <c r="I77" s="219"/>
      <c r="J77" s="106"/>
      <c r="K77" s="107"/>
      <c r="L77" s="107"/>
      <c r="M77" s="107"/>
      <c r="N77" s="201"/>
      <c r="O77" s="203">
        <v>63</v>
      </c>
      <c r="P77" s="108">
        <v>6.6</v>
      </c>
      <c r="Q77" s="109">
        <v>8.9499999999999993</v>
      </c>
      <c r="R77" s="109">
        <v>5.3999999999999995</v>
      </c>
      <c r="S77" s="109">
        <v>2.1</v>
      </c>
      <c r="T77" s="110">
        <f>Table_14345[[#This Row],[COM 1 - 2021]]+Table_14345[[#This Row],[COM 2 - 2021]]+Table_14345[[#This Row],[COM 3 - 2021]]+Table_14345[[#This Row],[COM 4 - 2021]]</f>
        <v>23.05</v>
      </c>
      <c r="U77" s="111">
        <v>69</v>
      </c>
      <c r="V77" s="111">
        <v>69</v>
      </c>
      <c r="W77" s="91">
        <v>70</v>
      </c>
      <c r="X77" s="209">
        <v>69</v>
      </c>
      <c r="Y77" s="112">
        <f>Table_14345[[#This Row],[COM 1 - 2023]]+Table_14345[[#This Row],[COM 2 - 2023]]+Table_14345[[#This Row],[COM 3 - 2023]]+Table_14345[[#This Row],[COM 4 - 2023]]</f>
        <v>7.3666666666666671</v>
      </c>
      <c r="Z77" s="113">
        <f>Table_14345[[#This Row],[COM 1 (sumatoria)]]</f>
        <v>2.666666666666667</v>
      </c>
      <c r="AA77" s="113">
        <f>Table_14345[[#This Row],[COM 2 (sumatoria)]]</f>
        <v>1.2000000000000002</v>
      </c>
      <c r="AB77" s="113">
        <f>Table_14345[[#This Row],[COM 3 (sumatoria)]]</f>
        <v>0</v>
      </c>
      <c r="AC77" s="114">
        <f>Table_14345[[#This Row],[COM 4 (sumatoria)]]</f>
        <v>3.5</v>
      </c>
      <c r="AD77" s="115">
        <f>Table_14345[[#This Row],[Resultado IIP
2023]]-Table_14345[[#This Row],[Resultado IIP
2021]]</f>
        <v>-15.683333333333334</v>
      </c>
      <c r="AE77" s="116">
        <f>Table_14345[[#This Row],[COM 1 - 2023]]*100/25</f>
        <v>10.666666666666668</v>
      </c>
      <c r="AF77" s="116">
        <f>Table_14345[[#This Row],[COM 2 - 2023]]*100/35</f>
        <v>3.4285714285714288</v>
      </c>
      <c r="AG77" s="116">
        <f>Table_14345[[#This Row],[COM 3 - 2023]]*100/25</f>
        <v>0</v>
      </c>
      <c r="AH77" s="116">
        <f>Table_14345[[#This Row],[COM 4 - 2023]]*100/15</f>
        <v>23.333333333333332</v>
      </c>
      <c r="AI77" s="117" t="s">
        <v>167</v>
      </c>
      <c r="AJ77" s="118" t="s">
        <v>239</v>
      </c>
      <c r="AK77" s="99">
        <v>0</v>
      </c>
      <c r="AL77" s="99">
        <v>2.666666666666667</v>
      </c>
      <c r="AM77" s="99">
        <v>0</v>
      </c>
      <c r="AN77" s="99">
        <v>0</v>
      </c>
      <c r="AO77" s="99">
        <v>0</v>
      </c>
      <c r="AP77" s="99">
        <v>0</v>
      </c>
      <c r="AQ77" s="99">
        <v>0</v>
      </c>
      <c r="AR77" s="99">
        <v>0</v>
      </c>
      <c r="AS77" s="99">
        <v>0</v>
      </c>
      <c r="AT77" s="99">
        <v>0</v>
      </c>
      <c r="AU77" s="99">
        <v>0</v>
      </c>
      <c r="AV77" s="99">
        <v>0</v>
      </c>
      <c r="AW77" s="99">
        <v>0</v>
      </c>
      <c r="AX77" s="100">
        <f t="shared" si="8"/>
        <v>2.666666666666667</v>
      </c>
      <c r="AY77" s="99">
        <v>0</v>
      </c>
      <c r="AZ77" s="99">
        <v>0</v>
      </c>
      <c r="BA77" s="99">
        <v>0</v>
      </c>
      <c r="BB77" s="99">
        <v>0.4</v>
      </c>
      <c r="BC77" s="99">
        <v>0.4</v>
      </c>
      <c r="BD77" s="99">
        <v>0</v>
      </c>
      <c r="BE77" s="99">
        <v>0</v>
      </c>
      <c r="BF77" s="99">
        <v>0.4</v>
      </c>
      <c r="BG77" s="99">
        <v>0</v>
      </c>
      <c r="BH77" s="99">
        <v>0</v>
      </c>
      <c r="BI77" s="99">
        <v>0</v>
      </c>
      <c r="BJ77" s="99">
        <v>0</v>
      </c>
      <c r="BK77" s="99">
        <v>0</v>
      </c>
      <c r="BL77" s="99">
        <v>0</v>
      </c>
      <c r="BM77" s="100">
        <f t="shared" si="9"/>
        <v>1.2000000000000002</v>
      </c>
      <c r="BN77" s="99">
        <v>0</v>
      </c>
      <c r="BO77" s="99">
        <v>0</v>
      </c>
      <c r="BP77" s="99">
        <v>0</v>
      </c>
      <c r="BQ77" s="100">
        <f t="shared" si="10"/>
        <v>0</v>
      </c>
      <c r="BR77" s="99">
        <v>0</v>
      </c>
      <c r="BS77" s="99">
        <v>1.5</v>
      </c>
      <c r="BT77" s="99">
        <v>0</v>
      </c>
      <c r="BU77" s="99">
        <v>0</v>
      </c>
      <c r="BV77" s="99">
        <v>0</v>
      </c>
      <c r="BW77" s="99">
        <v>0</v>
      </c>
      <c r="BX77" s="99">
        <v>1</v>
      </c>
      <c r="BY77" s="99">
        <v>1</v>
      </c>
      <c r="BZ77" s="99">
        <v>0</v>
      </c>
      <c r="CA77" s="101">
        <f t="shared" si="11"/>
        <v>3.5</v>
      </c>
      <c r="CB77" s="99">
        <v>1.5</v>
      </c>
      <c r="CC77" s="99"/>
      <c r="CD77" s="99"/>
      <c r="CE77" s="99">
        <f>Table_14345[[#This Row],[AJUSTADO
32]]-Table_14345[[#This Row],[DIFERENCIA
32]]</f>
        <v>0</v>
      </c>
      <c r="CF77" s="102">
        <v>0.5</v>
      </c>
      <c r="CG77" s="102">
        <f>Table_14345[[#This Row],[PREAJUSTE
38]]+0.5</f>
        <v>1</v>
      </c>
      <c r="CH77" s="102"/>
      <c r="CI77" s="102">
        <f>Table_14345[[#This Row],[AJUSTADO
38]]-Table_14345[[#This Row],[DIFERENCIA
38]]</f>
        <v>1</v>
      </c>
    </row>
    <row r="78" spans="2:87" x14ac:dyDescent="0.3">
      <c r="B78" s="194">
        <f>Table_14345[[#This Row],[Resultado IIP
2019]]</f>
        <v>38.39</v>
      </c>
      <c r="C78" s="195">
        <f>Table_14345[[#This Row],[Resultado IIP
2021]]</f>
        <v>0</v>
      </c>
      <c r="D78" s="195">
        <f>Table_14345[[#This Row],[Resultado IIP
2023]]</f>
        <v>0</v>
      </c>
      <c r="E78" s="196"/>
      <c r="F78" s="223">
        <f>Table_14345[[#This Row],[POSICIÓN
2019]]</f>
        <v>20</v>
      </c>
      <c r="G78" s="223"/>
      <c r="H78" s="223"/>
      <c r="I78" s="220">
        <v>20</v>
      </c>
      <c r="J78" s="106">
        <v>20</v>
      </c>
      <c r="K78" s="107">
        <v>36.67</v>
      </c>
      <c r="L78" s="107">
        <v>60</v>
      </c>
      <c r="M78" s="107">
        <v>37.25</v>
      </c>
      <c r="N78" s="201">
        <v>38.39</v>
      </c>
      <c r="O78" s="204"/>
      <c r="P78" s="108"/>
      <c r="Q78" s="109"/>
      <c r="R78" s="109"/>
      <c r="S78" s="109"/>
      <c r="T78" s="110"/>
      <c r="U78" s="111"/>
      <c r="V78" s="111"/>
      <c r="W78" s="111"/>
      <c r="X78" s="210"/>
      <c r="Y78" s="112"/>
      <c r="Z78" s="113"/>
      <c r="AA78" s="113"/>
      <c r="AB78" s="113"/>
      <c r="AC78" s="114"/>
      <c r="AD78" s="115"/>
      <c r="AE78" s="116"/>
      <c r="AF78" s="116"/>
      <c r="AG78" s="116"/>
      <c r="AH78" s="116"/>
      <c r="AI78" s="117"/>
      <c r="AJ78" s="128" t="s">
        <v>240</v>
      </c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100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100"/>
      <c r="BN78" s="99"/>
      <c r="BO78" s="99"/>
      <c r="BP78" s="99"/>
      <c r="BQ78" s="100"/>
      <c r="BR78" s="99"/>
      <c r="BS78" s="99"/>
      <c r="BT78" s="99"/>
      <c r="BU78" s="99"/>
      <c r="BV78" s="99"/>
      <c r="BW78" s="99"/>
      <c r="BX78" s="99"/>
      <c r="BY78" s="99"/>
      <c r="BZ78" s="99"/>
      <c r="CA78" s="101"/>
      <c r="CB78" s="102"/>
      <c r="CC78" s="102"/>
      <c r="CD78" s="102"/>
      <c r="CE78" s="102"/>
      <c r="CF78" s="102"/>
      <c r="CG78" s="102"/>
      <c r="CH78" s="102"/>
      <c r="CI78" s="102">
        <f>Table_14345[[#This Row],[AJUSTADO
38]]-Table_14345[[#This Row],[DIFERENCIA
38]]</f>
        <v>0</v>
      </c>
    </row>
    <row r="79" spans="2:87" x14ac:dyDescent="0.3">
      <c r="B79" s="103">
        <f>Table_14345[[#This Row],[Resultado IIP
2019]]</f>
        <v>0</v>
      </c>
      <c r="C79" s="104">
        <f>Table_14345[[#This Row],[Resultado IIP
2021]]</f>
        <v>38.230000000000004</v>
      </c>
      <c r="D79" s="104">
        <f>Table_14345[[#This Row],[Resultado IIP
2023]]</f>
        <v>0</v>
      </c>
      <c r="E79" s="105"/>
      <c r="F79" s="223"/>
      <c r="G79" s="223">
        <f>Table_14345[[#This Row],[POSICIÓN
2021]]</f>
        <v>36</v>
      </c>
      <c r="H79" s="223"/>
      <c r="I79" s="220"/>
      <c r="J79" s="106"/>
      <c r="K79" s="107"/>
      <c r="L79" s="107"/>
      <c r="M79" s="107"/>
      <c r="N79" s="201"/>
      <c r="O79" s="204">
        <v>36</v>
      </c>
      <c r="P79" s="108">
        <v>15.75</v>
      </c>
      <c r="Q79" s="109">
        <v>13.200000000000001</v>
      </c>
      <c r="R79" s="109">
        <v>6.3</v>
      </c>
      <c r="S79" s="109">
        <v>2.9800000000000004</v>
      </c>
      <c r="T79" s="110">
        <f>Table_14345[[#This Row],[COM 1 - 2021]]+Table_14345[[#This Row],[COM 2 - 2021]]+Table_14345[[#This Row],[COM 3 - 2021]]+Table_14345[[#This Row],[COM 4 - 2021]]</f>
        <v>38.230000000000004</v>
      </c>
      <c r="U79" s="111"/>
      <c r="V79" s="111"/>
      <c r="W79" s="111"/>
      <c r="X79" s="210"/>
      <c r="Y79" s="112"/>
      <c r="Z79" s="113"/>
      <c r="AA79" s="113"/>
      <c r="AB79" s="113"/>
      <c r="AC79" s="114"/>
      <c r="AD79" s="115"/>
      <c r="AE79" s="116"/>
      <c r="AF79" s="116"/>
      <c r="AG79" s="116"/>
      <c r="AH79" s="116"/>
      <c r="AI79" s="117"/>
      <c r="AJ79" s="128" t="s">
        <v>241</v>
      </c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100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100"/>
      <c r="BN79" s="99"/>
      <c r="BO79" s="99"/>
      <c r="BP79" s="99"/>
      <c r="BQ79" s="100"/>
      <c r="BR79" s="99"/>
      <c r="BS79" s="99"/>
      <c r="BT79" s="99"/>
      <c r="BU79" s="99"/>
      <c r="BV79" s="99"/>
      <c r="BW79" s="99"/>
      <c r="BX79" s="99"/>
      <c r="BY79" s="99"/>
      <c r="BZ79" s="99"/>
      <c r="CA79" s="101"/>
      <c r="CB79" s="102"/>
      <c r="CC79" s="102"/>
      <c r="CD79" s="102"/>
      <c r="CE79" s="102"/>
      <c r="CF79" s="102"/>
      <c r="CG79" s="102"/>
      <c r="CH79" s="102"/>
      <c r="CI79" s="102">
        <f>Table_14345[[#This Row],[AJUSTADO
38]]-Table_14345[[#This Row],[DIFERENCIA
38]]</f>
        <v>0</v>
      </c>
    </row>
    <row r="80" spans="2:87" ht="16.2" thickBot="1" x14ac:dyDescent="0.35">
      <c r="B80" s="197">
        <f>Table_14345[[#This Row],[Resultado IIP
2019]]</f>
        <v>0</v>
      </c>
      <c r="C80" s="198">
        <f>Table_14345[[#This Row],[Resultado IIP
2021]]</f>
        <v>0</v>
      </c>
      <c r="D80" s="198">
        <f>Table_14345[[#This Row],[Resultado IIP
2023]]</f>
        <v>0</v>
      </c>
      <c r="E80" s="199"/>
      <c r="F80" s="223"/>
      <c r="G80" s="223"/>
      <c r="H80" s="223"/>
      <c r="I80" s="221"/>
      <c r="J80" s="129"/>
      <c r="K80" s="130"/>
      <c r="L80" s="130"/>
      <c r="M80" s="130"/>
      <c r="N80" s="202"/>
      <c r="O80" s="205"/>
      <c r="P80" s="131"/>
      <c r="Q80" s="132"/>
      <c r="R80" s="132"/>
      <c r="S80" s="132"/>
      <c r="T80" s="133"/>
      <c r="U80" s="91"/>
      <c r="V80" s="91"/>
      <c r="W80" s="91"/>
      <c r="X80" s="209"/>
      <c r="Y80" s="134"/>
      <c r="Z80" s="135"/>
      <c r="AA80" s="135"/>
      <c r="AB80" s="135"/>
      <c r="AC80" s="136"/>
      <c r="AD80" s="137"/>
      <c r="AE80" s="138"/>
      <c r="AF80" s="138"/>
      <c r="AG80" s="138"/>
      <c r="AH80" s="138"/>
      <c r="AI80" s="139"/>
      <c r="AJ80" s="140" t="s">
        <v>242</v>
      </c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100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100"/>
      <c r="BN80" s="99"/>
      <c r="BO80" s="99"/>
      <c r="BP80" s="99"/>
      <c r="BQ80" s="100"/>
      <c r="BR80" s="99"/>
      <c r="BS80" s="99"/>
      <c r="BT80" s="99"/>
      <c r="BU80" s="99"/>
      <c r="BV80" s="99"/>
      <c r="BW80" s="99"/>
      <c r="BX80" s="99"/>
      <c r="BY80" s="99"/>
      <c r="BZ80" s="99"/>
      <c r="CA80" s="101"/>
      <c r="CB80" s="102"/>
      <c r="CC80" s="102"/>
      <c r="CD80" s="102"/>
      <c r="CE80" s="102">
        <f>Table_14345[[#This Row],[AJUSTADO
32]]-Table_14345[[#This Row],[DIFERENCIA
32]]</f>
        <v>0</v>
      </c>
      <c r="CF80" s="102"/>
      <c r="CG80" s="102"/>
      <c r="CH80" s="102"/>
      <c r="CI80" s="102">
        <f>Table_14345[[#This Row],[AJUSTADO
38]]-Table_14345[[#This Row],[DIFERENCIA
38]]</f>
        <v>0</v>
      </c>
    </row>
    <row r="81" spans="2:87" ht="16.2" thickBot="1" x14ac:dyDescent="0.35">
      <c r="B81" s="141">
        <f>AVERAGEIF(B8:B80,"&gt; 0")</f>
        <v>36.719230769230776</v>
      </c>
      <c r="C81" s="141">
        <f t="shared" ref="C81:D81" si="12">AVERAGEIF(C8:C80,"&gt; 0")</f>
        <v>41.257705882352951</v>
      </c>
      <c r="D81" s="141">
        <f t="shared" si="12"/>
        <v>45.302417434266594</v>
      </c>
      <c r="E81" s="142"/>
      <c r="F81" s="224"/>
      <c r="G81" s="225"/>
      <c r="H81" s="225"/>
      <c r="I81" s="222"/>
      <c r="J81" s="141">
        <f>SUBTOTAL(101,Table_14345[COM 1 - 2019])</f>
        <v>35.717179487179479</v>
      </c>
      <c r="K81" s="143">
        <f>SUBTOTAL(101,Table_14345[COM 2 - 2019])</f>
        <v>33.720000000000006</v>
      </c>
      <c r="L81" s="143">
        <f>SUBTOTAL(101,Table_14345[COM 3 - 2019])</f>
        <v>42.99179487179488</v>
      </c>
      <c r="M81" s="143">
        <f>SUBTOTAL(101,Table_14345[COM 4 - 2019])</f>
        <v>35.544871794871803</v>
      </c>
      <c r="N81" s="144">
        <f>SUBTOTAL(101,Table_14345[Resultado IIP
2019])</f>
        <v>36.719230769230776</v>
      </c>
      <c r="O81" s="147"/>
      <c r="P81" s="145">
        <f>SUBTOTAL(101,Table_14345[COM 1 - 2021])</f>
        <v>10.872343283582094</v>
      </c>
      <c r="Q81" s="146">
        <f>SUBTOTAL(101,Table_14345[COM 2 - 2021])</f>
        <v>14.890970149253736</v>
      </c>
      <c r="R81" s="146">
        <f>SUBTOTAL(101,Table_14345[COM 3 - 2021])</f>
        <v>9.8559701492537286</v>
      </c>
      <c r="S81" s="146">
        <f>SUBTOTAL(101,Table_14345[COM 4 - 2021])</f>
        <v>5.2815223880596998</v>
      </c>
      <c r="T81" s="147">
        <f>SUBTOTAL(101,Table_14345[Resultado IIP
2021])</f>
        <v>40.900805970149264</v>
      </c>
      <c r="U81" s="147"/>
      <c r="V81" s="147"/>
      <c r="W81" s="207"/>
      <c r="X81" s="176"/>
      <c r="Y81" s="208">
        <f>SUBTOTAL(101,Table_14345[Resultado IIP
2023])</f>
        <v>45.019698846357414</v>
      </c>
      <c r="Z81" s="148">
        <f>SUBTOTAL(101,Table_14345[COM 1 - 2023])</f>
        <v>12.446670495567234</v>
      </c>
      <c r="AA81" s="148">
        <f>SUBTOTAL(101,Table_14345[COM 2 - 2023])</f>
        <v>14.720212905720153</v>
      </c>
      <c r="AB81" s="148">
        <f>SUBTOTAL(101,Table_14345[COM 3 - 2023])</f>
        <v>10.663105300142492</v>
      </c>
      <c r="AC81" s="148">
        <f>SUBTOTAL(101,Table_14345[COM 4 - 2023])</f>
        <v>7.1897101449275356</v>
      </c>
      <c r="AD81" s="149"/>
      <c r="AE81" s="150">
        <f>SUBTOTAL(101,Table_14345[PUNTAJE
C1
CAPACIDAD])</f>
        <v>49.786681982268938</v>
      </c>
      <c r="AF81" s="150">
        <f>SUBTOTAL(101,Table_14345[PUNTAJE
C2
PRACTICAS])</f>
        <v>42.05775115920045</v>
      </c>
      <c r="AG81" s="150">
        <f>SUBTOTAL(101,Table_14345[PUNTAJE
C3
RESULT])</f>
        <v>42.652421200569968</v>
      </c>
      <c r="AH81" s="150">
        <f>SUBTOTAL(101,Table_14345[PUNTAJE
C4
GC])</f>
        <v>47.931400966183588</v>
      </c>
      <c r="AI81" s="151"/>
      <c r="AJ81" s="152"/>
      <c r="AK81" s="153">
        <f>SUBTOTAL(101,Table_14345[Pregunta
1])</f>
        <v>0</v>
      </c>
      <c r="AL81" s="153">
        <f>SUBTOTAL(104,Table_14345[Pregunta
2])</f>
        <v>4</v>
      </c>
      <c r="AM81" s="153">
        <f>SUBTOTAL(104,Table_14345[Pregunta
3])</f>
        <v>0</v>
      </c>
      <c r="AN81" s="153">
        <f>SUBTOTAL(104,Table_14345[Pregunta
4])</f>
        <v>4</v>
      </c>
      <c r="AO81" s="153">
        <f>SUBTOTAL(104,Table_14345[Pregunta
5])</f>
        <v>0</v>
      </c>
      <c r="AP81" s="153">
        <f>SUBTOTAL(104,Table_14345[Pregunta
6])</f>
        <v>3.7</v>
      </c>
      <c r="AQ81" s="153">
        <f>SUBTOTAL(104,Table_14345[Pregunta
7])</f>
        <v>0</v>
      </c>
      <c r="AR81" s="153">
        <f>SUBTOTAL(104,Table_14345[Pregunta
8])</f>
        <v>4</v>
      </c>
      <c r="AS81" s="153">
        <f>SUBTOTAL(104,Table_14345[Pregunta
9])</f>
        <v>0</v>
      </c>
      <c r="AT81" s="153">
        <f>SUBTOTAL(104,Table_14345[Pregunta
10])</f>
        <v>0</v>
      </c>
      <c r="AU81" s="153">
        <f>SUBTOTAL(104,Table_14345[Pregunta
11])</f>
        <v>4.7</v>
      </c>
      <c r="AV81" s="153">
        <f>SUBTOTAL(104,Table_14345[Pregunta
12])</f>
        <v>0</v>
      </c>
      <c r="AW81" s="153">
        <f>SUBTOTAL(104,Table_14345[Pregunta
13])</f>
        <v>4.2300000000000004</v>
      </c>
      <c r="AX81" s="154">
        <f>SUBTOTAL(104,Table_14345[COM 1 (sumatoria)])</f>
        <v>19.93333333333333</v>
      </c>
      <c r="AY81" s="153">
        <f>SUBTOTAL(104,Table_14345[Pregunta
14])</f>
        <v>2.25</v>
      </c>
      <c r="AZ81" s="153">
        <f>SUBTOTAL(104,Table_14345[Pregunta
15])</f>
        <v>1</v>
      </c>
      <c r="BA81" s="153">
        <f>SUBTOTAL(104,Table_14345[Pregunta 16])</f>
        <v>2.8</v>
      </c>
      <c r="BB81" s="153">
        <f>SUBTOTAL(104,Table_14345[Pregunta 17])</f>
        <v>1.2</v>
      </c>
      <c r="BC81" s="153">
        <f>SUBTOTAL(104,Table_14345[Pregunta 18])</f>
        <v>1.2</v>
      </c>
      <c r="BD81" s="153">
        <f>SUBTOTAL(104,Table_14345[Pregunta 19])</f>
        <v>2.81</v>
      </c>
      <c r="BE81" s="153">
        <f>SUBTOTAL(104,Table_14345[Pregunta 20])</f>
        <v>2.7</v>
      </c>
      <c r="BF81" s="153">
        <f>SUBTOTAL(104,Table_14345[Pregunta 21])</f>
        <v>1</v>
      </c>
      <c r="BG81" s="153">
        <f>SUBTOTAL(104,Table_14345[Pregunta 22])</f>
        <v>1</v>
      </c>
      <c r="BH81" s="153">
        <f>SUBTOTAL(104,Table_14345[Pregunta 23])</f>
        <v>6.87</v>
      </c>
      <c r="BI81" s="153">
        <f>SUBTOTAL(104,Table_14345[Pregunta 24])</f>
        <v>5.5</v>
      </c>
      <c r="BJ81" s="153">
        <f>SUBTOTAL(104,Table_14345[Pregunta 25])</f>
        <v>2.56</v>
      </c>
      <c r="BK81" s="153">
        <f>SUBTOTAL(104,Table_14345[Pregunta 26])</f>
        <v>1.1000000000000001</v>
      </c>
      <c r="BL81" s="153">
        <f>SUBTOTAL(104,Table_14345[Pregunta 27])</f>
        <v>1.1000000000000001</v>
      </c>
      <c r="BM81" s="155">
        <f>SUBTOTAL(104,Table_14345[COM 2 (sumatoria)])</f>
        <v>29</v>
      </c>
      <c r="BN81" s="153">
        <f>SUBTOTAL(104,Table_14345[Pregunta 28])</f>
        <v>15.377777777777778</v>
      </c>
      <c r="BO81" s="153">
        <f>SUBTOTAL(104,Table_14345[Pregunta 29])</f>
        <v>2.2000000000000002</v>
      </c>
      <c r="BP81" s="153">
        <f>SUBTOTAL(104,Table_14345[Pregunta 30])</f>
        <v>2.2999999999999998</v>
      </c>
      <c r="BQ81" s="155">
        <f>SUBTOTAL(104,Table_14345[COM 3 (sumatoria)])</f>
        <v>19.87777777777778</v>
      </c>
      <c r="BR81" s="153">
        <f>SUBTOTAL(104,Table_14345[Pregunta 31])</f>
        <v>0</v>
      </c>
      <c r="BS81" s="153">
        <f>SUBTOTAL(104,Table_14345[Pregunta
32])</f>
        <v>3</v>
      </c>
      <c r="BT81" s="153">
        <f>SUBTOTAL(104,Table_14345[Pregunta
33])</f>
        <v>1</v>
      </c>
      <c r="BU81" s="153">
        <f>SUBTOTAL(104,Table_14345[Pregunta
34])</f>
        <v>1</v>
      </c>
      <c r="BV81" s="153">
        <f>SUBTOTAL(104,Table_14345[Pregunta
35])</f>
        <v>1</v>
      </c>
      <c r="BW81" s="153">
        <f>SUBTOTAL(104,Table_14345[Pregunta
36])</f>
        <v>1</v>
      </c>
      <c r="BX81" s="153">
        <f>SUBTOTAL(104,Table_14345[Pregunta
37])</f>
        <v>1</v>
      </c>
      <c r="BY81" s="153">
        <f>SUBTOTAL(104,Table_14345[Pregunta
38])</f>
        <v>1</v>
      </c>
      <c r="BZ81" s="153">
        <f>SUBTOTAL(104,Table_14345[Pregunta
39])</f>
        <v>4.8</v>
      </c>
      <c r="CA81" s="155">
        <f>SUBTOTAL(104,Table_14345[COM 4 (sumatoria)])</f>
        <v>12.75</v>
      </c>
      <c r="CB81" s="155"/>
      <c r="CC81" s="155"/>
      <c r="CD81" s="155"/>
      <c r="CE81" s="155"/>
      <c r="CF81" s="155"/>
      <c r="CG81" s="155"/>
      <c r="CH81" s="155"/>
      <c r="CI81" s="155"/>
    </row>
    <row r="82" spans="2:87" ht="16.2" thickBot="1" x14ac:dyDescent="0.35">
      <c r="AX82" s="156" t="s">
        <v>243</v>
      </c>
      <c r="BM82" s="156" t="s">
        <v>244</v>
      </c>
      <c r="BQ82" s="156" t="s">
        <v>245</v>
      </c>
      <c r="CA82" s="156" t="s">
        <v>246</v>
      </c>
      <c r="CB82" s="156"/>
      <c r="CC82" s="156"/>
      <c r="CD82" s="156"/>
      <c r="CE82" s="156"/>
      <c r="CF82" s="156"/>
      <c r="CG82" s="156"/>
      <c r="CH82" s="156"/>
      <c r="CI82" s="156"/>
    </row>
    <row r="83" spans="2:87" ht="16.2" thickBot="1" x14ac:dyDescent="0.35">
      <c r="I83" s="160"/>
      <c r="O83" s="160"/>
      <c r="P83" s="157" t="s">
        <v>243</v>
      </c>
      <c r="Q83" s="158" t="s">
        <v>244</v>
      </c>
      <c r="R83" s="158" t="s">
        <v>245</v>
      </c>
      <c r="S83" s="159" t="s">
        <v>246</v>
      </c>
      <c r="T83" s="160" t="s">
        <v>247</v>
      </c>
      <c r="U83" s="160"/>
      <c r="V83" s="160"/>
      <c r="W83" s="160"/>
      <c r="X83" s="160"/>
      <c r="Z83" s="157" t="s">
        <v>243</v>
      </c>
      <c r="AA83" s="158" t="s">
        <v>244</v>
      </c>
      <c r="AB83" s="158" t="s">
        <v>245</v>
      </c>
      <c r="AC83" s="159" t="s">
        <v>246</v>
      </c>
      <c r="AD83" s="160" t="s">
        <v>248</v>
      </c>
      <c r="AE83" s="160"/>
      <c r="AF83" s="160"/>
      <c r="AG83" s="160"/>
      <c r="AH83" s="160"/>
      <c r="AI83" s="160"/>
      <c r="AL83" s="161">
        <v>4</v>
      </c>
      <c r="AM83" s="161">
        <v>0</v>
      </c>
      <c r="AN83" s="161">
        <v>4</v>
      </c>
      <c r="AO83" s="161">
        <v>0</v>
      </c>
      <c r="AP83" s="161">
        <v>3.7</v>
      </c>
      <c r="AQ83" s="161">
        <v>0</v>
      </c>
      <c r="AR83" s="161">
        <v>4</v>
      </c>
      <c r="AS83" s="161">
        <v>0</v>
      </c>
      <c r="AT83" s="161">
        <v>0</v>
      </c>
      <c r="AU83" s="161">
        <v>4.7</v>
      </c>
      <c r="AV83" s="161">
        <v>0</v>
      </c>
      <c r="AW83" s="161">
        <v>4.5999999999999996</v>
      </c>
      <c r="AX83" s="161">
        <v>0.25</v>
      </c>
      <c r="AY83" s="161">
        <v>2.8</v>
      </c>
      <c r="AZ83" s="161">
        <v>1</v>
      </c>
      <c r="BA83" s="161">
        <v>2.8</v>
      </c>
      <c r="BB83" s="161">
        <v>1.2</v>
      </c>
      <c r="BC83" s="161">
        <v>1.2</v>
      </c>
      <c r="BD83" s="161">
        <v>3</v>
      </c>
      <c r="BE83" s="161">
        <v>3</v>
      </c>
      <c r="BF83" s="161">
        <v>1</v>
      </c>
      <c r="BG83" s="161">
        <v>1</v>
      </c>
      <c r="BH83" s="161">
        <v>7</v>
      </c>
      <c r="BI83" s="161">
        <v>6</v>
      </c>
      <c r="BJ83" s="161">
        <v>2.8</v>
      </c>
      <c r="BK83" s="161">
        <v>1.1000000000000001</v>
      </c>
      <c r="BL83" s="161">
        <v>1.1000000000000001</v>
      </c>
      <c r="BM83" s="161">
        <v>0.35</v>
      </c>
      <c r="BN83" s="161">
        <v>20.5</v>
      </c>
      <c r="BO83" s="161">
        <v>2.2000000000000002</v>
      </c>
      <c r="BP83" s="161">
        <v>2.2999999999999998</v>
      </c>
      <c r="BQ83" s="161">
        <v>0.25</v>
      </c>
      <c r="BR83" s="161">
        <v>0</v>
      </c>
      <c r="BS83" s="161">
        <v>3</v>
      </c>
      <c r="BT83" s="161">
        <v>1</v>
      </c>
      <c r="BU83" s="161">
        <v>1</v>
      </c>
      <c r="BV83" s="161">
        <v>1</v>
      </c>
      <c r="BW83" s="161">
        <v>1</v>
      </c>
      <c r="BX83" s="161">
        <v>1</v>
      </c>
      <c r="BY83" s="161">
        <v>1</v>
      </c>
      <c r="BZ83" s="161">
        <v>6</v>
      </c>
      <c r="CA83" s="161">
        <v>0.15</v>
      </c>
      <c r="CB83" s="161"/>
      <c r="CC83" s="161"/>
      <c r="CD83" s="161"/>
      <c r="CE83" s="161"/>
      <c r="CF83" s="161"/>
      <c r="CG83" s="161"/>
      <c r="CH83" s="161"/>
      <c r="CI83" s="161"/>
    </row>
    <row r="84" spans="2:87" ht="16.2" thickBot="1" x14ac:dyDescent="0.35">
      <c r="I84" s="166"/>
      <c r="J84" s="162" t="s">
        <v>249</v>
      </c>
      <c r="M84" s="252" t="s">
        <v>250</v>
      </c>
      <c r="N84" s="252"/>
      <c r="O84" s="166"/>
      <c r="P84" s="163">
        <f>(Table_14345[[#Totals],[COM 1 - 2021]]*100)/25</f>
        <v>43.489373134328368</v>
      </c>
      <c r="Q84" s="163">
        <f>(Table_14345[[#Totals],[COM 2 - 2021]]*100)/35</f>
        <v>42.545628997867816</v>
      </c>
      <c r="R84" s="163">
        <f>(Table_14345[[#Totals],[COM 3 - 2021]]*100)/25</f>
        <v>39.423880597014914</v>
      </c>
      <c r="S84" s="164">
        <f>(Table_14345[[#Totals],[COM 4 - 2021]]*100)/15</f>
        <v>35.210149253731331</v>
      </c>
      <c r="T84" s="165">
        <f>AVERAGE(P84:S84)</f>
        <v>40.167257995735611</v>
      </c>
      <c r="U84" s="166"/>
      <c r="V84" s="166"/>
      <c r="W84" s="166"/>
      <c r="X84" s="166"/>
      <c r="Z84" s="167">
        <f>Table_14345[[#Totals],[COM 1 - 2023]]*100/25</f>
        <v>49.786681982268938</v>
      </c>
      <c r="AA84" s="167">
        <f>Table_14345[[#Totals],[COM 2 - 2023]]*100/35</f>
        <v>42.057751159200436</v>
      </c>
      <c r="AB84" s="167">
        <f>Table_14345[[#Totals],[COM 3 - 2023]]*100/25</f>
        <v>42.652421200569968</v>
      </c>
      <c r="AC84" s="168">
        <f>Table_14345[[#Totals],[COM 4 - 2023]]*100/15</f>
        <v>47.931400966183567</v>
      </c>
      <c r="AD84" s="169">
        <f>AVERAGE(Z84:AC84)</f>
        <v>45.607063827055725</v>
      </c>
      <c r="AE84" s="170"/>
      <c r="AF84" s="170"/>
      <c r="AG84" s="170"/>
      <c r="AH84" s="170"/>
      <c r="AI84" s="170"/>
      <c r="AJ84" s="162" t="s">
        <v>250</v>
      </c>
    </row>
    <row r="85" spans="2:87" ht="16.2" thickBot="1" x14ac:dyDescent="0.35">
      <c r="I85" s="172"/>
      <c r="J85" s="162" t="s">
        <v>251</v>
      </c>
      <c r="M85" s="252" t="s">
        <v>252</v>
      </c>
      <c r="N85" s="252"/>
      <c r="O85" s="172"/>
      <c r="T85" s="171">
        <f>((P84*25)+(Q84*35)+(R84*25)+(S84*15))/100</f>
        <v>40.900805970149257</v>
      </c>
      <c r="U85" s="172"/>
      <c r="V85" s="172"/>
      <c r="W85" s="172"/>
      <c r="X85" s="172"/>
      <c r="AD85" s="171">
        <f>((Z84*25)+(AA84*35)+(AB84*25)+(AC84*15))/100</f>
        <v>45.019698846357414</v>
      </c>
      <c r="AE85" s="172"/>
      <c r="AF85" s="172"/>
      <c r="AG85" s="172"/>
      <c r="AH85" s="172"/>
      <c r="AI85" s="172"/>
      <c r="AJ85" s="162" t="s">
        <v>252</v>
      </c>
    </row>
    <row r="86" spans="2:87" x14ac:dyDescent="0.3">
      <c r="AL86" s="189">
        <f>AVERAGE(AL8:AL77)</f>
        <v>2.8343333333333312</v>
      </c>
      <c r="AM86" s="189">
        <f t="shared" ref="AM86:BP86" si="13">AVERAGE(AM8:AM77)</f>
        <v>0</v>
      </c>
      <c r="AN86" s="189">
        <f t="shared" si="13"/>
        <v>1.7214285714285711</v>
      </c>
      <c r="AO86" s="189">
        <f t="shared" si="13"/>
        <v>0</v>
      </c>
      <c r="AP86" s="189">
        <f t="shared" si="13"/>
        <v>1.8199999999999994</v>
      </c>
      <c r="AQ86" s="189">
        <f t="shared" si="13"/>
        <v>0</v>
      </c>
      <c r="AR86" s="189">
        <f t="shared" si="13"/>
        <v>1.6428571428571428</v>
      </c>
      <c r="AS86" s="189">
        <f t="shared" si="13"/>
        <v>0</v>
      </c>
      <c r="AT86" s="189">
        <f t="shared" si="13"/>
        <v>0</v>
      </c>
      <c r="AU86" s="189">
        <f t="shared" si="13"/>
        <v>2.4314285714285724</v>
      </c>
      <c r="AV86" s="189">
        <f t="shared" si="13"/>
        <v>0</v>
      </c>
      <c r="AW86" s="189">
        <f t="shared" si="13"/>
        <v>2.1453847265829409</v>
      </c>
      <c r="AX86" s="189">
        <f>AVERAGE(AX8:AX77)</f>
        <v>12.595432345630561</v>
      </c>
      <c r="AY86" s="189">
        <f t="shared" si="13"/>
        <v>0.82328571428571418</v>
      </c>
      <c r="AZ86" s="189">
        <f t="shared" si="13"/>
        <v>0.45314285714285718</v>
      </c>
      <c r="BA86" s="189">
        <f t="shared" si="13"/>
        <v>1.3098571428571435</v>
      </c>
      <c r="BB86" s="189">
        <f t="shared" si="13"/>
        <v>0.66385714285714259</v>
      </c>
      <c r="BC86" s="189">
        <f t="shared" si="13"/>
        <v>0.65485714285714236</v>
      </c>
      <c r="BD86" s="189">
        <f t="shared" si="13"/>
        <v>1.117999999999999</v>
      </c>
      <c r="BE86" s="189">
        <f t="shared" si="13"/>
        <v>1.2401428571428561</v>
      </c>
      <c r="BF86" s="189">
        <f t="shared" si="13"/>
        <v>0.64071428571428557</v>
      </c>
      <c r="BG86" s="189">
        <f t="shared" si="13"/>
        <v>0.59499999999999997</v>
      </c>
      <c r="BH86" s="189">
        <f t="shared" si="13"/>
        <v>3.2622733562733552</v>
      </c>
      <c r="BI86" s="189">
        <f t="shared" si="13"/>
        <v>1.7892857142857139</v>
      </c>
      <c r="BJ86" s="189">
        <f t="shared" si="13"/>
        <v>1.2208571428571431</v>
      </c>
      <c r="BK86" s="189">
        <f t="shared" si="13"/>
        <v>0.42198412698412707</v>
      </c>
      <c r="BL86" s="189">
        <f t="shared" si="13"/>
        <v>0.55500000000000027</v>
      </c>
      <c r="BM86" s="189"/>
      <c r="BN86" s="189">
        <f t="shared" si="13"/>
        <v>8.3102990339499794</v>
      </c>
      <c r="BO86" s="189">
        <f t="shared" si="13"/>
        <v>1.2399999999999995</v>
      </c>
      <c r="BP86" s="189">
        <f t="shared" si="13"/>
        <v>1.2171428571428564</v>
      </c>
      <c r="BQ86" s="189"/>
      <c r="BS86" s="189">
        <f>AVERAGE(BS8:BS77)</f>
        <v>2.0234285714285711</v>
      </c>
      <c r="BT86" s="189">
        <f t="shared" ref="BT86:BZ86" si="14">AVERAGE(BT8:BT77)</f>
        <v>0.51142857142857134</v>
      </c>
      <c r="BU86" s="189">
        <f t="shared" si="14"/>
        <v>0.45571428571428568</v>
      </c>
      <c r="BV86" s="189">
        <f t="shared" si="14"/>
        <v>0.4885714285714286</v>
      </c>
      <c r="BW86" s="189">
        <f t="shared" si="14"/>
        <v>0.44857142857142862</v>
      </c>
      <c r="BX86" s="189">
        <f t="shared" si="14"/>
        <v>0.71285714285714286</v>
      </c>
      <c r="BY86" s="189">
        <f t="shared" si="14"/>
        <v>0.81785714285714284</v>
      </c>
      <c r="BZ86" s="189">
        <f t="shared" si="14"/>
        <v>1.7328571428571433</v>
      </c>
    </row>
    <row r="88" spans="2:87" x14ac:dyDescent="0.3">
      <c r="AL88" s="190">
        <f>AL86*100/AL83/100</f>
        <v>0.70858333333333279</v>
      </c>
      <c r="AM88" s="190" t="e">
        <f t="shared" ref="AM88:BP88" si="15">AM86*100/AM83/100</f>
        <v>#DIV/0!</v>
      </c>
      <c r="AN88" s="190">
        <f t="shared" si="15"/>
        <v>0.43035714285714277</v>
      </c>
      <c r="AO88" s="190" t="e">
        <f t="shared" si="15"/>
        <v>#DIV/0!</v>
      </c>
      <c r="AP88" s="190">
        <f t="shared" si="15"/>
        <v>0.4918918918918917</v>
      </c>
      <c r="AQ88" s="190" t="e">
        <f t="shared" si="15"/>
        <v>#DIV/0!</v>
      </c>
      <c r="AR88" s="190">
        <f t="shared" si="15"/>
        <v>0.4107142857142857</v>
      </c>
      <c r="AS88" s="190" t="e">
        <f t="shared" si="15"/>
        <v>#DIV/0!</v>
      </c>
      <c r="AT88" s="190" t="e">
        <f t="shared" si="15"/>
        <v>#DIV/0!</v>
      </c>
      <c r="AU88" s="190">
        <f t="shared" si="15"/>
        <v>0.51732522796352598</v>
      </c>
      <c r="AV88" s="190" t="e">
        <f t="shared" si="15"/>
        <v>#DIV/0!</v>
      </c>
      <c r="AW88" s="190">
        <f t="shared" si="15"/>
        <v>0.46638798403976983</v>
      </c>
      <c r="AX88" s="191">
        <f>AX86*100/AX83/10000</f>
        <v>0.50381729382522245</v>
      </c>
      <c r="AY88" s="190">
        <f t="shared" si="15"/>
        <v>0.29403061224489796</v>
      </c>
      <c r="AZ88" s="190">
        <f t="shared" si="15"/>
        <v>0.45314285714285718</v>
      </c>
      <c r="BA88" s="190">
        <f t="shared" si="15"/>
        <v>0.4678061224489799</v>
      </c>
      <c r="BB88" s="190">
        <f t="shared" si="15"/>
        <v>0.55321428571428544</v>
      </c>
      <c r="BC88" s="190">
        <f t="shared" si="15"/>
        <v>0.54571428571428537</v>
      </c>
      <c r="BD88" s="190">
        <f t="shared" si="15"/>
        <v>0.37266666666666631</v>
      </c>
      <c r="BE88" s="190">
        <f t="shared" si="15"/>
        <v>0.41338095238095202</v>
      </c>
      <c r="BF88" s="190">
        <f t="shared" si="15"/>
        <v>0.64071428571428557</v>
      </c>
      <c r="BG88" s="190">
        <f t="shared" si="15"/>
        <v>0.59499999999999997</v>
      </c>
      <c r="BH88" s="190">
        <f t="shared" si="15"/>
        <v>0.46603905089619369</v>
      </c>
      <c r="BI88" s="190">
        <f t="shared" si="15"/>
        <v>0.29821428571428565</v>
      </c>
      <c r="BJ88" s="190">
        <f t="shared" si="15"/>
        <v>0.43602040816326543</v>
      </c>
      <c r="BK88" s="190">
        <f t="shared" si="15"/>
        <v>0.38362193362193364</v>
      </c>
      <c r="BL88" s="190">
        <f t="shared" si="15"/>
        <v>0.50454545454545474</v>
      </c>
      <c r="BM88" s="190"/>
      <c r="BN88" s="190">
        <f t="shared" si="15"/>
        <v>0.40538044068048684</v>
      </c>
      <c r="BO88" s="190">
        <f t="shared" si="15"/>
        <v>0.56363636363636338</v>
      </c>
      <c r="BP88" s="190">
        <f t="shared" si="15"/>
        <v>0.52919254658385062</v>
      </c>
      <c r="BQ88" s="190"/>
      <c r="BS88" s="190">
        <f>BS86*100/BS83/100</f>
        <v>0.67447619047619023</v>
      </c>
      <c r="BT88" s="190">
        <f t="shared" ref="BT88:BZ88" si="16">BT86*100/BT83/100</f>
        <v>0.51142857142857134</v>
      </c>
      <c r="BU88" s="190">
        <f t="shared" si="16"/>
        <v>0.45571428571428568</v>
      </c>
      <c r="BV88" s="190">
        <f t="shared" si="16"/>
        <v>0.4885714285714286</v>
      </c>
      <c r="BW88" s="190">
        <f t="shared" si="16"/>
        <v>0.44857142857142862</v>
      </c>
      <c r="BX88" s="190">
        <f t="shared" si="16"/>
        <v>0.71285714285714297</v>
      </c>
      <c r="BY88" s="190">
        <f t="shared" si="16"/>
        <v>0.81785714285714273</v>
      </c>
      <c r="BZ88" s="190">
        <f t="shared" si="16"/>
        <v>0.2888095238095239</v>
      </c>
    </row>
    <row r="89" spans="2:87" ht="26.4" customHeight="1" thickBot="1" x14ac:dyDescent="0.35">
      <c r="N89" s="173" t="s">
        <v>253</v>
      </c>
      <c r="P89" s="174" t="s">
        <v>254</v>
      </c>
      <c r="AL89" s="161" t="s">
        <v>267</v>
      </c>
      <c r="AM89" s="161"/>
      <c r="AN89" s="161"/>
      <c r="AO89" s="161"/>
      <c r="AP89" s="161"/>
      <c r="AQ89" s="161"/>
      <c r="AR89" s="161" t="s">
        <v>267</v>
      </c>
      <c r="AS89" s="161"/>
      <c r="AT89" s="161"/>
      <c r="AU89" s="161" t="s">
        <v>267</v>
      </c>
      <c r="AV89" s="161"/>
      <c r="AW89" s="161"/>
      <c r="AX89" s="161"/>
      <c r="AY89" s="161"/>
      <c r="AZ89" s="161"/>
      <c r="BA89" s="161" t="s">
        <v>267</v>
      </c>
      <c r="BB89" s="161"/>
      <c r="BC89" s="161"/>
      <c r="BD89" s="161"/>
      <c r="BE89" s="161"/>
      <c r="BF89" s="161"/>
      <c r="BG89" s="161"/>
      <c r="BH89" s="161" t="s">
        <v>267</v>
      </c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</row>
    <row r="90" spans="2:87" ht="16.2" thickBot="1" x14ac:dyDescent="0.35">
      <c r="M90" s="161" t="s">
        <v>243</v>
      </c>
      <c r="N90" s="175">
        <f>SUBTOTAL(101,Table_14345[COM 1 - 2021])</f>
        <v>10.872343283582094</v>
      </c>
      <c r="P90" s="176">
        <f>SUBTOTAL(101,Table_14345[COM 1 - 2023])</f>
        <v>12.446670495567234</v>
      </c>
      <c r="R90" s="248">
        <f>P90-N90</f>
        <v>1.5743272119851408</v>
      </c>
      <c r="S90" s="248"/>
      <c r="BS90" s="161"/>
      <c r="BT90" s="161"/>
      <c r="BU90" s="161" t="s">
        <v>267</v>
      </c>
      <c r="BV90" s="161"/>
      <c r="BW90" s="161" t="s">
        <v>267</v>
      </c>
      <c r="BX90" s="161"/>
      <c r="BY90" s="161"/>
      <c r="BZ90" s="161" t="s">
        <v>267</v>
      </c>
    </row>
    <row r="91" spans="2:87" ht="16.2" thickBot="1" x14ac:dyDescent="0.35">
      <c r="M91" s="161" t="s">
        <v>244</v>
      </c>
      <c r="N91" s="175">
        <f>SUBTOTAL(101,Table_14345[COM 2 - 2021])</f>
        <v>14.890970149253736</v>
      </c>
      <c r="P91" s="176">
        <f>SUBTOTAL(101,Table_14345[COM 2 - 2023])</f>
        <v>14.720212905720153</v>
      </c>
      <c r="R91" s="248">
        <f>P91-N91</f>
        <v>-0.17075724353358268</v>
      </c>
      <c r="S91" s="248"/>
      <c r="AK91" s="249">
        <v>2021</v>
      </c>
      <c r="AO91" s="232" t="s">
        <v>255</v>
      </c>
      <c r="AP91" s="232"/>
      <c r="AQ91" s="232"/>
      <c r="AR91" s="232"/>
      <c r="AS91" s="232"/>
      <c r="BS91" s="161" t="s">
        <v>268</v>
      </c>
      <c r="BT91" s="161"/>
      <c r="BU91" s="161"/>
      <c r="BV91" s="161"/>
      <c r="BW91" s="161"/>
      <c r="BX91" s="161" t="s">
        <v>268</v>
      </c>
    </row>
    <row r="92" spans="2:87" ht="16.2" thickBot="1" x14ac:dyDescent="0.35">
      <c r="M92" s="161" t="s">
        <v>245</v>
      </c>
      <c r="N92" s="175">
        <f>SUBTOTAL(101,Table_14345[COM 3 - 2021])</f>
        <v>9.8559701492537286</v>
      </c>
      <c r="P92" s="176">
        <f>SUBTOTAL(101,Table_14345[COM 3 - 2023])</f>
        <v>10.663105300142492</v>
      </c>
      <c r="R92" s="248">
        <f>P92-N92</f>
        <v>0.80713515088876342</v>
      </c>
      <c r="S92" s="248"/>
      <c r="AK92" s="249"/>
      <c r="AO92" s="177" t="s">
        <v>256</v>
      </c>
      <c r="AP92" s="177" t="s">
        <v>257</v>
      </c>
      <c r="AQ92" s="177" t="s">
        <v>258</v>
      </c>
      <c r="AR92" s="177" t="s">
        <v>259</v>
      </c>
      <c r="AS92" s="178" t="s">
        <v>260</v>
      </c>
    </row>
    <row r="93" spans="2:87" ht="16.2" thickBot="1" x14ac:dyDescent="0.35">
      <c r="M93" s="161" t="s">
        <v>246</v>
      </c>
      <c r="N93" s="175">
        <f>SUBTOTAL(101,Table_14345[COM 2 - 2021])</f>
        <v>14.890970149253736</v>
      </c>
      <c r="P93" s="176">
        <f>SUBTOTAL(101,Table_14345[COM 4 - 2023])</f>
        <v>7.1897101449275356</v>
      </c>
      <c r="R93" s="250">
        <f>P93-N93</f>
        <v>-7.7012600043262003</v>
      </c>
      <c r="S93" s="250"/>
      <c r="AK93" s="249"/>
      <c r="AN93" s="179" t="s">
        <v>261</v>
      </c>
      <c r="AO93" s="180">
        <v>25</v>
      </c>
      <c r="AP93" s="180">
        <v>35</v>
      </c>
      <c r="AQ93" s="180">
        <v>25</v>
      </c>
      <c r="AR93" s="180">
        <v>15</v>
      </c>
      <c r="AS93" s="226">
        <f>((AO96+AP96+AQ96+AR96))/100</f>
        <v>40.900805970149257</v>
      </c>
    </row>
    <row r="94" spans="2:87" ht="16.2" thickBot="1" x14ac:dyDescent="0.35">
      <c r="AK94" s="249"/>
      <c r="AN94" s="179" t="s">
        <v>262</v>
      </c>
      <c r="AO94" s="181">
        <f>Table_14345[[#Totals],[COM 1 - 2021]]</f>
        <v>10.872343283582094</v>
      </c>
      <c r="AP94" s="181">
        <f>Table_14345[[#Totals],[COM 2 - 2021]]</f>
        <v>14.890970149253736</v>
      </c>
      <c r="AQ94" s="181">
        <f>Table_14345[[#Totals],[COM 3 - 2021]]</f>
        <v>9.8559701492537286</v>
      </c>
      <c r="AR94" s="181">
        <f>Table_14345[[#Totals],[COM 4 - 2021]]</f>
        <v>5.2815223880596998</v>
      </c>
      <c r="AS94" s="227"/>
      <c r="BB94" s="161" t="s">
        <v>267</v>
      </c>
      <c r="BC94" s="161" t="s">
        <v>267</v>
      </c>
    </row>
    <row r="95" spans="2:87" ht="16.2" thickBot="1" x14ac:dyDescent="0.35">
      <c r="L95" s="182" t="s">
        <v>263</v>
      </c>
      <c r="M95" s="161" t="s">
        <v>246</v>
      </c>
      <c r="N95" s="175">
        <v>14.99</v>
      </c>
      <c r="P95" s="176">
        <v>9.24</v>
      </c>
      <c r="R95" s="251">
        <f>P95-N95</f>
        <v>-5.75</v>
      </c>
      <c r="S95" s="251"/>
      <c r="AK95" s="249"/>
      <c r="AN95" s="179" t="s">
        <v>264</v>
      </c>
      <c r="AO95" s="183">
        <f>(AO94*100)/AO93</f>
        <v>43.489373134328368</v>
      </c>
      <c r="AP95" s="183">
        <f>(AP94*100)/AP93</f>
        <v>42.545628997867816</v>
      </c>
      <c r="AQ95" s="183">
        <f>(AQ94*100)/AQ93</f>
        <v>39.423880597014914</v>
      </c>
      <c r="AR95" s="183">
        <f>(AR94*100)/AR93</f>
        <v>35.210149253731331</v>
      </c>
      <c r="AS95" s="227"/>
    </row>
    <row r="96" spans="2:87" x14ac:dyDescent="0.3">
      <c r="AK96" s="249"/>
      <c r="AN96" s="179" t="s">
        <v>265</v>
      </c>
      <c r="AO96" s="184">
        <f>AO95*AO93</f>
        <v>1087.2343283582093</v>
      </c>
      <c r="AP96" s="184">
        <f>AP95*AP93</f>
        <v>1489.0970149253735</v>
      </c>
      <c r="AQ96" s="184">
        <f>AQ95*AQ93</f>
        <v>985.59701492537283</v>
      </c>
      <c r="AR96" s="184">
        <f>AR95*AR93</f>
        <v>528.15223880597</v>
      </c>
      <c r="AS96" s="228"/>
    </row>
    <row r="98" spans="9:61" x14ac:dyDescent="0.3">
      <c r="P98">
        <v>41.7</v>
      </c>
    </row>
    <row r="99" spans="9:61" x14ac:dyDescent="0.3">
      <c r="S99" s="185">
        <f>S100-P100</f>
        <v>0.11030115364258819</v>
      </c>
      <c r="AK99" s="231">
        <v>2023</v>
      </c>
      <c r="AO99" s="232" t="s">
        <v>255</v>
      </c>
      <c r="AP99" s="232"/>
      <c r="AQ99" s="232"/>
      <c r="AR99" s="232"/>
      <c r="AS99" s="232"/>
    </row>
    <row r="100" spans="9:61" x14ac:dyDescent="0.3">
      <c r="I100" s="186"/>
      <c r="K100" s="233">
        <v>36.72</v>
      </c>
      <c r="L100" s="234"/>
      <c r="M100" s="235">
        <v>41.28</v>
      </c>
      <c r="N100" s="236"/>
      <c r="O100" s="186"/>
      <c r="P100" s="237">
        <f>Table_14345[[#Totals],[Resultado IIP
2023]]</f>
        <v>45.019698846357414</v>
      </c>
      <c r="Q100" s="238"/>
      <c r="S100" s="239">
        <v>45.13</v>
      </c>
      <c r="T100" s="239"/>
      <c r="U100" s="186"/>
      <c r="V100" s="186"/>
      <c r="W100" s="186"/>
      <c r="X100" s="186"/>
      <c r="AK100" s="231"/>
      <c r="AO100" s="177" t="s">
        <v>256</v>
      </c>
      <c r="AP100" s="177" t="s">
        <v>257</v>
      </c>
      <c r="AQ100" s="177" t="s">
        <v>258</v>
      </c>
      <c r="AR100" s="177" t="s">
        <v>259</v>
      </c>
      <c r="AS100" s="178" t="s">
        <v>260</v>
      </c>
      <c r="BH100">
        <v>197</v>
      </c>
      <c r="BI100">
        <v>47</v>
      </c>
    </row>
    <row r="101" spans="9:61" x14ac:dyDescent="0.3">
      <c r="I101" s="187"/>
      <c r="K101" s="240" t="s">
        <v>266</v>
      </c>
      <c r="L101" s="241"/>
      <c r="M101" s="242" t="s">
        <v>247</v>
      </c>
      <c r="N101" s="243"/>
      <c r="O101" s="187"/>
      <c r="P101" s="244" t="s">
        <v>248</v>
      </c>
      <c r="Q101" s="245"/>
      <c r="S101" s="246" t="s">
        <v>248</v>
      </c>
      <c r="T101" s="247"/>
      <c r="U101" s="187"/>
      <c r="V101" s="187"/>
      <c r="W101" s="187"/>
      <c r="X101" s="187"/>
      <c r="AK101" s="231"/>
      <c r="AN101" s="179" t="s">
        <v>261</v>
      </c>
      <c r="AO101" s="180">
        <v>25</v>
      </c>
      <c r="AP101" s="180">
        <v>35</v>
      </c>
      <c r="AQ101" s="180">
        <v>25</v>
      </c>
      <c r="AR101" s="180">
        <v>15</v>
      </c>
      <c r="AS101" s="226">
        <f>(AO104+AP104+AQ104+AR104)/100</f>
        <v>45.019698846357414</v>
      </c>
      <c r="BH101">
        <v>100</v>
      </c>
      <c r="BI101">
        <f>BI100*BH101/BH100</f>
        <v>23.857868020304569</v>
      </c>
    </row>
    <row r="102" spans="9:61" x14ac:dyDescent="0.3">
      <c r="AK102" s="231"/>
      <c r="AN102" s="179" t="s">
        <v>262</v>
      </c>
      <c r="AO102" s="181">
        <f>Table_14345[[#Totals],[COM 1 - 2023]]</f>
        <v>12.446670495567234</v>
      </c>
      <c r="AP102" s="181">
        <f>Table_14345[[#Totals],[COM 2 - 2023]]</f>
        <v>14.720212905720153</v>
      </c>
      <c r="AQ102" s="181">
        <f>Table_14345[[#Totals],[COM 3 - 2023]]</f>
        <v>10.663105300142492</v>
      </c>
      <c r="AR102" s="181">
        <f>Table_14345[[#Totals],[COM 4 - 2023]]</f>
        <v>7.1897101449275356</v>
      </c>
      <c r="AS102" s="227"/>
    </row>
    <row r="103" spans="9:61" x14ac:dyDescent="0.3">
      <c r="I103" s="188"/>
      <c r="M103" s="229">
        <f>M100-K100</f>
        <v>4.5600000000000023</v>
      </c>
      <c r="N103" s="229"/>
      <c r="O103" s="188"/>
      <c r="P103" s="230">
        <f>P100-M100</f>
        <v>3.7396988463574132</v>
      </c>
      <c r="Q103" s="230"/>
      <c r="S103" s="229">
        <f>S100-M100</f>
        <v>3.8500000000000014</v>
      </c>
      <c r="T103" s="229"/>
      <c r="U103" s="188"/>
      <c r="V103" s="188"/>
      <c r="W103" s="188"/>
      <c r="X103" s="188"/>
      <c r="AK103" s="231"/>
      <c r="AN103" s="179" t="s">
        <v>264</v>
      </c>
      <c r="AO103" s="183">
        <f>(AO102*100)/AO101</f>
        <v>49.786681982268938</v>
      </c>
      <c r="AP103" s="183">
        <f>(AP102*100)/AP101</f>
        <v>42.057751159200436</v>
      </c>
      <c r="AQ103" s="183">
        <f>(AQ102*100)/AQ101</f>
        <v>42.652421200569968</v>
      </c>
      <c r="AR103" s="183">
        <f>(AR102*100)/AR101</f>
        <v>47.931400966183567</v>
      </c>
      <c r="AS103" s="227"/>
    </row>
    <row r="104" spans="9:61" x14ac:dyDescent="0.3">
      <c r="AK104" s="231"/>
      <c r="AN104" s="179" t="s">
        <v>265</v>
      </c>
      <c r="AO104" s="184">
        <f>AO103*AO101</f>
        <v>1244.6670495567234</v>
      </c>
      <c r="AP104" s="184">
        <f>AP103*AP101</f>
        <v>1472.0212905720152</v>
      </c>
      <c r="AQ104" s="184">
        <f>AQ103*AQ101</f>
        <v>1066.3105300142493</v>
      </c>
      <c r="AR104" s="184">
        <f>AR103*AR101</f>
        <v>718.97101449275351</v>
      </c>
      <c r="AS104" s="228"/>
    </row>
    <row r="105" spans="9:61" x14ac:dyDescent="0.3">
      <c r="P105">
        <v>42.19</v>
      </c>
    </row>
  </sheetData>
  <mergeCells count="47">
    <mergeCell ref="AK2:AX2"/>
    <mergeCell ref="AY2:BM2"/>
    <mergeCell ref="BN2:BQ2"/>
    <mergeCell ref="BR2:CA2"/>
    <mergeCell ref="AK3:AL3"/>
    <mergeCell ref="AM3:AP3"/>
    <mergeCell ref="AQ3:AV3"/>
    <mergeCell ref="AY3:BC3"/>
    <mergeCell ref="BD3:BG3"/>
    <mergeCell ref="BJ3:BL3"/>
    <mergeCell ref="M85:N85"/>
    <mergeCell ref="BO3:BP3"/>
    <mergeCell ref="BR3:BS3"/>
    <mergeCell ref="BT3:BY3"/>
    <mergeCell ref="AM4:AN4"/>
    <mergeCell ref="AO4:AP4"/>
    <mergeCell ref="AQ4:AS4"/>
    <mergeCell ref="AT4:AV4"/>
    <mergeCell ref="BB4:BC4"/>
    <mergeCell ref="BF4:BG4"/>
    <mergeCell ref="J5:N5"/>
    <mergeCell ref="P5:T5"/>
    <mergeCell ref="Y5:AC5"/>
    <mergeCell ref="AE5:AH5"/>
    <mergeCell ref="M84:N84"/>
    <mergeCell ref="R90:S90"/>
    <mergeCell ref="R91:S91"/>
    <mergeCell ref="AK91:AK96"/>
    <mergeCell ref="AO91:AS91"/>
    <mergeCell ref="R92:S92"/>
    <mergeCell ref="R93:S93"/>
    <mergeCell ref="AS93:AS96"/>
    <mergeCell ref="R95:S95"/>
    <mergeCell ref="K100:L100"/>
    <mergeCell ref="M100:N100"/>
    <mergeCell ref="P100:Q100"/>
    <mergeCell ref="S100:T100"/>
    <mergeCell ref="K101:L101"/>
    <mergeCell ref="M101:N101"/>
    <mergeCell ref="P101:Q101"/>
    <mergeCell ref="S101:T101"/>
    <mergeCell ref="AS101:AS104"/>
    <mergeCell ref="M103:N103"/>
    <mergeCell ref="P103:Q103"/>
    <mergeCell ref="S103:T103"/>
    <mergeCell ref="AK99:AK104"/>
    <mergeCell ref="AO99:AS99"/>
  </mergeCells>
  <phoneticPr fontId="32" type="noConversion"/>
  <conditionalFormatting sqref="M103:N103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P103:Q103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S103:X103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AK8:AK8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:AL8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:AM8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:AN8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:AO8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:AP8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:AQ8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8:AR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8:AS8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:AT8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8:AU8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8:AV8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:AY8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:AZ8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8:BA8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:BB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:BC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:BD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:BE8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:BF8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8:BG8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:BH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8:BI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8:BJ8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8:BK8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:BL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:BN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8:BO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8:BP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8:BR8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8:BS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8:BT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8:BU8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8:BV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8:BW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8:BX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8:BY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8:BZ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I77">
    <cfRule type="cellIs" dxfId="131" priority="7" operator="equal">
      <formula>"no"</formula>
    </cfRule>
    <cfRule type="cellIs" dxfId="130" priority="8" operator="equal">
      <formula>"si"</formula>
    </cfRule>
  </conditionalFormatting>
  <conditionalFormatting sqref="AE8:AE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:AF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:AG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10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" id="{C99D6102-D235-41AD-9B21-167603005A9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AD8:AD80 AI8:AI80</xm:sqref>
        </x14:conditionalFormatting>
        <x14:conditionalFormatting xmlns:xm="http://schemas.microsoft.com/office/excel/2006/main">
          <x14:cfRule type="iconSet" priority="52" id="{EBE447DE-C84C-4005-8E0B-D0FDDAB7D73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R90</xm:sqref>
        </x14:conditionalFormatting>
        <x14:conditionalFormatting xmlns:xm="http://schemas.microsoft.com/office/excel/2006/main">
          <x14:cfRule type="iconSet" priority="51" id="{0C35AA34-7A36-491E-A488-4FBC80EFD23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R91:R93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DAD80942-2F13-4BA4-B137-AC56384B9B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'Puntajes 2023_ago22'!B9:D9</xm:f>
              <xm:sqref>E9</xm:sqref>
            </x14:sparkline>
            <x14:sparkline>
              <xm:f>'Puntajes 2023_ago22'!B10:D10</xm:f>
              <xm:sqref>E10</xm:sqref>
            </x14:sparkline>
            <x14:sparkline>
              <xm:f>'Puntajes 2023_ago22'!B11:D11</xm:f>
              <xm:sqref>E11</xm:sqref>
            </x14:sparkline>
            <x14:sparkline>
              <xm:f>'Puntajes 2023_ago22'!B12:D12</xm:f>
              <xm:sqref>E12</xm:sqref>
            </x14:sparkline>
            <x14:sparkline>
              <xm:f>'Puntajes 2023_ago22'!B13:D13</xm:f>
              <xm:sqref>E13</xm:sqref>
            </x14:sparkline>
            <x14:sparkline>
              <xm:f>'Puntajes 2023_ago22'!B14:D14</xm:f>
              <xm:sqref>E14</xm:sqref>
            </x14:sparkline>
            <x14:sparkline>
              <xm:f>'Puntajes 2023_ago22'!B15:D15</xm:f>
              <xm:sqref>E15</xm:sqref>
            </x14:sparkline>
            <x14:sparkline>
              <xm:f>'Puntajes 2023_ago22'!B16:D16</xm:f>
              <xm:sqref>E16</xm:sqref>
            </x14:sparkline>
            <x14:sparkline>
              <xm:f>'Puntajes 2023_ago22'!B17:D17</xm:f>
              <xm:sqref>E17</xm:sqref>
            </x14:sparkline>
            <x14:sparkline>
              <xm:f>'Puntajes 2023_ago22'!B18:D18</xm:f>
              <xm:sqref>E18</xm:sqref>
            </x14:sparkline>
            <x14:sparkline>
              <xm:f>'Puntajes 2023_ago22'!B19:D19</xm:f>
              <xm:sqref>E19</xm:sqref>
            </x14:sparkline>
            <x14:sparkline>
              <xm:f>'Puntajes 2023_ago22'!B20:D20</xm:f>
              <xm:sqref>E20</xm:sqref>
            </x14:sparkline>
            <x14:sparkline>
              <xm:f>'Puntajes 2023_ago22'!B21:D21</xm:f>
              <xm:sqref>E21</xm:sqref>
            </x14:sparkline>
            <x14:sparkline>
              <xm:f>'Puntajes 2023_ago22'!B22:D22</xm:f>
              <xm:sqref>E22</xm:sqref>
            </x14:sparkline>
            <x14:sparkline>
              <xm:f>'Puntajes 2023_ago22'!B23:D23</xm:f>
              <xm:sqref>E23</xm:sqref>
            </x14:sparkline>
            <x14:sparkline>
              <xm:f>'Puntajes 2023_ago22'!B24:D24</xm:f>
              <xm:sqref>E24</xm:sqref>
            </x14:sparkline>
            <x14:sparkline>
              <xm:f>'Puntajes 2023_ago22'!B25:D25</xm:f>
              <xm:sqref>E25</xm:sqref>
            </x14:sparkline>
            <x14:sparkline>
              <xm:f>'Puntajes 2023_ago22'!B26:D26</xm:f>
              <xm:sqref>E26</xm:sqref>
            </x14:sparkline>
            <x14:sparkline>
              <xm:f>'Puntajes 2023_ago22'!B27:D27</xm:f>
              <xm:sqref>E27</xm:sqref>
            </x14:sparkline>
            <x14:sparkline>
              <xm:f>'Puntajes 2023_ago22'!B28:D28</xm:f>
              <xm:sqref>E28</xm:sqref>
            </x14:sparkline>
            <x14:sparkline>
              <xm:f>'Puntajes 2023_ago22'!B29:D29</xm:f>
              <xm:sqref>E29</xm:sqref>
            </x14:sparkline>
            <x14:sparkline>
              <xm:f>'Puntajes 2023_ago22'!B30:D30</xm:f>
              <xm:sqref>E30</xm:sqref>
            </x14:sparkline>
            <x14:sparkline>
              <xm:f>'Puntajes 2023_ago22'!B31:D31</xm:f>
              <xm:sqref>E31</xm:sqref>
            </x14:sparkline>
            <x14:sparkline>
              <xm:f>'Puntajes 2023_ago22'!B32:D32</xm:f>
              <xm:sqref>E32</xm:sqref>
            </x14:sparkline>
            <x14:sparkline>
              <xm:f>'Puntajes 2023_ago22'!B33:D33</xm:f>
              <xm:sqref>E33</xm:sqref>
            </x14:sparkline>
            <x14:sparkline>
              <xm:f>'Puntajes 2023_ago22'!B34:D34</xm:f>
              <xm:sqref>E34</xm:sqref>
            </x14:sparkline>
            <x14:sparkline>
              <xm:f>'Puntajes 2023_ago22'!B35:D35</xm:f>
              <xm:sqref>E35</xm:sqref>
            </x14:sparkline>
            <x14:sparkline>
              <xm:f>'Puntajes 2023_ago22'!B36:D36</xm:f>
              <xm:sqref>E36</xm:sqref>
            </x14:sparkline>
            <x14:sparkline>
              <xm:f>'Puntajes 2023_ago22'!B37:D37</xm:f>
              <xm:sqref>E37</xm:sqref>
            </x14:sparkline>
            <x14:sparkline>
              <xm:f>'Puntajes 2023_ago22'!B38:D38</xm:f>
              <xm:sqref>E38</xm:sqref>
            </x14:sparkline>
            <x14:sparkline>
              <xm:f>'Puntajes 2023_ago22'!B39:D39</xm:f>
              <xm:sqref>E39</xm:sqref>
            </x14:sparkline>
            <x14:sparkline>
              <xm:f>'Puntajes 2023_ago22'!B40:D40</xm:f>
              <xm:sqref>E40</xm:sqref>
            </x14:sparkline>
            <x14:sparkline>
              <xm:f>'Puntajes 2023_ago22'!B41:D41</xm:f>
              <xm:sqref>E41</xm:sqref>
            </x14:sparkline>
            <x14:sparkline>
              <xm:f>'Puntajes 2023_ago22'!B42:D42</xm:f>
              <xm:sqref>E42</xm:sqref>
            </x14:sparkline>
            <x14:sparkline>
              <xm:f>'Puntajes 2023_ago22'!B43:D43</xm:f>
              <xm:sqref>E43</xm:sqref>
            </x14:sparkline>
            <x14:sparkline>
              <xm:f>'Puntajes 2023_ago22'!B44:D44</xm:f>
              <xm:sqref>E44</xm:sqref>
            </x14:sparkline>
            <x14:sparkline>
              <xm:f>'Puntajes 2023_ago22'!B45:D45</xm:f>
              <xm:sqref>E45</xm:sqref>
            </x14:sparkline>
            <x14:sparkline>
              <xm:f>'Puntajes 2023_ago22'!B46:D46</xm:f>
              <xm:sqref>E46</xm:sqref>
            </x14:sparkline>
            <x14:sparkline>
              <xm:f>'Puntajes 2023_ago22'!B47:D47</xm:f>
              <xm:sqref>E47</xm:sqref>
            </x14:sparkline>
            <x14:sparkline>
              <xm:f>'Puntajes 2023_ago22'!B48:D48</xm:f>
              <xm:sqref>E48</xm:sqref>
            </x14:sparkline>
            <x14:sparkline>
              <xm:f>'Puntajes 2023_ago22'!B49:D49</xm:f>
              <xm:sqref>E49</xm:sqref>
            </x14:sparkline>
            <x14:sparkline>
              <xm:f>'Puntajes 2023_ago22'!B50:D50</xm:f>
              <xm:sqref>E50</xm:sqref>
            </x14:sparkline>
            <x14:sparkline>
              <xm:f>'Puntajes 2023_ago22'!B51:D51</xm:f>
              <xm:sqref>E51</xm:sqref>
            </x14:sparkline>
            <x14:sparkline>
              <xm:f>'Puntajes 2023_ago22'!B52:D52</xm:f>
              <xm:sqref>E52</xm:sqref>
            </x14:sparkline>
            <x14:sparkline>
              <xm:f>'Puntajes 2023_ago22'!B53:D53</xm:f>
              <xm:sqref>E53</xm:sqref>
            </x14:sparkline>
            <x14:sparkline>
              <xm:f>'Puntajes 2023_ago22'!B54:D54</xm:f>
              <xm:sqref>E54</xm:sqref>
            </x14:sparkline>
            <x14:sparkline>
              <xm:f>'Puntajes 2023_ago22'!B55:D55</xm:f>
              <xm:sqref>E55</xm:sqref>
            </x14:sparkline>
            <x14:sparkline>
              <xm:f>'Puntajes 2023_ago22'!B56:D56</xm:f>
              <xm:sqref>E56</xm:sqref>
            </x14:sparkline>
            <x14:sparkline>
              <xm:f>'Puntajes 2023_ago22'!B57:D57</xm:f>
              <xm:sqref>E57</xm:sqref>
            </x14:sparkline>
            <x14:sparkline>
              <xm:f>'Puntajes 2023_ago22'!B58:D58</xm:f>
              <xm:sqref>E58</xm:sqref>
            </x14:sparkline>
            <x14:sparkline>
              <xm:f>'Puntajes 2023_ago22'!B59:D59</xm:f>
              <xm:sqref>E59</xm:sqref>
            </x14:sparkline>
            <x14:sparkline>
              <xm:f>'Puntajes 2023_ago22'!B60:D60</xm:f>
              <xm:sqref>E60</xm:sqref>
            </x14:sparkline>
            <x14:sparkline>
              <xm:f>'Puntajes 2023_ago22'!B61:D61</xm:f>
              <xm:sqref>E61</xm:sqref>
            </x14:sparkline>
            <x14:sparkline>
              <xm:f>'Puntajes 2023_ago22'!B62:D62</xm:f>
              <xm:sqref>E62</xm:sqref>
            </x14:sparkline>
            <x14:sparkline>
              <xm:f>'Puntajes 2023_ago22'!B63:D63</xm:f>
              <xm:sqref>E63</xm:sqref>
            </x14:sparkline>
            <x14:sparkline>
              <xm:f>'Puntajes 2023_ago22'!B64:D64</xm:f>
              <xm:sqref>E64</xm:sqref>
            </x14:sparkline>
            <x14:sparkline>
              <xm:f>'Puntajes 2023_ago22'!B65:D65</xm:f>
              <xm:sqref>E65</xm:sqref>
            </x14:sparkline>
            <x14:sparkline>
              <xm:f>'Puntajes 2023_ago22'!B66:D66</xm:f>
              <xm:sqref>E66</xm:sqref>
            </x14:sparkline>
            <x14:sparkline>
              <xm:f>'Puntajes 2023_ago22'!B67:D67</xm:f>
              <xm:sqref>E67</xm:sqref>
            </x14:sparkline>
            <x14:sparkline>
              <xm:f>'Puntajes 2023_ago22'!B68:D68</xm:f>
              <xm:sqref>E68</xm:sqref>
            </x14:sparkline>
            <x14:sparkline>
              <xm:f>'Puntajes 2023_ago22'!B69:D69</xm:f>
              <xm:sqref>E69</xm:sqref>
            </x14:sparkline>
            <x14:sparkline>
              <xm:f>'Puntajes 2023_ago22'!B70:D70</xm:f>
              <xm:sqref>E70</xm:sqref>
            </x14:sparkline>
            <x14:sparkline>
              <xm:f>'Puntajes 2023_ago22'!B71:D71</xm:f>
              <xm:sqref>E71</xm:sqref>
            </x14:sparkline>
            <x14:sparkline>
              <xm:f>'Puntajes 2023_ago22'!B72:D72</xm:f>
              <xm:sqref>E72</xm:sqref>
            </x14:sparkline>
            <x14:sparkline>
              <xm:f>'Puntajes 2023_ago22'!B73:D73</xm:f>
              <xm:sqref>E73</xm:sqref>
            </x14:sparkline>
            <x14:sparkline>
              <xm:f>'Puntajes 2023_ago22'!B74:D74</xm:f>
              <xm:sqref>E74</xm:sqref>
            </x14:sparkline>
            <x14:sparkline>
              <xm:f>'Puntajes 2023_ago22'!B75:D75</xm:f>
              <xm:sqref>E75</xm:sqref>
            </x14:sparkline>
            <x14:sparkline>
              <xm:f>'Puntajes 2023_ago22'!B76:D76</xm:f>
              <xm:sqref>E76</xm:sqref>
            </x14:sparkline>
            <x14:sparkline>
              <xm:f>'Puntajes 2023_ago22'!B77:D77</xm:f>
              <xm:sqref>E77</xm:sqref>
            </x14:sparkline>
            <x14:sparkline>
              <xm:f>'Puntajes 2023_ago22'!B78:D78</xm:f>
              <xm:sqref>E78</xm:sqref>
            </x14:sparkline>
            <x14:sparkline>
              <xm:f>'Puntajes 2023_ago22'!B79:D79</xm:f>
              <xm:sqref>E79</xm:sqref>
            </x14:sparkline>
            <x14:sparkline>
              <xm:f>'Puntajes 2023_ago22'!B80:D80</xm:f>
              <xm:sqref>E80</xm:sqref>
            </x14:sparkline>
          </x14:sparklines>
        </x14:sparklineGroup>
        <x14:sparklineGroup manualMax="0" manualMin="0" displayEmptyCellsAs="gap" xr2:uid="{7D992F5B-3CD6-481C-9295-148773E7EB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'Puntajes 2023_ago22'!B8:D8</xm:f>
              <xm:sqref>E8</xm:sqref>
            </x14:sparkline>
          </x14:sparklines>
        </x14:sparklineGroup>
      </x14:sparklineGroup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Puntajes 2023_ago22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2024-01-31T00:56:08Z</dcterms:created>
  <dcterms:modified xsi:type="dcterms:W3CDTF">2024-04-02T14:11:15Z</dcterms:modified>
</cp:coreProperties>
</file>