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RM\LANDIS_II\GitCode\Extension-Output-Bird-Habitat\trunk\tests\"/>
    </mc:Choice>
  </mc:AlternateContent>
  <bookViews>
    <workbookView xWindow="1035" yWindow="180" windowWidth="17235" windowHeight="7935" activeTab="2"/>
  </bookViews>
  <sheets>
    <sheet name="BLBW" sheetId="6" r:id="rId1"/>
    <sheet name="CONW" sheetId="7" r:id="rId2"/>
    <sheet name="LEFL" sheetId="14" r:id="rId3"/>
    <sheet name="PIWA" sheetId="1" r:id="rId4"/>
    <sheet name="RBGR" sheetId="13" r:id="rId5"/>
    <sheet name="REVI" sheetId="9" r:id="rId6"/>
    <sheet name="SCTF" sheetId="15" r:id="rId7"/>
    <sheet name="YBFL" sheetId="4" r:id="rId8"/>
    <sheet name="OVEN" sheetId="5" r:id="rId9"/>
    <sheet name="GWWA" sheetId="8" r:id="rId10"/>
    <sheet name="GWWA_MODIFIED_AG" sheetId="12" r:id="rId11"/>
  </sheets>
  <calcPr calcId="152511"/>
</workbook>
</file>

<file path=xl/calcChain.xml><?xml version="1.0" encoding="utf-8"?>
<calcChain xmlns="http://schemas.openxmlformats.org/spreadsheetml/2006/main">
  <c r="E15" i="14" l="1"/>
  <c r="E16" i="14"/>
  <c r="E17" i="14"/>
  <c r="E18" i="14"/>
  <c r="E19" i="14"/>
  <c r="E20" i="14"/>
  <c r="E21" i="14"/>
  <c r="E22" i="14"/>
  <c r="E23" i="14"/>
  <c r="E24" i="14"/>
  <c r="E25" i="14"/>
  <c r="F13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E12" i="15"/>
  <c r="D12" i="15"/>
  <c r="C12" i="15"/>
  <c r="B12" i="15"/>
  <c r="F8" i="15"/>
  <c r="E8" i="15"/>
  <c r="D8" i="15"/>
  <c r="F7" i="15"/>
  <c r="E7" i="15"/>
  <c r="D7" i="15"/>
  <c r="E14" i="14"/>
  <c r="D12" i="14"/>
  <c r="C12" i="14"/>
  <c r="B12" i="14"/>
  <c r="C8" i="14"/>
  <c r="C7" i="14"/>
  <c r="E13" i="14" l="1"/>
  <c r="C15" i="13"/>
  <c r="F15" i="13" l="1"/>
  <c r="F13" i="13"/>
  <c r="F14" i="13"/>
  <c r="E12" i="13"/>
  <c r="D12" i="13"/>
  <c r="C12" i="13"/>
  <c r="B12" i="13"/>
  <c r="C8" i="13"/>
  <c r="C7" i="13"/>
  <c r="T25" i="12" l="1"/>
  <c r="T14" i="12"/>
  <c r="R24" i="12" l="1"/>
  <c r="T23" i="12" l="1"/>
  <c r="T22" i="12"/>
  <c r="R21" i="12"/>
  <c r="T21" i="12" s="1"/>
  <c r="T15" i="12"/>
  <c r="T16" i="12"/>
  <c r="T17" i="12"/>
  <c r="T18" i="12"/>
  <c r="T19" i="12"/>
  <c r="I14" i="12"/>
  <c r="I19" i="12"/>
  <c r="I18" i="12"/>
  <c r="I17" i="12"/>
  <c r="I16" i="12"/>
  <c r="I15" i="12"/>
  <c r="G13" i="12"/>
  <c r="F13" i="12"/>
  <c r="E13" i="12"/>
  <c r="D13" i="12"/>
  <c r="F9" i="12"/>
  <c r="E9" i="12"/>
  <c r="F8" i="12"/>
  <c r="E8" i="12"/>
  <c r="Q9" i="12" l="1"/>
  <c r="Q24" i="12" s="1"/>
  <c r="Q8" i="12"/>
  <c r="Q10" i="12" s="1"/>
  <c r="P9" i="12"/>
  <c r="P24" i="12" s="1"/>
  <c r="T24" i="12" s="1"/>
  <c r="P8" i="12"/>
  <c r="F13" i="8"/>
  <c r="F42" i="8"/>
  <c r="F41" i="8"/>
  <c r="F40" i="8"/>
  <c r="F39" i="8"/>
  <c r="F38" i="8"/>
  <c r="F37" i="8"/>
  <c r="E36" i="8"/>
  <c r="D36" i="8"/>
  <c r="C36" i="8"/>
  <c r="B36" i="8"/>
  <c r="E32" i="8"/>
  <c r="D32" i="8"/>
  <c r="E31" i="8"/>
  <c r="D31" i="8"/>
  <c r="P10" i="12" l="1"/>
  <c r="F18" i="8"/>
  <c r="F17" i="8" l="1"/>
  <c r="F16" i="8"/>
  <c r="F15" i="8"/>
  <c r="F28" i="9"/>
  <c r="F22" i="9"/>
  <c r="F27" i="9"/>
  <c r="F26" i="9"/>
  <c r="F25" i="9"/>
  <c r="F24" i="9"/>
  <c r="F23" i="9"/>
  <c r="F21" i="9"/>
  <c r="F20" i="9"/>
  <c r="F19" i="9"/>
  <c r="F18" i="9"/>
  <c r="F17" i="9"/>
  <c r="F16" i="9"/>
  <c r="F13" i="9"/>
  <c r="F15" i="9"/>
  <c r="F14" i="9" l="1"/>
  <c r="F8" i="9"/>
  <c r="F7" i="9"/>
  <c r="E12" i="9"/>
  <c r="D12" i="9"/>
  <c r="C12" i="9"/>
  <c r="B12" i="9"/>
  <c r="E8" i="9"/>
  <c r="D8" i="9"/>
  <c r="E7" i="9"/>
  <c r="D7" i="9"/>
  <c r="F14" i="8"/>
  <c r="E8" i="8"/>
  <c r="E7" i="8"/>
  <c r="D8" i="8"/>
  <c r="D7" i="8"/>
  <c r="E12" i="8"/>
  <c r="D12" i="8"/>
  <c r="C12" i="8"/>
  <c r="B12" i="8"/>
  <c r="C16" i="7" l="1"/>
  <c r="F17" i="7"/>
  <c r="C12" i="7"/>
  <c r="B12" i="7"/>
  <c r="D8" i="7"/>
  <c r="C14" i="7" s="1"/>
  <c r="C8" i="7"/>
  <c r="B15" i="7" s="1"/>
  <c r="D7" i="7"/>
  <c r="C15" i="7" s="1"/>
  <c r="C7" i="7"/>
  <c r="B16" i="7" s="1"/>
  <c r="F14" i="6"/>
  <c r="F15" i="6"/>
  <c r="F16" i="6"/>
  <c r="F17" i="6"/>
  <c r="F13" i="6"/>
  <c r="F19" i="6" s="1"/>
  <c r="C12" i="6"/>
  <c r="B12" i="6"/>
  <c r="D8" i="6"/>
  <c r="C8" i="6"/>
  <c r="D7" i="6"/>
  <c r="C7" i="6"/>
  <c r="F20" i="6" l="1"/>
  <c r="B13" i="7"/>
  <c r="B14" i="7"/>
  <c r="F14" i="7" s="1"/>
  <c r="C13" i="7"/>
  <c r="F16" i="7"/>
  <c r="F15" i="7"/>
  <c r="C15" i="4"/>
  <c r="F13" i="7" l="1"/>
  <c r="C13" i="5"/>
  <c r="D7" i="5"/>
  <c r="D8" i="5"/>
  <c r="C14" i="5" s="1"/>
  <c r="E20" i="1"/>
  <c r="F20" i="5"/>
  <c r="E3" i="5"/>
  <c r="F19" i="5"/>
  <c r="F19" i="7" l="1"/>
  <c r="F20" i="7"/>
  <c r="D12" i="5"/>
  <c r="C12" i="5"/>
  <c r="B12" i="5"/>
  <c r="D18" i="5"/>
  <c r="D17" i="5"/>
  <c r="D16" i="5"/>
  <c r="D15" i="5"/>
  <c r="D14" i="5"/>
  <c r="D13" i="5"/>
  <c r="C8" i="5"/>
  <c r="B17" i="5" s="1"/>
  <c r="C7" i="5"/>
  <c r="B15" i="5" s="1"/>
  <c r="F15" i="5" s="1"/>
  <c r="F17" i="5" l="1"/>
  <c r="B14" i="5"/>
  <c r="F14" i="5" s="1"/>
  <c r="B16" i="5"/>
  <c r="F16" i="5" s="1"/>
  <c r="B18" i="5"/>
  <c r="F18" i="5" s="1"/>
  <c r="B13" i="5"/>
  <c r="F13" i="5" s="1"/>
  <c r="E4" i="1" l="1"/>
  <c r="D4" i="1"/>
  <c r="C4" i="1"/>
  <c r="B4" i="1"/>
  <c r="C4" i="4"/>
  <c r="B4" i="4"/>
  <c r="B12" i="4"/>
  <c r="C8" i="4"/>
  <c r="C7" i="4"/>
  <c r="B13" i="4" s="1"/>
  <c r="C13" i="4" s="1"/>
  <c r="E19" i="1" l="1"/>
  <c r="B14" i="4"/>
  <c r="C14" i="4" s="1"/>
  <c r="D16" i="1" l="1"/>
  <c r="D15" i="1"/>
  <c r="D14" i="1"/>
  <c r="D13" i="1"/>
  <c r="B14" i="1"/>
  <c r="E14" i="1" s="1"/>
  <c r="D18" i="1"/>
  <c r="D17" i="1"/>
  <c r="B16" i="1"/>
  <c r="E16" i="1" s="1"/>
  <c r="C8" i="1"/>
  <c r="B18" i="1" s="1"/>
  <c r="E18" i="1" s="1"/>
  <c r="C7" i="1"/>
  <c r="B15" i="1" s="1"/>
  <c r="E15" i="1" s="1"/>
  <c r="B13" i="1" l="1"/>
  <c r="E13" i="1" s="1"/>
  <c r="B17" i="1"/>
  <c r="E17" i="1" s="1"/>
</calcChain>
</file>

<file path=xl/sharedStrings.xml><?xml version="1.0" encoding="utf-8"?>
<sst xmlns="http://schemas.openxmlformats.org/spreadsheetml/2006/main" count="343" uniqueCount="88">
  <si>
    <t>int</t>
  </si>
  <si>
    <t>LogUC200</t>
  </si>
  <si>
    <t>PDSI</t>
  </si>
  <si>
    <t>UF500</t>
  </si>
  <si>
    <t>PIWA</t>
  </si>
  <si>
    <t>MinPDSI</t>
  </si>
  <si>
    <t>MaxPDSI</t>
  </si>
  <si>
    <t>MinUC200</t>
  </si>
  <si>
    <t>MaxUC200</t>
  </si>
  <si>
    <t>MinUF500</t>
  </si>
  <si>
    <t>MaxUF500</t>
  </si>
  <si>
    <t>Model Parameters</t>
  </si>
  <si>
    <t>Example Calculations</t>
  </si>
  <si>
    <t>Predictors</t>
  </si>
  <si>
    <t>Predicted</t>
  </si>
  <si>
    <t>Parameter Estimate</t>
  </si>
  <si>
    <t>Min from Data</t>
  </si>
  <si>
    <t>Max from Data</t>
  </si>
  <si>
    <t>MinTransformed (log10)</t>
  </si>
  <si>
    <t>MaxTransformed (log10)</t>
  </si>
  <si>
    <t>LogLC200</t>
  </si>
  <si>
    <t>YBFL</t>
  </si>
  <si>
    <t>Transformed Parameter Estimate</t>
  </si>
  <si>
    <t>MinLogLC200</t>
  </si>
  <si>
    <t>MaxLogLC200</t>
  </si>
  <si>
    <t>Test</t>
  </si>
  <si>
    <t>LogPrevPrecip</t>
  </si>
  <si>
    <t>OVEN</t>
  </si>
  <si>
    <t>Biomass</t>
  </si>
  <si>
    <t>Test2</t>
  </si>
  <si>
    <t>MinPrecip</t>
  </si>
  <si>
    <t>MaxPrecip</t>
  </si>
  <si>
    <t>12.95 in output</t>
  </si>
  <si>
    <t>Open1000</t>
  </si>
  <si>
    <t>BLBW</t>
  </si>
  <si>
    <t>Min</t>
  </si>
  <si>
    <t>Max</t>
  </si>
  <si>
    <t>CONW</t>
  </si>
  <si>
    <t>biomass</t>
  </si>
  <si>
    <t>logopen200</t>
  </si>
  <si>
    <t>logreg1000</t>
  </si>
  <si>
    <t>temp</t>
  </si>
  <si>
    <t>loglc200</t>
  </si>
  <si>
    <t>loglf1000</t>
  </si>
  <si>
    <t>loglf500</t>
  </si>
  <si>
    <t>REVI</t>
  </si>
  <si>
    <t>Test3</t>
  </si>
  <si>
    <t>Under ideal conditions for other parameters, avg spring temp must be &lt;= 7.6 for abundance to be &gt;= 0.01</t>
  </si>
  <si>
    <t>Under realistic but favorable conditions, avg spring temp must be &lt;= 5 for abundnace to be &gt;= 0.01</t>
  </si>
  <si>
    <t>Under realistic unfavorable conditinos, avg spring temp must be &lt;= -15.4 for adundance to be &gt;= 0.01</t>
  </si>
  <si>
    <t>Under favorable conditions for other parameters, biomass must be &lt;= 15800 for abundance to be &gt;= 0.01</t>
  </si>
  <si>
    <t>Test4</t>
  </si>
  <si>
    <t>Test5</t>
  </si>
  <si>
    <t>Under the best conditions in the Chip Year 0 map, temp must be &lt;= 4.7 for abundance to be &gt;= 0.01</t>
  </si>
  <si>
    <t>Test1</t>
  </si>
  <si>
    <t>GWWA</t>
  </si>
  <si>
    <t>MODIFY</t>
  </si>
  <si>
    <t>Under realistic but favorable conditions, avg spring temp must be &lt;= 7.5 for abundnace to be &gt;= 0.01</t>
  </si>
  <si>
    <t>Under favorable conditions for other parameters, biomass must be &lt;= 18500 for abundance to be &gt;= 0.01</t>
  </si>
  <si>
    <t>MinTransformed (ln)</t>
  </si>
  <si>
    <t>MaxTransformed (ln)</t>
  </si>
  <si>
    <t>interaction: logreg1000*temp</t>
  </si>
  <si>
    <t>Mean Transformed(ln)</t>
  </si>
  <si>
    <t>*MAX HABITAT- TEMP DOESN'T MATTER</t>
  </si>
  <si>
    <t>*AVG SPRING TEMP CHANGED FROM 5 TO 7.5</t>
  </si>
  <si>
    <t>*NO HABITAT = NO GWWA NO MATTER THE TEMP</t>
  </si>
  <si>
    <t>*MIN TOLERATED BIOMASS CHANGED FROM 15800 TO 18500</t>
  </si>
  <si>
    <t>glmer(gwwa~ biomassnew + logopen200 + logreg1000 + logreg1000:temp + (1|year) + (1|site) + (1|obs_effect), family=poisson(link=log))</t>
  </si>
  <si>
    <t>COMMENTS</t>
  </si>
  <si>
    <t>Under ideal conditions for other parameters, avg spring temp must be &lt;=32 for abundance to be &gt;= 0.01</t>
  </si>
  <si>
    <t>Under realistic unfavorable conditinons *NO HABITAT* avg spring temp DOESN'T MATTER</t>
  </si>
  <si>
    <t>Test6</t>
  </si>
  <si>
    <t>Test 7</t>
  </si>
  <si>
    <t>Average everything</t>
  </si>
  <si>
    <t>Test 8</t>
  </si>
  <si>
    <t>Minimal habitat, average temp</t>
  </si>
  <si>
    <t>Test 9</t>
  </si>
  <si>
    <t>we used natural log + 1 for transformations ***see email from May 13th</t>
  </si>
  <si>
    <t>more habitat, high temp</t>
  </si>
  <si>
    <t xml:space="preserve">So - I AM NOT REALLY SURE IF THIS NEW MODEL SOLVES ANY ACTUAL ISSUES… But it makes better sense for the ecology of the species. </t>
  </si>
  <si>
    <t>Brian M.'s original GWWA test model</t>
  </si>
  <si>
    <t>Alexis's version with new GWWA model that includes the interaction</t>
  </si>
  <si>
    <t>*ARE THE VALUES FOR OPEN AND REGEN A LOG10 VS. LN RELATED CONSTRAINT?</t>
  </si>
  <si>
    <t>logage</t>
  </si>
  <si>
    <t>RBGR</t>
  </si>
  <si>
    <t>logprecip</t>
  </si>
  <si>
    <t>LEFL</t>
  </si>
  <si>
    <t>SCTF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</si>
</sst>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84806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7">
    <xf numFmtId="0" fontId="0" fillId="0" borderId="0" xfId="0"/>
    <xf numFmtId="0" fontId="0" fillId="0" borderId="10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ill="1"/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33" borderId="0" xfId="0" applyFill="1"/>
    <xf numFmtId="164" fontId="0" fillId="0" borderId="0" xfId="0" applyNumberFormat="1"/>
    <xf numFmtId="2" fontId="0" fillId="33" borderId="0" xfId="0" applyNumberFormat="1" applyFill="1"/>
    <xf numFmtId="11" fontId="0" fillId="0" borderId="0" xfId="0" applyNumberFormat="1" applyFill="1"/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1" fontId="0" fillId="0" borderId="0" xfId="0" applyNumberFormat="1"/>
    <xf numFmtId="0" fontId="0" fillId="0" borderId="0" xfId="0" applyFill="1"/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6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0" fillId="0" borderId="0" xfId="0" applyNumberFormat="1" applyBorder="1"/>
    <xf numFmtId="0" fontId="0" fillId="0" borderId="14" xfId="0" applyFont="1" applyBorder="1"/>
    <xf numFmtId="0" fontId="0" fillId="0" borderId="15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5" xfId="0" applyFont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8" fillId="34" borderId="14" xfId="0" applyFont="1" applyFill="1" applyBorder="1" applyAlignment="1">
      <alignment wrapText="1"/>
    </xf>
    <xf numFmtId="0" fontId="0" fillId="34" borderId="14" xfId="0" applyFill="1" applyBorder="1"/>
    <xf numFmtId="0" fontId="0" fillId="34" borderId="0" xfId="0" applyFill="1" applyBorder="1"/>
    <xf numFmtId="0" fontId="0" fillId="34" borderId="15" xfId="0" applyFill="1" applyBorder="1"/>
    <xf numFmtId="0" fontId="0" fillId="34" borderId="0" xfId="0" applyFont="1" applyFill="1" applyBorder="1"/>
    <xf numFmtId="0" fontId="16" fillId="0" borderId="0" xfId="0" applyFont="1" applyBorder="1"/>
    <xf numFmtId="0" fontId="0" fillId="34" borderId="15" xfId="0" applyFill="1" applyBorder="1" applyAlignment="1">
      <alignment wrapText="1"/>
    </xf>
    <xf numFmtId="0" fontId="0" fillId="0" borderId="15" xfId="0" applyBorder="1" applyAlignment="1">
      <alignment wrapText="1"/>
    </xf>
    <xf numFmtId="0" fontId="0" fillId="34" borderId="16" xfId="0" applyFill="1" applyBorder="1"/>
    <xf numFmtId="0" fontId="0" fillId="34" borderId="17" xfId="0" applyFill="1" applyBorder="1"/>
    <xf numFmtId="0" fontId="0" fillId="34" borderId="18" xfId="0" applyFill="1" applyBorder="1"/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34" borderId="14" xfId="0" applyFont="1" applyFill="1" applyBorder="1" applyAlignment="1">
      <alignment horizontal="center"/>
    </xf>
    <xf numFmtId="0" fontId="0" fillId="34" borderId="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LEFL</a:t>
            </a:r>
          </a:p>
        </c:rich>
      </c:tx>
      <c:layout>
        <c:manualLayout>
          <c:xMode val="edge"/>
          <c:yMode val="edge"/>
          <c:x val="0.44963888888888892"/>
          <c:y val="5.5210501993881632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Lowland Conifer</c:v>
          </c:tx>
          <c:marker>
            <c:symbol val="none"/>
          </c:marker>
          <c:xVal>
            <c:numRef>
              <c:f>LEFL!$C$14:$C$19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LEFL!$E$14:$E$19</c:f>
              <c:numCache>
                <c:formatCode>General</c:formatCode>
                <c:ptCount val="6"/>
                <c:pt idx="0">
                  <c:v>2.0338895616262653</c:v>
                </c:pt>
                <c:pt idx="1">
                  <c:v>1.2482592740344216</c:v>
                </c:pt>
                <c:pt idx="2">
                  <c:v>0.76609430748396634</c:v>
                </c:pt>
                <c:pt idx="3">
                  <c:v>0.47017514723720272</c:v>
                </c:pt>
                <c:pt idx="4">
                  <c:v>0.28856064706387585</c:v>
                </c:pt>
                <c:pt idx="5">
                  <c:v>0.17709835903324456</c:v>
                </c:pt>
              </c:numCache>
            </c:numRef>
          </c:yVal>
          <c:smooth val="0"/>
        </c:ser>
        <c:ser>
          <c:idx val="1"/>
          <c:order val="1"/>
          <c:tx>
            <c:v>100% Lowland Conifer</c:v>
          </c:tx>
          <c:marker>
            <c:symbol val="none"/>
          </c:marker>
          <c:xVal>
            <c:numRef>
              <c:f>LEFL!$C$20:$C$25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LEFL!$E$20:$E$25</c:f>
              <c:numCache>
                <c:formatCode>General</c:formatCode>
                <c:ptCount val="6"/>
                <c:pt idx="0">
                  <c:v>0.41144908367323968</c:v>
                </c:pt>
                <c:pt idx="1">
                  <c:v>0.25251869333427518</c:v>
                </c:pt>
                <c:pt idx="2">
                  <c:v>0.15497832663516264</c:v>
                </c:pt>
                <c:pt idx="3">
                  <c:v>9.5114866188700853E-2</c:v>
                </c:pt>
                <c:pt idx="4">
                  <c:v>5.837485773989412E-2</c:v>
                </c:pt>
                <c:pt idx="5">
                  <c:v>3.5826408138896024E-2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193240"/>
        <c:axId val="292193632"/>
      </c:scatterChart>
      <c:valAx>
        <c:axId val="29219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ln(precip)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2193632"/>
        <c:crosses val="autoZero"/>
        <c:crossBetween val="midCat"/>
      </c:valAx>
      <c:valAx>
        <c:axId val="292193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Abundance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2193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73044619422573"/>
          <c:y val="0.12746279051266213"/>
          <c:w val="0.33547331583552054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REVI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100% Lowland Conifer</c:v>
          </c:tx>
          <c:marker>
            <c:symbol val="none"/>
          </c:marker>
          <c:xVal>
            <c:numRef>
              <c:f>REVI!$B$17:$B$22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REVI!$F$17:$F$22</c:f>
              <c:numCache>
                <c:formatCode>General</c:formatCode>
                <c:ptCount val="6"/>
                <c:pt idx="0">
                  <c:v>1.3012768828703487</c:v>
                </c:pt>
                <c:pt idx="1">
                  <c:v>2.5850529724651405</c:v>
                </c:pt>
                <c:pt idx="2">
                  <c:v>5.1353397254784445</c:v>
                </c:pt>
                <c:pt idx="3">
                  <c:v>10.201614580814022</c:v>
                </c:pt>
                <c:pt idx="4">
                  <c:v>20.266028270560252</c:v>
                </c:pt>
                <c:pt idx="5">
                  <c:v>40.259499965384421</c:v>
                </c:pt>
              </c:numCache>
            </c:numRef>
          </c:yVal>
          <c:smooth val="0"/>
        </c:ser>
        <c:ser>
          <c:idx val="1"/>
          <c:order val="1"/>
          <c:tx>
            <c:v>No LowlandForest</c:v>
          </c:tx>
          <c:marker>
            <c:symbol val="none"/>
          </c:marker>
          <c:xVal>
            <c:numRef>
              <c:f>REVI!$B$23:$B$28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REVI!$F$23:$F$28</c:f>
              <c:numCache>
                <c:formatCode>General</c:formatCode>
                <c:ptCount val="6"/>
                <c:pt idx="0">
                  <c:v>2.6180191965875594</c:v>
                </c:pt>
                <c:pt idx="1">
                  <c:v>5.2008288129896521</c:v>
                </c:pt>
                <c:pt idx="2">
                  <c:v>10.331711997100602</c:v>
                </c:pt>
                <c:pt idx="3">
                  <c:v>20.52447343093214</c:v>
                </c:pt>
                <c:pt idx="4">
                  <c:v>40.772914472960167</c:v>
                </c:pt>
                <c:pt idx="5">
                  <c:v>80.997476510841892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93336"/>
        <c:axId val="166793728"/>
      </c:scatterChart>
      <c:valAx>
        <c:axId val="16679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Biomass (g/m2)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793728"/>
        <c:crosses val="autoZero"/>
        <c:crossBetween val="midCat"/>
      </c:valAx>
      <c:valAx>
        <c:axId val="166793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Abundance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793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063779527559057"/>
          <c:y val="0.13850503062117236"/>
          <c:w val="0.33547331583552054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SCTF</a:t>
            </a:r>
          </a:p>
          <a:p>
            <a:pPr>
              <a:defRPr/>
            </a:pP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Lowland Forest</c:v>
          </c:tx>
          <c:marker>
            <c:symbol val="none"/>
          </c:marker>
          <c:xVal>
            <c:numRef>
              <c:f>SCTF!$C$14:$C$19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SCTF!$F$14:$F$19</c:f>
              <c:numCache>
                <c:formatCode>General</c:formatCode>
                <c:ptCount val="6"/>
                <c:pt idx="0">
                  <c:v>0.23417654085009412</c:v>
                </c:pt>
                <c:pt idx="1">
                  <c:v>0.33721654102820509</c:v>
                </c:pt>
                <c:pt idx="2">
                  <c:v>0.48559516307750339</c:v>
                </c:pt>
                <c:pt idx="3">
                  <c:v>0.69926185022028442</c:v>
                </c:pt>
                <c:pt idx="4">
                  <c:v>1.0069439985246598</c:v>
                </c:pt>
                <c:pt idx="5">
                  <c:v>1.4500093432030012</c:v>
                </c:pt>
              </c:numCache>
            </c:numRef>
          </c:yVal>
          <c:smooth val="0"/>
        </c:ser>
        <c:ser>
          <c:idx val="1"/>
          <c:order val="1"/>
          <c:tx>
            <c:v>100% LowlandForest</c:v>
          </c:tx>
          <c:marker>
            <c:symbol val="none"/>
          </c:marker>
          <c:xVal>
            <c:numRef>
              <c:f>SCTF!$C$20:$C$25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SCTF!$F$20:$F$25</c:f>
              <c:numCache>
                <c:formatCode>General</c:formatCode>
                <c:ptCount val="6"/>
                <c:pt idx="0">
                  <c:v>0.10129887230707262</c:v>
                </c:pt>
                <c:pt idx="1">
                  <c:v>0.14587138064916513</c:v>
                </c:pt>
                <c:pt idx="2">
                  <c:v>0.21005623466361123</c:v>
                </c:pt>
                <c:pt idx="3">
                  <c:v>0.30248306093143595</c:v>
                </c:pt>
                <c:pt idx="4">
                  <c:v>0.43557860730472742</c:v>
                </c:pt>
                <c:pt idx="5">
                  <c:v>0.62723751391993454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263168"/>
        <c:axId val="280263560"/>
      </c:scatterChart>
      <c:valAx>
        <c:axId val="28026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0263560"/>
        <c:crosses val="autoZero"/>
        <c:crossBetween val="midCat"/>
      </c:valAx>
      <c:valAx>
        <c:axId val="280263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Abundance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0263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063779527559057"/>
          <c:y val="0.13850503062117236"/>
          <c:w val="0.33547331583552054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0</xdr:rowOff>
    </xdr:from>
    <xdr:to>
      <xdr:col>11</xdr:col>
      <xdr:colOff>600075</xdr:colOff>
      <xdr:row>26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1104900</xdr:colOff>
      <xdr:row>13</xdr:row>
      <xdr:rowOff>128587</xdr:rowOff>
    </xdr:from>
    <xdr:to>
      <xdr:col>13</xdr:col>
      <xdr:colOff>485775</xdr:colOff>
      <xdr:row>28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1104900</xdr:colOff>
      <xdr:row>13</xdr:row>
      <xdr:rowOff>0</xdr:rowOff>
    </xdr:from>
    <xdr:to>
      <xdr:col>13</xdr:col>
      <xdr:colOff>485775</xdr:colOff>
      <xdr:row>25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F7" sqref="F7"/>
    </sheetView>
  </sheetViews>
  <sheetFormatPr defaultRowHeight="15" x14ac:dyDescent="0.25"/>
  <cols>
    <col min="1" max="1" width="23" style="6" bestFit="1" customWidth="1"/>
    <col min="2" max="2" width="9.140625" style="6"/>
    <col min="3" max="4" width="14.7109375" style="6" customWidth="1"/>
    <col min="5" max="6" width="9.140625" style="6"/>
    <col min="7" max="7" width="23" style="6" bestFit="1" customWidth="1"/>
    <col min="8" max="16384" width="9.140625" style="6"/>
  </cols>
  <sheetData>
    <row r="1" spans="1:12" x14ac:dyDescent="0.25">
      <c r="B1" s="64" t="s">
        <v>11</v>
      </c>
      <c r="C1" s="64"/>
      <c r="D1" s="64"/>
      <c r="E1" s="64"/>
      <c r="F1" s="64"/>
      <c r="G1" s="8"/>
      <c r="H1" s="8"/>
      <c r="I1" s="8"/>
      <c r="J1" s="8"/>
      <c r="K1" s="8"/>
    </row>
    <row r="2" spans="1:12" x14ac:dyDescent="0.25">
      <c r="B2" s="17" t="s">
        <v>0</v>
      </c>
      <c r="C2" s="17" t="s">
        <v>1</v>
      </c>
      <c r="D2" s="17" t="s">
        <v>33</v>
      </c>
      <c r="E2" s="17"/>
      <c r="F2" s="18"/>
      <c r="G2" s="8"/>
      <c r="H2" s="8"/>
      <c r="I2" s="8"/>
      <c r="J2" s="8"/>
      <c r="K2" s="8"/>
    </row>
    <row r="3" spans="1:12" x14ac:dyDescent="0.25">
      <c r="A3" s="6" t="s">
        <v>15</v>
      </c>
      <c r="B3" s="16">
        <v>-2.2350940000000001</v>
      </c>
      <c r="C3" s="16">
        <v>0.40635490000000002</v>
      </c>
      <c r="D3" s="16">
        <v>-3.2001399999999999E-2</v>
      </c>
      <c r="E3" s="22"/>
      <c r="F3" s="24"/>
      <c r="G3" s="8"/>
      <c r="H3" s="8"/>
      <c r="I3" s="8"/>
      <c r="J3" s="8"/>
      <c r="K3" s="8"/>
    </row>
    <row r="4" spans="1:12" x14ac:dyDescent="0.25">
      <c r="A4" s="6" t="s">
        <v>22</v>
      </c>
      <c r="B4" s="16"/>
      <c r="C4" s="16"/>
      <c r="D4" s="16"/>
      <c r="E4" s="16"/>
      <c r="F4" s="16"/>
      <c r="G4" s="8"/>
      <c r="H4" s="8"/>
      <c r="I4" s="8"/>
      <c r="J4" s="8"/>
      <c r="K4" s="8"/>
    </row>
    <row r="5" spans="1:12" x14ac:dyDescent="0.25">
      <c r="A5" s="6" t="s">
        <v>16</v>
      </c>
      <c r="C5" s="6">
        <v>0</v>
      </c>
      <c r="D5" s="6">
        <v>0</v>
      </c>
      <c r="G5" s="8"/>
      <c r="H5" s="8"/>
      <c r="I5" s="8"/>
      <c r="J5" s="8"/>
      <c r="K5" s="8"/>
    </row>
    <row r="6" spans="1:12" x14ac:dyDescent="0.25">
      <c r="A6" s="6" t="s">
        <v>17</v>
      </c>
      <c r="C6" s="6">
        <v>100</v>
      </c>
      <c r="D6" s="6">
        <v>100</v>
      </c>
      <c r="G6" s="8"/>
      <c r="H6" s="8"/>
      <c r="I6" s="8"/>
      <c r="J6" s="8"/>
      <c r="K6" s="8"/>
    </row>
    <row r="7" spans="1:12" x14ac:dyDescent="0.25">
      <c r="A7" s="6" t="s">
        <v>18</v>
      </c>
      <c r="C7" s="6">
        <f>LOG(C5+1)</f>
        <v>0</v>
      </c>
      <c r="D7" s="6">
        <f>LOG(D5+1)</f>
        <v>0</v>
      </c>
      <c r="G7" s="8"/>
      <c r="H7" s="8"/>
      <c r="I7" s="8"/>
      <c r="J7" s="8"/>
      <c r="K7" s="8"/>
    </row>
    <row r="8" spans="1:12" x14ac:dyDescent="0.25">
      <c r="A8" s="6" t="s">
        <v>19</v>
      </c>
      <c r="C8" s="6">
        <f>LOG(C6+1)</f>
        <v>2.0043213737826426</v>
      </c>
      <c r="D8" s="6">
        <f>LOG(D6+1)</f>
        <v>2.0043213737826426</v>
      </c>
      <c r="G8" s="8"/>
      <c r="H8" s="8"/>
      <c r="I8" s="8"/>
      <c r="J8" s="8"/>
      <c r="K8" s="8"/>
    </row>
    <row r="9" spans="1:12" s="2" customFormat="1" x14ac:dyDescent="0.25">
      <c r="G9" s="9"/>
      <c r="H9" s="9"/>
      <c r="I9" s="9"/>
      <c r="J9" s="9"/>
      <c r="K9" s="9"/>
    </row>
    <row r="10" spans="1:12" s="2" customFormat="1" x14ac:dyDescent="0.25">
      <c r="A10" s="65" t="s">
        <v>12</v>
      </c>
      <c r="B10" s="65"/>
      <c r="C10" s="65"/>
      <c r="D10" s="65"/>
      <c r="E10" s="65"/>
      <c r="G10" s="66"/>
      <c r="H10" s="66"/>
      <c r="I10" s="66"/>
      <c r="J10" s="66"/>
      <c r="K10" s="66"/>
    </row>
    <row r="11" spans="1:12" s="2" customFormat="1" x14ac:dyDescent="0.25">
      <c r="A11" s="19"/>
      <c r="B11" s="65" t="s">
        <v>13</v>
      </c>
      <c r="C11" s="65"/>
      <c r="D11" s="65"/>
      <c r="E11" s="65"/>
      <c r="F11" s="19" t="s">
        <v>14</v>
      </c>
      <c r="H11" s="20"/>
      <c r="I11" s="66"/>
      <c r="J11" s="66"/>
      <c r="K11" s="66"/>
      <c r="L11" s="20"/>
    </row>
    <row r="12" spans="1:12" x14ac:dyDescent="0.25">
      <c r="B12" s="17" t="str">
        <f>C2</f>
        <v>LogUC200</v>
      </c>
      <c r="C12" s="17" t="str">
        <f>D2</f>
        <v>Open1000</v>
      </c>
      <c r="D12" s="17"/>
      <c r="E12" s="17"/>
      <c r="F12" s="17" t="s">
        <v>34</v>
      </c>
      <c r="H12" s="8"/>
      <c r="I12" s="8"/>
      <c r="J12" s="8"/>
      <c r="K12" s="8"/>
      <c r="L12" s="8"/>
    </row>
    <row r="13" spans="1:12" x14ac:dyDescent="0.25">
      <c r="B13" s="6">
        <v>2</v>
      </c>
      <c r="C13" s="6">
        <v>100</v>
      </c>
      <c r="F13" s="6">
        <f>EXP(B$3+B13*C$3+C13*D$3)</f>
        <v>9.827956995942539E-3</v>
      </c>
      <c r="H13" s="8"/>
      <c r="I13" s="8"/>
      <c r="J13" s="8"/>
      <c r="K13" s="8"/>
      <c r="L13" s="8"/>
    </row>
    <row r="14" spans="1:12" x14ac:dyDescent="0.25">
      <c r="B14" s="6">
        <v>0</v>
      </c>
      <c r="C14" s="6">
        <v>100</v>
      </c>
      <c r="F14" s="6">
        <f t="shared" ref="F14:F17" si="0">EXP(B$3+B14*C$3+C14*D$3)</f>
        <v>4.3602146115501294E-3</v>
      </c>
      <c r="H14" s="8"/>
      <c r="I14" s="8"/>
      <c r="J14" s="8"/>
      <c r="K14" s="8"/>
      <c r="L14" s="8"/>
    </row>
    <row r="15" spans="1:12" x14ac:dyDescent="0.25">
      <c r="B15" s="6">
        <v>2</v>
      </c>
      <c r="C15" s="6">
        <v>0</v>
      </c>
      <c r="F15" s="6">
        <f t="shared" si="0"/>
        <v>0.24113840879303725</v>
      </c>
      <c r="H15" s="8"/>
      <c r="I15" s="8"/>
      <c r="J15" s="8"/>
      <c r="K15" s="8"/>
      <c r="L15" s="8"/>
    </row>
    <row r="16" spans="1:12" x14ac:dyDescent="0.25">
      <c r="B16" s="6">
        <v>0</v>
      </c>
      <c r="C16" s="6">
        <v>0</v>
      </c>
      <c r="F16" s="6">
        <f t="shared" si="0"/>
        <v>0.10698207306558467</v>
      </c>
      <c r="H16" s="8"/>
      <c r="I16" s="8"/>
      <c r="J16" s="8"/>
      <c r="K16" s="8"/>
      <c r="L16" s="8"/>
    </row>
    <row r="17" spans="1:7" x14ac:dyDescent="0.25">
      <c r="A17" s="21" t="s">
        <v>29</v>
      </c>
      <c r="B17" s="21">
        <v>0</v>
      </c>
      <c r="C17" s="21">
        <v>7.46</v>
      </c>
      <c r="D17" s="21"/>
      <c r="E17" s="21"/>
      <c r="F17" s="6">
        <f t="shared" si="0"/>
        <v>8.4261986742040565E-2</v>
      </c>
      <c r="G17" s="6" t="s">
        <v>32</v>
      </c>
    </row>
    <row r="19" spans="1:7" x14ac:dyDescent="0.25">
      <c r="E19" s="6" t="s">
        <v>35</v>
      </c>
      <c r="F19" s="6">
        <f>MIN(F13:F16)</f>
        <v>4.3602146115501294E-3</v>
      </c>
    </row>
    <row r="20" spans="1:7" x14ac:dyDescent="0.25">
      <c r="E20" s="6" t="s">
        <v>36</v>
      </c>
      <c r="F20" s="6">
        <f>MAX(F13:F16)</f>
        <v>0.24113840879303725</v>
      </c>
    </row>
  </sheetData>
  <mergeCells count="5">
    <mergeCell ref="B1:F1"/>
    <mergeCell ref="A10:E10"/>
    <mergeCell ref="G10:K10"/>
    <mergeCell ref="B11:E11"/>
    <mergeCell ref="I11:K11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G24" sqref="G24"/>
    </sheetView>
  </sheetViews>
  <sheetFormatPr defaultRowHeight="15" x14ac:dyDescent="0.25"/>
  <cols>
    <col min="1" max="1" width="30.85546875" style="6" bestFit="1" customWidth="1"/>
    <col min="2" max="2" width="9.28515625" style="6" bestFit="1" customWidth="1"/>
    <col min="3" max="4" width="11.28515625" style="6" bestFit="1" customWidth="1"/>
    <col min="5" max="6" width="12" style="6" bestFit="1" customWidth="1"/>
    <col min="7" max="7" width="95.28515625" style="6" bestFit="1" customWidth="1"/>
    <col min="8" max="16384" width="9.140625" style="6"/>
  </cols>
  <sheetData>
    <row r="1" spans="1:12" x14ac:dyDescent="0.25">
      <c r="B1" s="64" t="s">
        <v>11</v>
      </c>
      <c r="C1" s="64"/>
      <c r="D1" s="64"/>
      <c r="E1" s="64"/>
      <c r="G1" s="8"/>
      <c r="H1" s="8"/>
      <c r="I1" s="8"/>
      <c r="J1" s="8"/>
      <c r="K1" s="8"/>
    </row>
    <row r="2" spans="1:12" x14ac:dyDescent="0.25">
      <c r="B2" s="1" t="s">
        <v>0</v>
      </c>
      <c r="C2" s="1" t="s">
        <v>38</v>
      </c>
      <c r="D2" s="1" t="s">
        <v>39</v>
      </c>
      <c r="E2" s="1" t="s">
        <v>40</v>
      </c>
      <c r="F2" s="6" t="s">
        <v>41</v>
      </c>
      <c r="G2" s="8"/>
      <c r="H2" s="8"/>
      <c r="I2" s="8"/>
      <c r="J2" s="8"/>
      <c r="K2" s="8"/>
    </row>
    <row r="3" spans="1:12" x14ac:dyDescent="0.25">
      <c r="A3" s="6" t="s">
        <v>15</v>
      </c>
      <c r="B3" s="27">
        <v>-6.51</v>
      </c>
      <c r="C3" s="27">
        <v>-4.1E-5</v>
      </c>
      <c r="D3" s="27">
        <v>0.93</v>
      </c>
      <c r="E3" s="27">
        <v>0.80700000000000005</v>
      </c>
      <c r="F3" s="27">
        <v>-0.20399999999999999</v>
      </c>
      <c r="G3" s="8"/>
      <c r="H3" s="8"/>
      <c r="I3" s="8"/>
      <c r="J3" s="8"/>
      <c r="K3" s="8"/>
    </row>
    <row r="4" spans="1:12" x14ac:dyDescent="0.25">
      <c r="A4" s="6" t="s">
        <v>22</v>
      </c>
      <c r="G4" s="8"/>
      <c r="H4" s="8"/>
      <c r="I4" s="8"/>
      <c r="J4" s="8"/>
      <c r="K4" s="8"/>
    </row>
    <row r="5" spans="1:12" x14ac:dyDescent="0.25">
      <c r="A5" s="6" t="s">
        <v>16</v>
      </c>
      <c r="C5" s="6">
        <v>0.09</v>
      </c>
      <c r="D5" s="6">
        <v>0</v>
      </c>
      <c r="E5" s="6">
        <v>0.31</v>
      </c>
      <c r="F5" s="6">
        <v>4.0487500000000001</v>
      </c>
      <c r="G5" s="8"/>
      <c r="H5" s="8"/>
      <c r="I5" s="8"/>
      <c r="J5" s="8"/>
      <c r="K5" s="8"/>
    </row>
    <row r="6" spans="1:12" x14ac:dyDescent="0.25">
      <c r="A6" s="6" t="s">
        <v>17</v>
      </c>
      <c r="C6" s="6">
        <v>30000</v>
      </c>
      <c r="D6" s="6">
        <v>78.849999999999994</v>
      </c>
      <c r="E6" s="6">
        <v>99.28</v>
      </c>
      <c r="F6" s="6">
        <v>10.5688</v>
      </c>
      <c r="G6" s="8"/>
      <c r="H6" s="8"/>
      <c r="I6" s="8"/>
      <c r="J6" s="8"/>
      <c r="K6" s="8"/>
    </row>
    <row r="7" spans="1:12" x14ac:dyDescent="0.25">
      <c r="A7" s="6" t="s">
        <v>18</v>
      </c>
      <c r="D7" s="6">
        <f>LOG(D5+1)</f>
        <v>0</v>
      </c>
      <c r="E7" s="6">
        <f>LOG(E5+1)</f>
        <v>0.11727129565576427</v>
      </c>
      <c r="G7" s="8"/>
      <c r="H7" s="8"/>
      <c r="I7" s="8"/>
      <c r="J7" s="8"/>
      <c r="K7" s="8"/>
    </row>
    <row r="8" spans="1:12" x14ac:dyDescent="0.25">
      <c r="A8" s="6" t="s">
        <v>19</v>
      </c>
      <c r="D8" s="6">
        <f>LOG(D6+1)</f>
        <v>1.9022749204745018</v>
      </c>
      <c r="E8" s="6">
        <f>LOG(E6+1)</f>
        <v>2.0012143252861789</v>
      </c>
      <c r="G8" s="8"/>
      <c r="H8" s="8"/>
      <c r="I8" s="8"/>
      <c r="J8" s="8"/>
      <c r="K8" s="8"/>
    </row>
    <row r="9" spans="1:12" s="2" customFormat="1" x14ac:dyDescent="0.25">
      <c r="G9" s="9"/>
      <c r="H9" s="9"/>
      <c r="I9" s="9"/>
      <c r="J9" s="9"/>
      <c r="K9" s="9"/>
    </row>
    <row r="10" spans="1:12" s="2" customFormat="1" x14ac:dyDescent="0.25">
      <c r="A10" s="65" t="s">
        <v>12</v>
      </c>
      <c r="B10" s="65"/>
      <c r="C10" s="65"/>
      <c r="D10" s="65"/>
      <c r="E10" s="65"/>
      <c r="G10" s="66"/>
      <c r="H10" s="66"/>
      <c r="I10" s="66"/>
      <c r="J10" s="66"/>
      <c r="K10" s="66"/>
    </row>
    <row r="11" spans="1:12" s="2" customFormat="1" x14ac:dyDescent="0.25">
      <c r="A11" s="25"/>
      <c r="B11" s="65" t="s">
        <v>13</v>
      </c>
      <c r="C11" s="65"/>
      <c r="D11" s="65"/>
      <c r="E11" s="25"/>
      <c r="F11" s="25" t="s">
        <v>14</v>
      </c>
      <c r="H11" s="26"/>
      <c r="I11" s="66"/>
      <c r="J11" s="66"/>
      <c r="K11" s="66"/>
      <c r="L11" s="26"/>
    </row>
    <row r="12" spans="1:12" x14ac:dyDescent="0.25">
      <c r="B12" s="1" t="str">
        <f>C2</f>
        <v>biomass</v>
      </c>
      <c r="C12" s="1" t="str">
        <f>D2</f>
        <v>logopen200</v>
      </c>
      <c r="D12" s="1" t="str">
        <f>E2</f>
        <v>logreg1000</v>
      </c>
      <c r="E12" s="1" t="str">
        <f>F2</f>
        <v>temp</v>
      </c>
      <c r="F12" s="1" t="s">
        <v>55</v>
      </c>
      <c r="H12" s="8"/>
      <c r="I12" s="8"/>
      <c r="J12" s="8"/>
      <c r="K12" s="8"/>
      <c r="L12" s="8"/>
    </row>
    <row r="13" spans="1:12" x14ac:dyDescent="0.25">
      <c r="A13" s="6" t="s">
        <v>54</v>
      </c>
      <c r="B13" s="6">
        <v>0</v>
      </c>
      <c r="C13" s="6">
        <v>2</v>
      </c>
      <c r="D13" s="6">
        <v>2</v>
      </c>
      <c r="E13" s="6">
        <v>7.6</v>
      </c>
      <c r="F13" s="6">
        <f>EXP(B$3+B13*C$3+C13*D$3+D13*E$3+E13*F$3)</f>
        <v>1.0189474533055892E-2</v>
      </c>
      <c r="G13" s="6" t="s">
        <v>47</v>
      </c>
      <c r="H13" s="11"/>
      <c r="I13" s="11"/>
      <c r="J13" s="11"/>
      <c r="K13" s="11"/>
      <c r="L13" s="11"/>
    </row>
    <row r="14" spans="1:12" s="28" customFormat="1" x14ac:dyDescent="0.25">
      <c r="A14" s="28" t="s">
        <v>29</v>
      </c>
      <c r="B14" s="28">
        <v>10965</v>
      </c>
      <c r="C14" s="28">
        <v>1.9</v>
      </c>
      <c r="D14" s="28">
        <v>2</v>
      </c>
      <c r="E14" s="28">
        <v>5</v>
      </c>
      <c r="F14" s="28">
        <f t="shared" ref="F14:F15" si="0">EXP(B$3+B14*C$3+C14*D$3+D14*E$3+E14*F$3)</f>
        <v>1.0066270483375141E-2</v>
      </c>
      <c r="G14" s="28" t="s">
        <v>48</v>
      </c>
    </row>
    <row r="15" spans="1:12" x14ac:dyDescent="0.25">
      <c r="A15" s="6" t="s">
        <v>46</v>
      </c>
      <c r="B15" s="6">
        <v>30000</v>
      </c>
      <c r="C15" s="6">
        <v>0</v>
      </c>
      <c r="D15" s="6">
        <v>0</v>
      </c>
      <c r="E15" s="6">
        <v>-15.4</v>
      </c>
      <c r="F15" s="6">
        <f t="shared" si="0"/>
        <v>1.0067931555039549E-2</v>
      </c>
      <c r="G15" s="6" t="s">
        <v>49</v>
      </c>
    </row>
    <row r="16" spans="1:12" x14ac:dyDescent="0.25">
      <c r="A16" s="6" t="s">
        <v>51</v>
      </c>
      <c r="B16" s="6">
        <v>15800</v>
      </c>
      <c r="C16" s="6">
        <v>1.9</v>
      </c>
      <c r="D16" s="6">
        <v>2</v>
      </c>
      <c r="E16" s="6">
        <v>4.0487500000000001</v>
      </c>
      <c r="F16" s="6">
        <f t="shared" ref="F16" si="1">EXP(B$3+B16*C$3+C16*D$3+D16*E$3+E16*F$3)</f>
        <v>1.0024281291303708E-2</v>
      </c>
      <c r="G16" s="6" t="s">
        <v>50</v>
      </c>
    </row>
    <row r="17" spans="1:11" x14ac:dyDescent="0.25">
      <c r="A17" s="6" t="s">
        <v>52</v>
      </c>
      <c r="B17" s="6">
        <v>0</v>
      </c>
      <c r="C17" s="6">
        <v>2</v>
      </c>
      <c r="D17" s="6">
        <v>1.25</v>
      </c>
      <c r="E17" s="6">
        <v>4.7</v>
      </c>
      <c r="F17" s="6">
        <f t="shared" ref="F17" si="2">EXP(B$3+B17*C$3+C17*D$3+D17*E$3+E17*F$3)</f>
        <v>1.0051333165410939E-2</v>
      </c>
      <c r="G17" s="6" t="s">
        <v>53</v>
      </c>
    </row>
    <row r="18" spans="1:11" x14ac:dyDescent="0.25">
      <c r="A18" s="6" t="s">
        <v>52</v>
      </c>
      <c r="B18" s="6">
        <v>500</v>
      </c>
      <c r="C18" s="6">
        <v>2</v>
      </c>
      <c r="D18" s="6">
        <v>1.25</v>
      </c>
      <c r="E18" s="6">
        <v>4.5999999999999996</v>
      </c>
      <c r="F18" s="6">
        <f t="shared" ref="F18" si="3">EXP(B$3+B18*C$3+C18*D$3+D18*E$3+E18*F$3)</f>
        <v>1.0050328082349392E-2</v>
      </c>
    </row>
    <row r="22" spans="1:11" x14ac:dyDescent="0.25">
      <c r="A22" s="31" t="s">
        <v>56</v>
      </c>
    </row>
    <row r="25" spans="1:11" x14ac:dyDescent="0.25">
      <c r="B25" s="64" t="s">
        <v>11</v>
      </c>
      <c r="C25" s="64"/>
      <c r="D25" s="64"/>
      <c r="E25" s="64"/>
      <c r="G25" s="8"/>
      <c r="H25" s="8"/>
      <c r="I25" s="8"/>
      <c r="J25" s="8"/>
      <c r="K25" s="8"/>
    </row>
    <row r="26" spans="1:11" x14ac:dyDescent="0.25">
      <c r="B26" s="1" t="s">
        <v>0</v>
      </c>
      <c r="C26" s="1" t="s">
        <v>38</v>
      </c>
      <c r="D26" s="1" t="s">
        <v>39</v>
      </c>
      <c r="E26" s="1" t="s">
        <v>40</v>
      </c>
      <c r="F26" s="6" t="s">
        <v>41</v>
      </c>
      <c r="G26" s="8"/>
      <c r="H26" s="8"/>
      <c r="I26" s="8"/>
      <c r="J26" s="8"/>
      <c r="K26" s="8"/>
    </row>
    <row r="27" spans="1:11" x14ac:dyDescent="0.25">
      <c r="A27" s="6" t="s">
        <v>15</v>
      </c>
      <c r="B27" s="27">
        <v>-6.51</v>
      </c>
      <c r="C27" s="27">
        <v>-4.1E-5</v>
      </c>
      <c r="D27" s="27">
        <v>0.93</v>
      </c>
      <c r="E27" s="27">
        <v>0.80700000000000005</v>
      </c>
      <c r="F27" s="27">
        <v>-0.20399999999999999</v>
      </c>
      <c r="G27" s="8"/>
      <c r="H27" s="8"/>
      <c r="I27" s="8"/>
      <c r="J27" s="8"/>
      <c r="K27" s="8"/>
    </row>
    <row r="28" spans="1:11" x14ac:dyDescent="0.25">
      <c r="A28" s="6" t="s">
        <v>22</v>
      </c>
      <c r="G28" s="8"/>
      <c r="H28" s="8"/>
      <c r="I28" s="8"/>
      <c r="J28" s="8"/>
      <c r="K28" s="8"/>
    </row>
    <row r="29" spans="1:11" x14ac:dyDescent="0.25">
      <c r="A29" s="6" t="s">
        <v>16</v>
      </c>
      <c r="C29" s="6">
        <v>0.09</v>
      </c>
      <c r="D29" s="6">
        <v>0</v>
      </c>
      <c r="E29" s="6">
        <v>0.31</v>
      </c>
      <c r="F29" s="6">
        <v>4.0487500000000001</v>
      </c>
      <c r="G29" s="8"/>
      <c r="H29" s="8"/>
      <c r="I29" s="8"/>
      <c r="J29" s="8"/>
      <c r="K29" s="8"/>
    </row>
    <row r="30" spans="1:11" x14ac:dyDescent="0.25">
      <c r="A30" s="6" t="s">
        <v>17</v>
      </c>
      <c r="C30" s="6">
        <v>30000</v>
      </c>
      <c r="D30" s="6">
        <v>78.849999999999994</v>
      </c>
      <c r="E30" s="6">
        <v>99.28</v>
      </c>
      <c r="F30" s="6">
        <v>10.5688</v>
      </c>
      <c r="G30" s="8"/>
      <c r="H30" s="8"/>
      <c r="I30" s="8"/>
      <c r="J30" s="8"/>
      <c r="K30" s="8"/>
    </row>
    <row r="31" spans="1:11" x14ac:dyDescent="0.25">
      <c r="A31" s="6" t="s">
        <v>18</v>
      </c>
      <c r="D31" s="6">
        <f>LOG(D29+1)</f>
        <v>0</v>
      </c>
      <c r="E31" s="6">
        <f>LOG(E29+1)</f>
        <v>0.11727129565576427</v>
      </c>
      <c r="G31" s="8"/>
      <c r="H31" s="8"/>
      <c r="I31" s="8"/>
      <c r="J31" s="8"/>
      <c r="K31" s="8"/>
    </row>
    <row r="32" spans="1:11" x14ac:dyDescent="0.25">
      <c r="A32" s="6" t="s">
        <v>19</v>
      </c>
      <c r="D32" s="6">
        <f>LOG(D30+1)</f>
        <v>1.9022749204745018</v>
      </c>
      <c r="E32" s="6">
        <f>LOG(E30+1)</f>
        <v>2.0012143252861789</v>
      </c>
      <c r="G32" s="8"/>
      <c r="H32" s="8"/>
      <c r="I32" s="8"/>
      <c r="J32" s="8"/>
      <c r="K32" s="8"/>
    </row>
    <row r="33" spans="1:11" x14ac:dyDescent="0.25">
      <c r="A33" s="2"/>
      <c r="B33" s="2"/>
      <c r="C33" s="2"/>
      <c r="D33" s="2"/>
      <c r="E33" s="2"/>
      <c r="F33" s="2"/>
      <c r="G33" s="9"/>
      <c r="H33" s="9"/>
      <c r="I33" s="9"/>
      <c r="J33" s="9"/>
      <c r="K33" s="9"/>
    </row>
    <row r="34" spans="1:11" x14ac:dyDescent="0.25">
      <c r="A34" s="65" t="s">
        <v>12</v>
      </c>
      <c r="B34" s="65"/>
      <c r="C34" s="65"/>
      <c r="D34" s="65"/>
      <c r="E34" s="65"/>
      <c r="F34" s="2"/>
      <c r="G34" s="66"/>
      <c r="H34" s="66"/>
      <c r="I34" s="66"/>
      <c r="J34" s="66"/>
      <c r="K34" s="66"/>
    </row>
    <row r="35" spans="1:11" x14ac:dyDescent="0.25">
      <c r="A35" s="29"/>
      <c r="B35" s="65" t="s">
        <v>13</v>
      </c>
      <c r="C35" s="65"/>
      <c r="D35" s="65"/>
      <c r="E35" s="29"/>
      <c r="F35" s="29" t="s">
        <v>14</v>
      </c>
      <c r="G35" s="2"/>
      <c r="H35" s="30"/>
      <c r="I35" s="66"/>
      <c r="J35" s="66"/>
      <c r="K35" s="66"/>
    </row>
    <row r="36" spans="1:11" x14ac:dyDescent="0.25">
      <c r="B36" s="1" t="str">
        <f>C26</f>
        <v>biomass</v>
      </c>
      <c r="C36" s="1" t="str">
        <f>D26</f>
        <v>logopen200</v>
      </c>
      <c r="D36" s="1" t="str">
        <f>E26</f>
        <v>logreg1000</v>
      </c>
      <c r="E36" s="1" t="str">
        <f>F26</f>
        <v>temp</v>
      </c>
      <c r="F36" s="1" t="s">
        <v>55</v>
      </c>
      <c r="H36" s="8"/>
      <c r="I36" s="8"/>
      <c r="J36" s="8"/>
      <c r="K36" s="8"/>
    </row>
    <row r="37" spans="1:11" x14ac:dyDescent="0.25">
      <c r="A37" s="6" t="s">
        <v>54</v>
      </c>
      <c r="B37" s="6">
        <v>0</v>
      </c>
      <c r="C37" s="6">
        <v>2</v>
      </c>
      <c r="D37" s="6">
        <v>2</v>
      </c>
      <c r="E37" s="6">
        <v>7.6</v>
      </c>
      <c r="F37" s="6">
        <f t="shared" ref="F37:F42" si="4">EXP(B$3+B37*C$3+C37*D$3+D37*E$3+E37*F$3)</f>
        <v>1.0189474533055892E-2</v>
      </c>
      <c r="G37" s="6" t="s">
        <v>47</v>
      </c>
      <c r="H37" s="11"/>
      <c r="I37" s="11"/>
      <c r="J37" s="11"/>
      <c r="K37" s="11"/>
    </row>
    <row r="38" spans="1:11" x14ac:dyDescent="0.25">
      <c r="A38" s="28" t="s">
        <v>29</v>
      </c>
      <c r="B38" s="28">
        <v>10965</v>
      </c>
      <c r="C38" s="28">
        <v>1.9</v>
      </c>
      <c r="D38" s="28">
        <v>2</v>
      </c>
      <c r="E38" s="28">
        <v>5</v>
      </c>
      <c r="F38" s="28">
        <f t="shared" si="4"/>
        <v>1.0066270483375141E-2</v>
      </c>
      <c r="G38" s="28" t="s">
        <v>48</v>
      </c>
      <c r="H38" s="28"/>
      <c r="I38" s="28"/>
      <c r="J38" s="28"/>
      <c r="K38" s="28"/>
    </row>
    <row r="39" spans="1:11" x14ac:dyDescent="0.25">
      <c r="A39" s="6" t="s">
        <v>46</v>
      </c>
      <c r="B39" s="6">
        <v>30000</v>
      </c>
      <c r="C39" s="6">
        <v>0</v>
      </c>
      <c r="D39" s="6">
        <v>0</v>
      </c>
      <c r="E39" s="6">
        <v>-15.4</v>
      </c>
      <c r="F39" s="6">
        <f t="shared" si="4"/>
        <v>1.0067931555039549E-2</v>
      </c>
      <c r="G39" s="6" t="s">
        <v>49</v>
      </c>
    </row>
    <row r="40" spans="1:11" x14ac:dyDescent="0.25">
      <c r="A40" s="6" t="s">
        <v>51</v>
      </c>
      <c r="B40" s="6">
        <v>15800</v>
      </c>
      <c r="C40" s="6">
        <v>1.9</v>
      </c>
      <c r="D40" s="6">
        <v>2</v>
      </c>
      <c r="E40" s="6">
        <v>4.0487500000000001</v>
      </c>
      <c r="F40" s="6">
        <f t="shared" si="4"/>
        <v>1.0024281291303708E-2</v>
      </c>
      <c r="G40" s="6" t="s">
        <v>50</v>
      </c>
    </row>
    <row r="41" spans="1:11" x14ac:dyDescent="0.25">
      <c r="A41" s="6" t="s">
        <v>52</v>
      </c>
      <c r="B41" s="6">
        <v>0</v>
      </c>
      <c r="C41" s="6">
        <v>2</v>
      </c>
      <c r="D41" s="6">
        <v>1.25</v>
      </c>
      <c r="E41" s="6">
        <v>4.7</v>
      </c>
      <c r="F41" s="6">
        <f t="shared" si="4"/>
        <v>1.0051333165410939E-2</v>
      </c>
      <c r="G41" s="6" t="s">
        <v>53</v>
      </c>
    </row>
    <row r="42" spans="1:11" x14ac:dyDescent="0.25">
      <c r="A42" s="6" t="s">
        <v>52</v>
      </c>
      <c r="B42" s="6">
        <v>500</v>
      </c>
      <c r="C42" s="6">
        <v>2</v>
      </c>
      <c r="D42" s="6">
        <v>1.25</v>
      </c>
      <c r="E42" s="6">
        <v>4.5999999999999996</v>
      </c>
      <c r="F42" s="6">
        <f t="shared" si="4"/>
        <v>1.0050328082349392E-2</v>
      </c>
    </row>
  </sheetData>
  <mergeCells count="10">
    <mergeCell ref="B1:E1"/>
    <mergeCell ref="A10:E10"/>
    <mergeCell ref="G10:K10"/>
    <mergeCell ref="B11:D11"/>
    <mergeCell ref="I11:K11"/>
    <mergeCell ref="B25:E25"/>
    <mergeCell ref="A34:E34"/>
    <mergeCell ref="G34:K34"/>
    <mergeCell ref="B35:D35"/>
    <mergeCell ref="I35:K35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M1" zoomScale="80" zoomScaleNormal="80" workbookViewId="0">
      <selection activeCell="T14" sqref="T14"/>
    </sheetView>
  </sheetViews>
  <sheetFormatPr defaultRowHeight="15" x14ac:dyDescent="0.25"/>
  <cols>
    <col min="1" max="8" width="9.140625" style="6"/>
    <col min="9" max="9" width="12" style="6" bestFit="1" customWidth="1"/>
    <col min="10" max="10" width="95.28515625" bestFit="1" customWidth="1"/>
    <col min="11" max="11" width="22.28515625" customWidth="1"/>
    <col min="12" max="12" width="9" customWidth="1"/>
    <col min="13" max="13" width="30.85546875" bestFit="1" customWidth="1"/>
    <col min="14" max="14" width="10" bestFit="1" customWidth="1"/>
    <col min="15" max="15" width="9.5703125" bestFit="1" customWidth="1"/>
    <col min="16" max="17" width="12" bestFit="1" customWidth="1"/>
    <col min="18" max="18" width="10.5703125" bestFit="1" customWidth="1"/>
    <col min="19" max="19" width="16.7109375" customWidth="1"/>
    <col min="20" max="20" width="9.140625" style="6"/>
    <col min="22" max="22" width="96.42578125" bestFit="1" customWidth="1"/>
    <col min="23" max="23" width="66.42578125" bestFit="1" customWidth="1"/>
  </cols>
  <sheetData>
    <row r="1" spans="2:23" s="6" customFormat="1" ht="15.75" thickBot="1" x14ac:dyDescent="0.3">
      <c r="B1" s="69" t="s">
        <v>80</v>
      </c>
      <c r="C1" s="70"/>
      <c r="D1" s="70"/>
      <c r="E1" s="70"/>
      <c r="F1" s="70"/>
      <c r="G1" s="70"/>
      <c r="H1" s="70"/>
      <c r="I1" s="70"/>
      <c r="J1" s="71"/>
      <c r="M1" s="73" t="s">
        <v>81</v>
      </c>
      <c r="N1" s="73"/>
      <c r="O1" s="73"/>
      <c r="P1" s="73"/>
      <c r="Q1" s="73"/>
      <c r="R1" s="73"/>
      <c r="S1" s="73"/>
      <c r="T1" s="73"/>
      <c r="U1" s="73"/>
    </row>
    <row r="2" spans="2:23" x14ac:dyDescent="0.25">
      <c r="B2" s="35"/>
      <c r="C2" s="74" t="s">
        <v>11</v>
      </c>
      <c r="D2" s="74"/>
      <c r="E2" s="74"/>
      <c r="F2" s="74"/>
      <c r="G2" s="11"/>
      <c r="H2" s="11"/>
      <c r="I2" s="11"/>
      <c r="J2" s="36"/>
      <c r="M2" s="32"/>
      <c r="N2" s="75" t="s">
        <v>11</v>
      </c>
      <c r="O2" s="75"/>
      <c r="P2" s="75"/>
      <c r="Q2" s="75"/>
      <c r="R2" s="33"/>
      <c r="S2" s="33"/>
      <c r="T2" s="33"/>
      <c r="U2" s="33"/>
      <c r="V2" s="33"/>
      <c r="W2" s="34"/>
    </row>
    <row r="3" spans="2:23" ht="75" x14ac:dyDescent="0.25">
      <c r="B3" s="35"/>
      <c r="C3" s="1" t="s">
        <v>0</v>
      </c>
      <c r="D3" s="1" t="s">
        <v>38</v>
      </c>
      <c r="E3" s="1" t="s">
        <v>39</v>
      </c>
      <c r="F3" s="1" t="s">
        <v>40</v>
      </c>
      <c r="G3" s="11" t="s">
        <v>41</v>
      </c>
      <c r="H3" s="11"/>
      <c r="I3" s="11"/>
      <c r="J3" s="36"/>
      <c r="M3" s="48" t="s">
        <v>67</v>
      </c>
      <c r="N3" s="1" t="s">
        <v>0</v>
      </c>
      <c r="O3" s="1" t="s">
        <v>38</v>
      </c>
      <c r="P3" s="1" t="s">
        <v>39</v>
      </c>
      <c r="Q3" s="1" t="s">
        <v>40</v>
      </c>
      <c r="R3" s="11" t="s">
        <v>41</v>
      </c>
      <c r="S3" s="11" t="s">
        <v>61</v>
      </c>
      <c r="T3" s="11"/>
      <c r="U3" s="11"/>
      <c r="V3" s="11"/>
      <c r="W3" s="36" t="s">
        <v>68</v>
      </c>
    </row>
    <row r="4" spans="2:23" x14ac:dyDescent="0.25">
      <c r="B4" s="35" t="s">
        <v>15</v>
      </c>
      <c r="C4" s="37">
        <v>-6.51</v>
      </c>
      <c r="D4" s="37">
        <v>-4.1E-5</v>
      </c>
      <c r="E4" s="37">
        <v>0.93</v>
      </c>
      <c r="F4" s="37">
        <v>0.80700000000000005</v>
      </c>
      <c r="G4" s="37">
        <v>-0.20399999999999999</v>
      </c>
      <c r="H4" s="37"/>
      <c r="I4" s="11"/>
      <c r="J4" s="36"/>
      <c r="M4" s="35" t="s">
        <v>15</v>
      </c>
      <c r="N4" s="37">
        <v>-7.88</v>
      </c>
      <c r="O4" s="37">
        <v>-4.07E-5</v>
      </c>
      <c r="P4" s="37">
        <v>0.9294</v>
      </c>
      <c r="Q4" s="37">
        <v>1.3120000000000001</v>
      </c>
      <c r="R4" s="37"/>
      <c r="S4" s="37">
        <v>-4.4200000000000003E-2</v>
      </c>
      <c r="T4" s="37"/>
      <c r="U4" s="11"/>
      <c r="V4" s="11"/>
      <c r="W4" s="36"/>
    </row>
    <row r="5" spans="2:23" x14ac:dyDescent="0.25">
      <c r="B5" s="35" t="s">
        <v>22</v>
      </c>
      <c r="C5" s="11"/>
      <c r="D5" s="11"/>
      <c r="E5" s="11"/>
      <c r="F5" s="11"/>
      <c r="G5" s="11"/>
      <c r="H5" s="11"/>
      <c r="I5" s="11"/>
      <c r="J5" s="36"/>
      <c r="M5" s="35" t="s">
        <v>22</v>
      </c>
      <c r="N5" s="11"/>
      <c r="O5" s="11"/>
      <c r="P5" s="11"/>
      <c r="Q5" s="11"/>
      <c r="R5" s="11"/>
      <c r="S5" s="11"/>
      <c r="T5" s="11"/>
      <c r="U5" s="11"/>
      <c r="V5" s="11"/>
      <c r="W5" s="36"/>
    </row>
    <row r="6" spans="2:23" x14ac:dyDescent="0.25">
      <c r="B6" s="35" t="s">
        <v>16</v>
      </c>
      <c r="C6" s="11"/>
      <c r="D6" s="11">
        <v>0.09</v>
      </c>
      <c r="E6" s="11">
        <v>0</v>
      </c>
      <c r="F6" s="11">
        <v>0.31</v>
      </c>
      <c r="G6" s="11">
        <v>4.0487500000000001</v>
      </c>
      <c r="H6" s="11"/>
      <c r="I6" s="11"/>
      <c r="J6" s="36"/>
      <c r="M6" s="35" t="s">
        <v>16</v>
      </c>
      <c r="N6" s="11"/>
      <c r="O6" s="11">
        <v>0.09</v>
      </c>
      <c r="P6" s="11">
        <v>0</v>
      </c>
      <c r="Q6" s="11">
        <v>0.31</v>
      </c>
      <c r="R6" s="11">
        <v>4.0487500000000001</v>
      </c>
      <c r="S6" s="11"/>
      <c r="T6" s="11"/>
      <c r="U6" s="11"/>
      <c r="V6" s="11"/>
      <c r="W6" s="36"/>
    </row>
    <row r="7" spans="2:23" x14ac:dyDescent="0.25">
      <c r="B7" s="35" t="s">
        <v>17</v>
      </c>
      <c r="C7" s="11"/>
      <c r="D7" s="11">
        <v>30000</v>
      </c>
      <c r="E7" s="11">
        <v>78.849999999999994</v>
      </c>
      <c r="F7" s="11">
        <v>99.28</v>
      </c>
      <c r="G7" s="11">
        <v>10.5688</v>
      </c>
      <c r="H7" s="11"/>
      <c r="I7" s="11"/>
      <c r="J7" s="36"/>
      <c r="M7" s="35" t="s">
        <v>17</v>
      </c>
      <c r="N7" s="11"/>
      <c r="O7" s="11">
        <v>30000</v>
      </c>
      <c r="P7" s="11">
        <v>78.849999999999994</v>
      </c>
      <c r="Q7" s="11">
        <v>99.28</v>
      </c>
      <c r="R7" s="11">
        <v>10.5688</v>
      </c>
      <c r="S7" s="11"/>
      <c r="T7" s="11"/>
      <c r="U7" s="11"/>
      <c r="V7" s="11"/>
      <c r="W7" s="36"/>
    </row>
    <row r="8" spans="2:23" x14ac:dyDescent="0.25">
      <c r="B8" s="35" t="s">
        <v>18</v>
      </c>
      <c r="C8" s="11"/>
      <c r="D8" s="11"/>
      <c r="E8" s="11">
        <f>LOG(E6+1)</f>
        <v>0</v>
      </c>
      <c r="F8" s="11">
        <f>LOG(F6+1)</f>
        <v>0.11727129565576427</v>
      </c>
      <c r="G8" s="11"/>
      <c r="H8" s="11"/>
      <c r="I8" s="11"/>
      <c r="J8" s="36"/>
      <c r="M8" s="49" t="s">
        <v>59</v>
      </c>
      <c r="N8" s="50"/>
      <c r="O8" s="50"/>
      <c r="P8" s="50">
        <f>LN(P6+1)</f>
        <v>0</v>
      </c>
      <c r="Q8" s="50">
        <f>LN(Q6+1)</f>
        <v>0.27002713721306021</v>
      </c>
      <c r="R8" s="50"/>
      <c r="S8" s="50"/>
      <c r="T8" s="50"/>
      <c r="U8" s="50"/>
      <c r="V8" s="50"/>
      <c r="W8" s="51" t="s">
        <v>77</v>
      </c>
    </row>
    <row r="9" spans="2:23" x14ac:dyDescent="0.25">
      <c r="B9" s="35" t="s">
        <v>19</v>
      </c>
      <c r="C9" s="11"/>
      <c r="D9" s="11"/>
      <c r="E9" s="11">
        <f>LOG(E7+1)</f>
        <v>1.9022749204745018</v>
      </c>
      <c r="F9" s="11">
        <f>LOG(F7+1)</f>
        <v>2.0012143252861789</v>
      </c>
      <c r="G9" s="11"/>
      <c r="H9" s="11"/>
      <c r="I9" s="11"/>
      <c r="J9" s="36"/>
      <c r="M9" s="49" t="s">
        <v>60</v>
      </c>
      <c r="N9" s="50"/>
      <c r="O9" s="50"/>
      <c r="P9" s="50">
        <f>LN(P7+1)</f>
        <v>4.3801498746610212</v>
      </c>
      <c r="Q9" s="50">
        <f>LN(Q7+1)</f>
        <v>4.607966273290093</v>
      </c>
      <c r="R9" s="50"/>
      <c r="S9" s="50"/>
      <c r="T9" s="50"/>
      <c r="U9" s="50"/>
      <c r="V9" s="50"/>
      <c r="W9" s="51"/>
    </row>
    <row r="10" spans="2:23" x14ac:dyDescent="0.25">
      <c r="B10" s="38"/>
      <c r="C10" s="12"/>
      <c r="D10" s="12"/>
      <c r="E10" s="12"/>
      <c r="F10" s="12"/>
      <c r="G10" s="12"/>
      <c r="H10" s="12"/>
      <c r="I10" s="11"/>
      <c r="J10" s="36"/>
      <c r="M10" s="49" t="s">
        <v>62</v>
      </c>
      <c r="N10" s="50"/>
      <c r="O10" s="50"/>
      <c r="P10" s="50">
        <f>AVERAGE(P8:P9)</f>
        <v>2.1900749373305106</v>
      </c>
      <c r="Q10" s="50">
        <f>AVERAGE(Q8:Q9)</f>
        <v>2.4389967052515766</v>
      </c>
      <c r="R10" s="50"/>
      <c r="S10" s="50"/>
      <c r="T10" s="50"/>
      <c r="U10" s="50"/>
      <c r="V10" s="50"/>
      <c r="W10" s="51"/>
    </row>
    <row r="11" spans="2:23" x14ac:dyDescent="0.25">
      <c r="B11" s="76" t="s">
        <v>12</v>
      </c>
      <c r="C11" s="72"/>
      <c r="D11" s="72"/>
      <c r="E11" s="72"/>
      <c r="F11" s="72"/>
      <c r="G11" s="12"/>
      <c r="H11" s="12"/>
      <c r="I11" s="11"/>
      <c r="J11" s="39"/>
      <c r="K11" s="6"/>
      <c r="L11" s="6"/>
      <c r="M11" s="67" t="s">
        <v>12</v>
      </c>
      <c r="N11" s="68"/>
      <c r="O11" s="68"/>
      <c r="P11" s="68"/>
      <c r="Q11" s="68"/>
      <c r="R11" s="52"/>
      <c r="S11" s="52"/>
      <c r="T11" s="52"/>
      <c r="U11" s="50"/>
      <c r="V11" s="50"/>
      <c r="W11" s="51"/>
    </row>
    <row r="12" spans="2:23" x14ac:dyDescent="0.25">
      <c r="B12" s="40"/>
      <c r="C12" s="72" t="s">
        <v>13</v>
      </c>
      <c r="D12" s="72"/>
      <c r="E12" s="72"/>
      <c r="F12" s="41"/>
      <c r="G12" s="11"/>
      <c r="H12" s="11"/>
      <c r="I12" s="41" t="s">
        <v>14</v>
      </c>
      <c r="J12" s="42"/>
      <c r="K12" s="6"/>
      <c r="L12" s="6"/>
      <c r="M12" s="40"/>
      <c r="N12" s="72" t="s">
        <v>13</v>
      </c>
      <c r="O12" s="72"/>
      <c r="P12" s="72"/>
      <c r="Q12" s="72"/>
      <c r="R12" s="72"/>
      <c r="S12" s="11"/>
      <c r="T12" s="41" t="s">
        <v>14</v>
      </c>
      <c r="U12" s="11"/>
      <c r="V12" s="11"/>
      <c r="W12" s="36"/>
    </row>
    <row r="13" spans="2:23" x14ac:dyDescent="0.25">
      <c r="B13" s="35"/>
      <c r="C13" s="11"/>
      <c r="D13" s="1" t="str">
        <f>D3</f>
        <v>biomass</v>
      </c>
      <c r="E13" s="1" t="str">
        <f>E3</f>
        <v>logopen200</v>
      </c>
      <c r="F13" s="1" t="str">
        <f>F3</f>
        <v>logreg1000</v>
      </c>
      <c r="G13" s="1" t="str">
        <f>G3</f>
        <v>temp</v>
      </c>
      <c r="H13" s="1"/>
      <c r="I13" s="1" t="s">
        <v>55</v>
      </c>
      <c r="J13" s="36"/>
      <c r="K13" s="6"/>
      <c r="L13" s="6"/>
      <c r="M13" s="35"/>
      <c r="N13" s="1" t="s">
        <v>0</v>
      </c>
      <c r="O13" s="1" t="s">
        <v>38</v>
      </c>
      <c r="P13" s="1" t="s">
        <v>39</v>
      </c>
      <c r="Q13" s="1" t="s">
        <v>40</v>
      </c>
      <c r="R13" s="1" t="s">
        <v>41</v>
      </c>
      <c r="S13" s="11"/>
      <c r="T13" s="1" t="s">
        <v>55</v>
      </c>
      <c r="U13" s="11"/>
      <c r="V13" s="11"/>
      <c r="W13" s="36"/>
    </row>
    <row r="14" spans="2:23" x14ac:dyDescent="0.25">
      <c r="B14" s="35" t="s">
        <v>54</v>
      </c>
      <c r="C14" s="11"/>
      <c r="D14" s="11">
        <v>0</v>
      </c>
      <c r="E14" s="11">
        <v>2</v>
      </c>
      <c r="F14" s="11">
        <v>2</v>
      </c>
      <c r="G14" s="11">
        <v>7.6</v>
      </c>
      <c r="H14" s="11"/>
      <c r="I14" s="11">
        <f t="shared" ref="I14:I19" si="0">EXP(C$4+D14*D$4+E14*E$4+F14*F$4+G14*G$4)</f>
        <v>1.0189474533055892E-2</v>
      </c>
      <c r="J14" s="36" t="s">
        <v>47</v>
      </c>
      <c r="K14" s="6"/>
      <c r="L14" s="6"/>
      <c r="M14" s="35" t="s">
        <v>54</v>
      </c>
      <c r="N14" s="11"/>
      <c r="O14" s="11">
        <v>0</v>
      </c>
      <c r="P14" s="11">
        <v>4</v>
      </c>
      <c r="Q14" s="11">
        <v>4</v>
      </c>
      <c r="R14" s="50">
        <v>32</v>
      </c>
      <c r="S14" s="11"/>
      <c r="T14" s="50">
        <f>EXP(N$4+O$4*O14+P$4*P14+Q$4*Q14+((S$4*(R14*Q14))))</f>
        <v>1.0337264500294195E-2</v>
      </c>
      <c r="U14" s="11"/>
      <c r="V14" s="11" t="s">
        <v>69</v>
      </c>
      <c r="W14" s="51" t="s">
        <v>63</v>
      </c>
    </row>
    <row r="15" spans="2:23" x14ac:dyDescent="0.25">
      <c r="B15" s="43" t="s">
        <v>29</v>
      </c>
      <c r="C15" s="11"/>
      <c r="D15" s="8">
        <v>10965</v>
      </c>
      <c r="E15" s="8">
        <v>1.9</v>
      </c>
      <c r="F15" s="8">
        <v>2</v>
      </c>
      <c r="G15" s="8">
        <v>5</v>
      </c>
      <c r="H15" s="8"/>
      <c r="I15" s="8">
        <f t="shared" si="0"/>
        <v>1.0066270483375141E-2</v>
      </c>
      <c r="J15" s="44" t="s">
        <v>48</v>
      </c>
      <c r="K15" s="6"/>
      <c r="L15" s="6"/>
      <c r="M15" s="43" t="s">
        <v>29</v>
      </c>
      <c r="N15" s="11"/>
      <c r="O15" s="8">
        <v>10965</v>
      </c>
      <c r="P15" s="8">
        <v>1.9</v>
      </c>
      <c r="Q15" s="8">
        <v>2</v>
      </c>
      <c r="R15" s="50">
        <v>7.5</v>
      </c>
      <c r="S15" s="11"/>
      <c r="T15" s="50">
        <f t="shared" ref="T15:T19" si="1">EXP(N$4+O$4*O15+P$4*P15+Q$4*Q15+((S$4*(R15*Q15))))</f>
        <v>1.0057712760016754E-2</v>
      </c>
      <c r="U15" s="11"/>
      <c r="V15" s="8" t="s">
        <v>57</v>
      </c>
      <c r="W15" s="51" t="s">
        <v>64</v>
      </c>
    </row>
    <row r="16" spans="2:23" x14ac:dyDescent="0.25">
      <c r="B16" s="35" t="s">
        <v>46</v>
      </c>
      <c r="C16" s="11"/>
      <c r="D16" s="11">
        <v>30000</v>
      </c>
      <c r="E16" s="11">
        <v>0</v>
      </c>
      <c r="F16" s="11">
        <v>0</v>
      </c>
      <c r="G16" s="11">
        <v>-15.4</v>
      </c>
      <c r="H16" s="11"/>
      <c r="I16" s="11">
        <f t="shared" si="0"/>
        <v>1.0067931555039549E-2</v>
      </c>
      <c r="J16" s="36" t="s">
        <v>49</v>
      </c>
      <c r="K16" s="6"/>
      <c r="L16" s="6"/>
      <c r="M16" s="35" t="s">
        <v>46</v>
      </c>
      <c r="N16" s="11"/>
      <c r="O16" s="11">
        <v>30000</v>
      </c>
      <c r="P16" s="11">
        <v>0</v>
      </c>
      <c r="Q16" s="11">
        <v>0</v>
      </c>
      <c r="R16" s="50">
        <v>-1000</v>
      </c>
      <c r="S16" s="11"/>
      <c r="T16" s="50">
        <f t="shared" si="1"/>
        <v>1.1155419849592266E-4</v>
      </c>
      <c r="U16" s="11"/>
      <c r="V16" s="53" t="s">
        <v>70</v>
      </c>
      <c r="W16" s="51" t="s">
        <v>65</v>
      </c>
    </row>
    <row r="17" spans="2:23" x14ac:dyDescent="0.25">
      <c r="B17" s="35" t="s">
        <v>51</v>
      </c>
      <c r="C17" s="11"/>
      <c r="D17" s="11">
        <v>15800</v>
      </c>
      <c r="E17" s="11">
        <v>1.9</v>
      </c>
      <c r="F17" s="11">
        <v>2</v>
      </c>
      <c r="G17" s="11">
        <v>4.0487500000000001</v>
      </c>
      <c r="H17" s="11"/>
      <c r="I17" s="11">
        <f t="shared" si="0"/>
        <v>1.0024281291303708E-2</v>
      </c>
      <c r="J17" s="36" t="s">
        <v>50</v>
      </c>
      <c r="K17" s="6"/>
      <c r="L17" s="6"/>
      <c r="M17" s="35" t="s">
        <v>51</v>
      </c>
      <c r="N17" s="11"/>
      <c r="O17" s="50">
        <v>18500</v>
      </c>
      <c r="P17" s="11">
        <v>1.9</v>
      </c>
      <c r="Q17" s="11">
        <v>2</v>
      </c>
      <c r="R17" s="11">
        <v>4.0487500000000001</v>
      </c>
      <c r="S17" s="11"/>
      <c r="T17" s="50">
        <f t="shared" si="1"/>
        <v>1.004179395402767E-2</v>
      </c>
      <c r="U17" s="11"/>
      <c r="V17" s="11" t="s">
        <v>58</v>
      </c>
      <c r="W17" s="51" t="s">
        <v>66</v>
      </c>
    </row>
    <row r="18" spans="2:23" x14ac:dyDescent="0.25">
      <c r="B18" s="35" t="s">
        <v>52</v>
      </c>
      <c r="C18" s="11"/>
      <c r="D18" s="11">
        <v>0</v>
      </c>
      <c r="E18" s="11">
        <v>2</v>
      </c>
      <c r="F18" s="11">
        <v>1.25</v>
      </c>
      <c r="G18" s="11">
        <v>4.7</v>
      </c>
      <c r="H18" s="11"/>
      <c r="I18" s="11">
        <f t="shared" si="0"/>
        <v>1.0051333165410939E-2</v>
      </c>
      <c r="J18" s="36" t="s">
        <v>53</v>
      </c>
      <c r="K18" s="6"/>
      <c r="L18" s="6"/>
      <c r="M18" s="35" t="s">
        <v>52</v>
      </c>
      <c r="N18" s="11"/>
      <c r="O18" s="11">
        <v>0</v>
      </c>
      <c r="P18" s="11">
        <v>4.6051700000000002</v>
      </c>
      <c r="Q18" s="50">
        <v>2.87823137</v>
      </c>
      <c r="R18" s="11">
        <v>10.5688</v>
      </c>
      <c r="S18" s="11"/>
      <c r="T18" s="50">
        <f t="shared" si="1"/>
        <v>0.31090893914816448</v>
      </c>
      <c r="U18" s="11"/>
      <c r="V18" s="11" t="s">
        <v>53</v>
      </c>
      <c r="W18" s="51" t="s">
        <v>82</v>
      </c>
    </row>
    <row r="19" spans="2:23" ht="30.75" thickBot="1" x14ac:dyDescent="0.3">
      <c r="B19" s="45" t="s">
        <v>52</v>
      </c>
      <c r="C19" s="46"/>
      <c r="D19" s="46">
        <v>500</v>
      </c>
      <c r="E19" s="46">
        <v>2</v>
      </c>
      <c r="F19" s="46">
        <v>1.25</v>
      </c>
      <c r="G19" s="46">
        <v>4.5999999999999996</v>
      </c>
      <c r="H19" s="46"/>
      <c r="I19" s="46">
        <f t="shared" si="0"/>
        <v>1.0050328082349392E-2</v>
      </c>
      <c r="J19" s="47"/>
      <c r="K19" s="6"/>
      <c r="L19" s="6"/>
      <c r="M19" s="35" t="s">
        <v>71</v>
      </c>
      <c r="N19" s="11"/>
      <c r="O19" s="11">
        <v>500</v>
      </c>
      <c r="P19" s="11">
        <v>4.6051700000000002</v>
      </c>
      <c r="Q19" s="50">
        <v>2.87823137</v>
      </c>
      <c r="R19" s="11">
        <v>4.5999999999999996</v>
      </c>
      <c r="S19" s="11"/>
      <c r="T19" s="50">
        <f t="shared" si="1"/>
        <v>0.6509858018872553</v>
      </c>
      <c r="U19" s="11"/>
      <c r="V19" s="11"/>
      <c r="W19" s="54" t="s">
        <v>79</v>
      </c>
    </row>
    <row r="20" spans="2:23" x14ac:dyDescent="0.25">
      <c r="M20" s="35"/>
      <c r="N20" s="11"/>
      <c r="O20" s="11"/>
      <c r="P20" s="11"/>
      <c r="Q20" s="11"/>
      <c r="R20" s="11"/>
      <c r="S20" s="11"/>
      <c r="T20" s="50"/>
      <c r="U20" s="11"/>
      <c r="V20" s="11"/>
      <c r="W20" s="55"/>
    </row>
    <row r="21" spans="2:23" x14ac:dyDescent="0.25">
      <c r="M21" s="49" t="s">
        <v>72</v>
      </c>
      <c r="N21" s="50"/>
      <c r="O21" s="50">
        <v>15000</v>
      </c>
      <c r="P21" s="50">
        <v>2.19</v>
      </c>
      <c r="Q21" s="50">
        <v>2.4300000000000002</v>
      </c>
      <c r="R21" s="50">
        <f>AVERAGE(R6:R7)</f>
        <v>7.3087749999999998</v>
      </c>
      <c r="S21" s="50"/>
      <c r="T21" s="50">
        <f>EXP(N$4+O$4*O21+P$4*P21+Q$4*Q21+((S$4*(R21*Q21))))</f>
        <v>1.7388255226511936E-2</v>
      </c>
      <c r="U21" s="50"/>
      <c r="V21" s="50" t="s">
        <v>73</v>
      </c>
      <c r="W21" s="51"/>
    </row>
    <row r="22" spans="2:23" x14ac:dyDescent="0.25">
      <c r="M22" s="49" t="s">
        <v>74</v>
      </c>
      <c r="N22" s="50"/>
      <c r="O22" s="50">
        <v>28000</v>
      </c>
      <c r="P22" s="50">
        <v>0.2</v>
      </c>
      <c r="Q22" s="50">
        <v>0.5</v>
      </c>
      <c r="R22" s="50">
        <v>7.3</v>
      </c>
      <c r="S22" s="50"/>
      <c r="T22" s="50">
        <f>EXP(N$4+O$4*O22+P$4*P22+Q$4*Q22+((S$4*(R22*Q22))))</f>
        <v>2.3899928444290157E-4</v>
      </c>
      <c r="U22" s="50"/>
      <c r="V22" s="50" t="s">
        <v>75</v>
      </c>
      <c r="W22" s="51"/>
    </row>
    <row r="23" spans="2:23" ht="15.75" thickBot="1" x14ac:dyDescent="0.3">
      <c r="M23" s="56" t="s">
        <v>76</v>
      </c>
      <c r="N23" s="57"/>
      <c r="O23" s="57">
        <v>18000</v>
      </c>
      <c r="P23" s="57">
        <v>3</v>
      </c>
      <c r="Q23" s="57">
        <v>3</v>
      </c>
      <c r="R23" s="57">
        <v>14</v>
      </c>
      <c r="S23" s="57"/>
      <c r="T23" s="57">
        <f t="shared" ref="T23" si="2">EXP(N$4+O$4*O23+P$4*P23+Q$4*Q23+((S$4*(R23*Q23))))</f>
        <v>2.3640356646232066E-2</v>
      </c>
      <c r="U23" s="57"/>
      <c r="V23" s="57" t="s">
        <v>78</v>
      </c>
      <c r="W23" s="58"/>
    </row>
    <row r="24" spans="2:23" ht="15.75" thickBot="1" x14ac:dyDescent="0.3">
      <c r="M24" s="56" t="s">
        <v>76</v>
      </c>
      <c r="N24" s="57"/>
      <c r="O24" s="57">
        <v>147000</v>
      </c>
      <c r="P24" s="57">
        <f>P9</f>
        <v>4.3801498746610212</v>
      </c>
      <c r="Q24" s="57">
        <f>Q9</f>
        <v>4.607966273290093</v>
      </c>
      <c r="R24" s="57">
        <f>R6</f>
        <v>4.0487500000000001</v>
      </c>
      <c r="S24" s="57"/>
      <c r="T24" s="57">
        <f t="shared" ref="T24" si="3">EXP(N$4+O$4*O24+P$4*P24+Q$4*Q24+((S$4*(R24*Q24))))</f>
        <v>1.0348078710083228E-2</v>
      </c>
      <c r="U24" s="57"/>
      <c r="V24" s="57"/>
    </row>
    <row r="25" spans="2:23" ht="15.75" thickBot="1" x14ac:dyDescent="0.3">
      <c r="M25" s="56" t="s">
        <v>76</v>
      </c>
      <c r="N25" s="57"/>
      <c r="O25" s="57">
        <v>13854</v>
      </c>
      <c r="P25" s="57">
        <v>0</v>
      </c>
      <c r="Q25" s="57">
        <v>0</v>
      </c>
      <c r="R25" s="57">
        <v>16.265321731567301</v>
      </c>
      <c r="S25" s="57"/>
      <c r="T25" s="57">
        <f>EXP(N$4+O$4*O25+P$4*P25+Q$4*Q25+((S$4*(R25*Q25))))</f>
        <v>2.152182776425601E-4</v>
      </c>
    </row>
  </sheetData>
  <mergeCells count="8">
    <mergeCell ref="M11:Q11"/>
    <mergeCell ref="B1:J1"/>
    <mergeCell ref="N12:R12"/>
    <mergeCell ref="M1:U1"/>
    <mergeCell ref="C2:F2"/>
    <mergeCell ref="N2:Q2"/>
    <mergeCell ref="B11:F11"/>
    <mergeCell ref="C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C20" sqref="C20"/>
    </sheetView>
  </sheetViews>
  <sheetFormatPr defaultRowHeight="15" x14ac:dyDescent="0.25"/>
  <cols>
    <col min="1" max="1" width="23" style="6" bestFit="1" customWidth="1"/>
    <col min="2" max="2" width="9.140625" style="6"/>
    <col min="3" max="4" width="14.7109375" style="6" customWidth="1"/>
    <col min="5" max="6" width="9.140625" style="6"/>
    <col min="7" max="7" width="23" style="6" bestFit="1" customWidth="1"/>
    <col min="8" max="16384" width="9.140625" style="6"/>
  </cols>
  <sheetData>
    <row r="1" spans="1:12" x14ac:dyDescent="0.25">
      <c r="B1" s="64" t="s">
        <v>11</v>
      </c>
      <c r="C1" s="64"/>
      <c r="D1" s="64"/>
      <c r="E1" s="64"/>
      <c r="F1" s="64"/>
      <c r="G1" s="8"/>
      <c r="H1" s="8"/>
      <c r="I1" s="8"/>
      <c r="J1" s="8"/>
      <c r="K1" s="8"/>
    </row>
    <row r="2" spans="1:12" x14ac:dyDescent="0.25">
      <c r="B2" s="17" t="s">
        <v>0</v>
      </c>
      <c r="C2" s="17" t="s">
        <v>1</v>
      </c>
      <c r="D2" s="17" t="s">
        <v>26</v>
      </c>
      <c r="E2" s="17"/>
      <c r="F2" s="18"/>
      <c r="G2" s="8"/>
      <c r="H2" s="8"/>
      <c r="I2" s="8"/>
      <c r="J2" s="8"/>
      <c r="K2" s="8"/>
    </row>
    <row r="3" spans="1:12" x14ac:dyDescent="0.25">
      <c r="A3" s="6" t="s">
        <v>15</v>
      </c>
      <c r="B3" s="16">
        <v>0.70589000000000002</v>
      </c>
      <c r="C3" s="16">
        <v>1.2553099999999999</v>
      </c>
      <c r="D3" s="16">
        <v>-1.9454199999999999</v>
      </c>
      <c r="E3" s="22"/>
      <c r="F3" s="24"/>
      <c r="G3" s="8"/>
      <c r="H3" s="8"/>
      <c r="I3" s="8"/>
      <c r="J3" s="8"/>
      <c r="K3" s="8"/>
    </row>
    <row r="4" spans="1:12" x14ac:dyDescent="0.25">
      <c r="A4" s="6" t="s">
        <v>22</v>
      </c>
      <c r="B4" s="16"/>
      <c r="C4" s="16"/>
      <c r="D4" s="16"/>
      <c r="E4" s="16"/>
      <c r="F4" s="16"/>
      <c r="G4" s="8"/>
      <c r="H4" s="8"/>
      <c r="I4" s="8"/>
      <c r="J4" s="8"/>
      <c r="K4" s="8"/>
    </row>
    <row r="5" spans="1:12" x14ac:dyDescent="0.25">
      <c r="A5" s="6" t="s">
        <v>16</v>
      </c>
      <c r="C5" s="6">
        <v>0</v>
      </c>
      <c r="D5" s="6">
        <v>34</v>
      </c>
      <c r="G5" s="8"/>
      <c r="H5" s="8"/>
      <c r="I5" s="8"/>
      <c r="J5" s="8"/>
      <c r="K5" s="8"/>
    </row>
    <row r="6" spans="1:12" x14ac:dyDescent="0.25">
      <c r="A6" s="6" t="s">
        <v>17</v>
      </c>
      <c r="C6" s="6">
        <v>100</v>
      </c>
      <c r="D6" s="6">
        <v>130</v>
      </c>
      <c r="G6" s="8"/>
      <c r="H6" s="8"/>
      <c r="I6" s="8"/>
      <c r="J6" s="8"/>
      <c r="K6" s="8"/>
    </row>
    <row r="7" spans="1:12" x14ac:dyDescent="0.25">
      <c r="A7" s="6" t="s">
        <v>18</v>
      </c>
      <c r="C7" s="6">
        <f>LOG(C5+1)</f>
        <v>0</v>
      </c>
      <c r="D7" s="6">
        <f>LOG(D5+1)</f>
        <v>1.5440680443502757</v>
      </c>
      <c r="G7" s="8"/>
      <c r="H7" s="8"/>
      <c r="I7" s="8"/>
      <c r="J7" s="8"/>
      <c r="K7" s="8"/>
    </row>
    <row r="8" spans="1:12" x14ac:dyDescent="0.25">
      <c r="A8" s="6" t="s">
        <v>19</v>
      </c>
      <c r="C8" s="6">
        <f>LOG(C6+1)</f>
        <v>2.0043213737826426</v>
      </c>
      <c r="D8" s="6">
        <f>LOG(D6+1)</f>
        <v>2.1172712956557644</v>
      </c>
      <c r="G8" s="8"/>
      <c r="H8" s="8"/>
      <c r="I8" s="8"/>
      <c r="J8" s="8"/>
      <c r="K8" s="8"/>
    </row>
    <row r="9" spans="1:12" s="2" customFormat="1" x14ac:dyDescent="0.25">
      <c r="G9" s="9"/>
      <c r="H9" s="9"/>
      <c r="I9" s="9"/>
      <c r="J9" s="9"/>
      <c r="K9" s="9"/>
    </row>
    <row r="10" spans="1:12" s="2" customFormat="1" x14ac:dyDescent="0.25">
      <c r="A10" s="65" t="s">
        <v>12</v>
      </c>
      <c r="B10" s="65"/>
      <c r="C10" s="65"/>
      <c r="D10" s="65"/>
      <c r="E10" s="65"/>
      <c r="G10" s="66"/>
      <c r="H10" s="66"/>
      <c r="I10" s="66"/>
      <c r="J10" s="66"/>
      <c r="K10" s="66"/>
    </row>
    <row r="11" spans="1:12" s="2" customFormat="1" x14ac:dyDescent="0.25">
      <c r="A11" s="19"/>
      <c r="B11" s="65" t="s">
        <v>13</v>
      </c>
      <c r="C11" s="65"/>
      <c r="D11" s="65"/>
      <c r="E11" s="65"/>
      <c r="F11" s="19" t="s">
        <v>14</v>
      </c>
      <c r="H11" s="20"/>
      <c r="I11" s="66"/>
      <c r="J11" s="66"/>
      <c r="K11" s="66"/>
      <c r="L11" s="20"/>
    </row>
    <row r="12" spans="1:12" x14ac:dyDescent="0.25">
      <c r="B12" s="17" t="str">
        <f>C2</f>
        <v>LogUC200</v>
      </c>
      <c r="C12" s="17" t="str">
        <f>D2</f>
        <v>LogPrevPrecip</v>
      </c>
      <c r="D12" s="17"/>
      <c r="E12" s="17"/>
      <c r="F12" s="17" t="s">
        <v>37</v>
      </c>
      <c r="H12" s="8"/>
      <c r="I12" s="8"/>
      <c r="J12" s="8"/>
      <c r="K12" s="8"/>
      <c r="L12" s="8"/>
    </row>
    <row r="13" spans="1:12" x14ac:dyDescent="0.25">
      <c r="B13" s="6">
        <f>C8</f>
        <v>2.0043213737826426</v>
      </c>
      <c r="C13" s="6">
        <f>D8</f>
        <v>2.1172712956557644</v>
      </c>
      <c r="F13" s="6">
        <f>EXP(B$3+B13*C$3+C13*D$3)</f>
        <v>0.40777192824677433</v>
      </c>
      <c r="H13" s="8"/>
      <c r="I13" s="8"/>
      <c r="J13" s="8"/>
      <c r="K13" s="8"/>
      <c r="L13" s="8"/>
    </row>
    <row r="14" spans="1:12" x14ac:dyDescent="0.25">
      <c r="B14" s="6">
        <f>C7</f>
        <v>0</v>
      </c>
      <c r="C14" s="6">
        <f>D8</f>
        <v>2.1172712956557644</v>
      </c>
      <c r="F14" s="6">
        <f t="shared" ref="F14:F17" si="0">EXP(B$3+B14*C$3+C14*D$3)</f>
        <v>3.2939197269821127E-2</v>
      </c>
      <c r="H14" s="8"/>
      <c r="I14" s="8"/>
      <c r="J14" s="8"/>
      <c r="K14" s="8"/>
      <c r="L14" s="8"/>
    </row>
    <row r="15" spans="1:12" x14ac:dyDescent="0.25">
      <c r="B15" s="6">
        <f>C8</f>
        <v>2.0043213737826426</v>
      </c>
      <c r="C15" s="6">
        <f>D7</f>
        <v>1.5440680443502757</v>
      </c>
      <c r="F15" s="6">
        <f t="shared" si="0"/>
        <v>1.2436788587791148</v>
      </c>
      <c r="H15" s="8"/>
      <c r="I15" s="8"/>
      <c r="J15" s="8"/>
      <c r="K15" s="8"/>
      <c r="L15" s="8"/>
    </row>
    <row r="16" spans="1:12" x14ac:dyDescent="0.25">
      <c r="B16" s="6">
        <f>C7</f>
        <v>0</v>
      </c>
      <c r="C16" s="6">
        <f>D7</f>
        <v>1.5440680443502757</v>
      </c>
      <c r="F16" s="6">
        <f t="shared" si="0"/>
        <v>0.1004624900143683</v>
      </c>
      <c r="H16" s="8"/>
      <c r="I16" s="8"/>
      <c r="J16" s="8"/>
      <c r="K16" s="8"/>
      <c r="L16" s="8"/>
    </row>
    <row r="17" spans="1:7" x14ac:dyDescent="0.25">
      <c r="A17" s="21" t="s">
        <v>29</v>
      </c>
      <c r="B17" s="21">
        <v>0</v>
      </c>
      <c r="C17" s="21">
        <v>8.5299999999999994</v>
      </c>
      <c r="D17" s="21"/>
      <c r="E17" s="21"/>
      <c r="F17" s="6">
        <f t="shared" si="0"/>
        <v>1.2580376055535952E-7</v>
      </c>
      <c r="G17" s="6" t="s">
        <v>32</v>
      </c>
    </row>
    <row r="19" spans="1:7" x14ac:dyDescent="0.25">
      <c r="E19" s="6" t="s">
        <v>35</v>
      </c>
      <c r="F19" s="6">
        <f>MIN(F13:F16)</f>
        <v>3.2939197269821127E-2</v>
      </c>
    </row>
    <row r="20" spans="1:7" x14ac:dyDescent="0.25">
      <c r="E20" s="6" t="s">
        <v>36</v>
      </c>
      <c r="F20" s="6">
        <f>MAX(F13:F16)</f>
        <v>1.2436788587791148</v>
      </c>
    </row>
  </sheetData>
  <mergeCells count="5">
    <mergeCell ref="B1:F1"/>
    <mergeCell ref="A10:E10"/>
    <mergeCell ref="G10:K10"/>
    <mergeCell ref="B11:E11"/>
    <mergeCell ref="I11:K1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I29" sqref="I29"/>
    </sheetView>
  </sheetViews>
  <sheetFormatPr defaultRowHeight="15" x14ac:dyDescent="0.25"/>
  <cols>
    <col min="1" max="1" width="23" style="6" bestFit="1" customWidth="1"/>
    <col min="2" max="6" width="9.140625" style="6"/>
    <col min="7" max="7" width="23" style="6" bestFit="1" customWidth="1"/>
    <col min="8" max="16384" width="9.140625" style="6"/>
  </cols>
  <sheetData>
    <row r="1" spans="1:11" x14ac:dyDescent="0.25">
      <c r="B1" s="64" t="s">
        <v>11</v>
      </c>
      <c r="C1" s="64"/>
      <c r="D1" s="64"/>
      <c r="E1" s="64"/>
      <c r="G1" s="8"/>
      <c r="H1" s="8"/>
      <c r="I1" s="8"/>
      <c r="J1" s="8"/>
      <c r="K1" s="8"/>
    </row>
    <row r="2" spans="1:11" x14ac:dyDescent="0.25">
      <c r="B2" s="1" t="s">
        <v>0</v>
      </c>
      <c r="C2" s="1" t="s">
        <v>42</v>
      </c>
      <c r="D2" s="1" t="s">
        <v>85</v>
      </c>
      <c r="E2" s="1"/>
      <c r="G2" s="8"/>
      <c r="H2" s="8"/>
      <c r="I2" s="8"/>
      <c r="J2" s="8"/>
      <c r="K2" s="8"/>
    </row>
    <row r="3" spans="1:11" x14ac:dyDescent="0.25">
      <c r="A3" s="6" t="s">
        <v>15</v>
      </c>
      <c r="B3" s="6">
        <v>1.19815</v>
      </c>
      <c r="C3" s="6">
        <v>-0.79901</v>
      </c>
      <c r="D3" s="6">
        <v>-0.48820000000000002</v>
      </c>
      <c r="G3" s="8"/>
      <c r="H3" s="8"/>
      <c r="I3" s="8"/>
      <c r="J3" s="8"/>
      <c r="K3" s="8"/>
    </row>
    <row r="4" spans="1:11" x14ac:dyDescent="0.25">
      <c r="A4" s="6" t="s">
        <v>22</v>
      </c>
      <c r="G4" s="8"/>
      <c r="H4" s="8"/>
      <c r="I4" s="8"/>
      <c r="J4" s="8"/>
      <c r="K4" s="8"/>
    </row>
    <row r="5" spans="1:11" x14ac:dyDescent="0.25">
      <c r="A5" s="6" t="s">
        <v>16</v>
      </c>
      <c r="G5" s="8"/>
      <c r="H5" s="8"/>
      <c r="I5" s="8"/>
      <c r="J5" s="8"/>
      <c r="K5" s="8"/>
    </row>
    <row r="6" spans="1:11" x14ac:dyDescent="0.25">
      <c r="A6" s="6" t="s">
        <v>17</v>
      </c>
      <c r="G6" s="8"/>
      <c r="H6" s="8"/>
      <c r="I6" s="8"/>
      <c r="J6" s="8"/>
      <c r="K6" s="8"/>
    </row>
    <row r="7" spans="1:11" x14ac:dyDescent="0.25">
      <c r="A7" s="6" t="s">
        <v>18</v>
      </c>
      <c r="C7" s="6">
        <f>LOG(C5+1)</f>
        <v>0</v>
      </c>
      <c r="G7" s="8"/>
      <c r="H7" s="8"/>
      <c r="I7" s="8"/>
      <c r="J7" s="8"/>
      <c r="K7" s="8"/>
    </row>
    <row r="8" spans="1:11" x14ac:dyDescent="0.25">
      <c r="A8" s="6" t="s">
        <v>19</v>
      </c>
      <c r="C8" s="6">
        <f>LOG(C6+1)</f>
        <v>0</v>
      </c>
      <c r="G8" s="8"/>
      <c r="H8" s="8"/>
      <c r="I8" s="8"/>
      <c r="J8" s="8"/>
      <c r="K8" s="8"/>
    </row>
    <row r="9" spans="1:11" s="2" customFormat="1" x14ac:dyDescent="0.25">
      <c r="G9" s="9"/>
      <c r="H9" s="9"/>
      <c r="I9" s="9"/>
      <c r="J9" s="9"/>
      <c r="K9" s="9"/>
    </row>
    <row r="10" spans="1:11" s="2" customFormat="1" x14ac:dyDescent="0.25">
      <c r="A10" s="65" t="s">
        <v>12</v>
      </c>
      <c r="B10" s="65"/>
      <c r="C10" s="65"/>
      <c r="D10" s="65"/>
      <c r="E10" s="65"/>
      <c r="G10" s="66"/>
      <c r="H10" s="66"/>
      <c r="I10" s="66"/>
      <c r="J10" s="66"/>
      <c r="K10" s="66"/>
    </row>
    <row r="11" spans="1:11" s="2" customFormat="1" x14ac:dyDescent="0.25">
      <c r="A11" s="62"/>
      <c r="B11" s="65" t="s">
        <v>13</v>
      </c>
      <c r="C11" s="65"/>
      <c r="D11" s="65"/>
      <c r="E11" s="62" t="s">
        <v>14</v>
      </c>
      <c r="G11" s="63"/>
      <c r="H11" s="66"/>
      <c r="I11" s="66"/>
      <c r="J11" s="66"/>
      <c r="K11" s="63"/>
    </row>
    <row r="12" spans="1:11" x14ac:dyDescent="0.25">
      <c r="B12" s="1" t="str">
        <f>C2</f>
        <v>loglc200</v>
      </c>
      <c r="C12" s="1" t="str">
        <f>D2</f>
        <v>logprecip</v>
      </c>
      <c r="D12" s="1">
        <f>E2</f>
        <v>0</v>
      </c>
      <c r="E12" s="1" t="s">
        <v>86</v>
      </c>
      <c r="G12" s="8"/>
      <c r="H12" s="8"/>
      <c r="I12" s="8"/>
      <c r="J12" s="8"/>
      <c r="K12" s="8"/>
    </row>
    <row r="13" spans="1:11" x14ac:dyDescent="0.25">
      <c r="A13" s="6" t="s">
        <v>25</v>
      </c>
      <c r="B13" s="6">
        <v>0</v>
      </c>
      <c r="C13" s="6">
        <v>4.29</v>
      </c>
      <c r="D13" s="6">
        <v>0</v>
      </c>
      <c r="E13" s="6">
        <f>EXP(B$3+B13*C$3+C13*D$3+D13*E$3)</f>
        <v>0.40810613647050642</v>
      </c>
      <c r="G13" s="8"/>
      <c r="H13" s="8"/>
      <c r="I13" s="8"/>
      <c r="J13" s="8"/>
      <c r="K13" s="8"/>
    </row>
    <row r="14" spans="1:11" x14ac:dyDescent="0.25">
      <c r="A14" s="6" t="s">
        <v>29</v>
      </c>
      <c r="B14" s="6">
        <v>0</v>
      </c>
      <c r="C14" s="6">
        <v>1</v>
      </c>
      <c r="D14" s="6">
        <v>0</v>
      </c>
      <c r="E14" s="6">
        <f>EXP(B$3+B14*C$3+C14*D$3+D14*E$3)</f>
        <v>2.0338895616262653</v>
      </c>
    </row>
    <row r="15" spans="1:11" x14ac:dyDescent="0.25">
      <c r="A15" s="6" t="s">
        <v>29</v>
      </c>
      <c r="B15" s="6">
        <v>0</v>
      </c>
      <c r="C15" s="6">
        <v>2</v>
      </c>
      <c r="D15" s="6">
        <v>0</v>
      </c>
      <c r="E15" s="6">
        <f t="shared" ref="E15:E25" si="0">EXP(B$3+B15*C$3+C15*D$3+D15*E$3)</f>
        <v>1.2482592740344216</v>
      </c>
    </row>
    <row r="16" spans="1:11" x14ac:dyDescent="0.25">
      <c r="A16" s="6" t="s">
        <v>29</v>
      </c>
      <c r="B16" s="6">
        <v>0</v>
      </c>
      <c r="C16" s="6">
        <v>3</v>
      </c>
      <c r="D16" s="6">
        <v>0</v>
      </c>
      <c r="E16" s="6">
        <f t="shared" si="0"/>
        <v>0.76609430748396634</v>
      </c>
    </row>
    <row r="17" spans="1:5" x14ac:dyDescent="0.25">
      <c r="A17" s="6" t="s">
        <v>29</v>
      </c>
      <c r="B17" s="6">
        <v>0</v>
      </c>
      <c r="C17" s="6">
        <v>4</v>
      </c>
      <c r="D17" s="6">
        <v>0</v>
      </c>
      <c r="E17" s="6">
        <f t="shared" si="0"/>
        <v>0.47017514723720272</v>
      </c>
    </row>
    <row r="18" spans="1:5" x14ac:dyDescent="0.25">
      <c r="A18" s="6" t="s">
        <v>29</v>
      </c>
      <c r="B18" s="6">
        <v>0</v>
      </c>
      <c r="C18" s="6">
        <v>5</v>
      </c>
      <c r="D18" s="6">
        <v>0</v>
      </c>
      <c r="E18" s="6">
        <f t="shared" si="0"/>
        <v>0.28856064706387585</v>
      </c>
    </row>
    <row r="19" spans="1:5" x14ac:dyDescent="0.25">
      <c r="A19" s="6" t="s">
        <v>29</v>
      </c>
      <c r="B19" s="6">
        <v>0</v>
      </c>
      <c r="C19" s="6">
        <v>6</v>
      </c>
      <c r="D19" s="6">
        <v>0</v>
      </c>
      <c r="E19" s="6">
        <f t="shared" si="0"/>
        <v>0.17709835903324456</v>
      </c>
    </row>
    <row r="20" spans="1:5" x14ac:dyDescent="0.25">
      <c r="A20" s="6" t="s">
        <v>46</v>
      </c>
      <c r="B20" s="6">
        <v>2</v>
      </c>
      <c r="C20" s="6">
        <v>1</v>
      </c>
      <c r="D20" s="6">
        <v>0</v>
      </c>
      <c r="E20" s="6">
        <f t="shared" si="0"/>
        <v>0.41144908367323968</v>
      </c>
    </row>
    <row r="21" spans="1:5" x14ac:dyDescent="0.25">
      <c r="A21" s="6" t="s">
        <v>46</v>
      </c>
      <c r="B21" s="6">
        <v>2</v>
      </c>
      <c r="C21" s="6">
        <v>2</v>
      </c>
      <c r="D21" s="6">
        <v>0</v>
      </c>
      <c r="E21" s="6">
        <f t="shared" si="0"/>
        <v>0.25251869333427518</v>
      </c>
    </row>
    <row r="22" spans="1:5" x14ac:dyDescent="0.25">
      <c r="A22" s="6" t="s">
        <v>46</v>
      </c>
      <c r="B22" s="6">
        <v>2</v>
      </c>
      <c r="C22" s="6">
        <v>3</v>
      </c>
      <c r="D22" s="6">
        <v>0</v>
      </c>
      <c r="E22" s="6">
        <f t="shared" si="0"/>
        <v>0.15497832663516264</v>
      </c>
    </row>
    <row r="23" spans="1:5" x14ac:dyDescent="0.25">
      <c r="A23" s="6" t="s">
        <v>46</v>
      </c>
      <c r="B23" s="6">
        <v>2</v>
      </c>
      <c r="C23" s="6">
        <v>4</v>
      </c>
      <c r="D23" s="6">
        <v>0</v>
      </c>
      <c r="E23" s="6">
        <f t="shared" si="0"/>
        <v>9.5114866188700853E-2</v>
      </c>
    </row>
    <row r="24" spans="1:5" x14ac:dyDescent="0.25">
      <c r="A24" s="6" t="s">
        <v>46</v>
      </c>
      <c r="B24" s="6">
        <v>2</v>
      </c>
      <c r="C24" s="6">
        <v>5</v>
      </c>
      <c r="D24" s="6">
        <v>0</v>
      </c>
      <c r="E24" s="6">
        <f t="shared" si="0"/>
        <v>5.837485773989412E-2</v>
      </c>
    </row>
    <row r="25" spans="1:5" x14ac:dyDescent="0.25">
      <c r="A25" s="6" t="s">
        <v>46</v>
      </c>
      <c r="B25" s="6">
        <v>2</v>
      </c>
      <c r="C25" s="6">
        <v>6</v>
      </c>
      <c r="D25" s="6">
        <v>0</v>
      </c>
      <c r="E25" s="6">
        <f t="shared" si="0"/>
        <v>3.5826408138896024E-2</v>
      </c>
    </row>
  </sheetData>
  <mergeCells count="5">
    <mergeCell ref="B1:E1"/>
    <mergeCell ref="A10:E10"/>
    <mergeCell ref="G10:K10"/>
    <mergeCell ref="B11:D11"/>
    <mergeCell ref="H11:J11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20" sqref="A20:E20"/>
    </sheetView>
  </sheetViews>
  <sheetFormatPr defaultRowHeight="15" x14ac:dyDescent="0.25"/>
  <cols>
    <col min="1" max="1" width="23" style="4" bestFit="1" customWidth="1"/>
    <col min="7" max="7" width="23" style="6" bestFit="1" customWidth="1"/>
  </cols>
  <sheetData>
    <row r="1" spans="1:11" s="6" customFormat="1" x14ac:dyDescent="0.25">
      <c r="B1" s="64" t="s">
        <v>11</v>
      </c>
      <c r="C1" s="64"/>
      <c r="D1" s="64"/>
      <c r="E1" s="64"/>
      <c r="G1" s="8"/>
      <c r="H1" s="8"/>
      <c r="I1" s="8"/>
      <c r="J1" s="8"/>
      <c r="K1" s="8"/>
    </row>
    <row r="2" spans="1:11" x14ac:dyDescent="0.25">
      <c r="B2" s="1" t="s">
        <v>0</v>
      </c>
      <c r="C2" s="1" t="s">
        <v>1</v>
      </c>
      <c r="D2" s="1" t="s">
        <v>2</v>
      </c>
      <c r="E2" s="1" t="s">
        <v>3</v>
      </c>
      <c r="G2" s="8"/>
      <c r="H2" s="8"/>
      <c r="I2" s="8"/>
      <c r="J2" s="8"/>
      <c r="K2" s="8"/>
    </row>
    <row r="3" spans="1:11" x14ac:dyDescent="0.25">
      <c r="A3" s="4" t="s">
        <v>15</v>
      </c>
      <c r="B3">
        <v>-5.2283270000000002</v>
      </c>
      <c r="C3">
        <v>0.823546</v>
      </c>
      <c r="D3">
        <v>-0.18083399999999999</v>
      </c>
      <c r="E3">
        <v>2.0801E-2</v>
      </c>
      <c r="G3" s="8"/>
      <c r="H3" s="8"/>
      <c r="I3" s="8"/>
      <c r="J3" s="8"/>
      <c r="K3" s="8"/>
    </row>
    <row r="4" spans="1:11" s="6" customFormat="1" x14ac:dyDescent="0.25">
      <c r="A4" s="6" t="s">
        <v>22</v>
      </c>
      <c r="B4" s="6">
        <f>EXP(B3)</f>
        <v>5.3624892467396901E-3</v>
      </c>
      <c r="C4" s="6">
        <f t="shared" ref="C4:E4" si="0">EXP(C3)</f>
        <v>2.2785653216082027</v>
      </c>
      <c r="D4" s="6">
        <f t="shared" si="0"/>
        <v>0.8345738864628196</v>
      </c>
      <c r="E4" s="6">
        <f t="shared" si="0"/>
        <v>1.0210188486686187</v>
      </c>
      <c r="G4" s="8"/>
      <c r="H4" s="8"/>
      <c r="I4" s="8"/>
      <c r="J4" s="8"/>
      <c r="K4" s="8"/>
    </row>
    <row r="5" spans="1:11" x14ac:dyDescent="0.25">
      <c r="A5" s="4" t="s">
        <v>16</v>
      </c>
      <c r="C5" s="5">
        <v>0</v>
      </c>
      <c r="D5" s="4">
        <v>-4.0025000000000004</v>
      </c>
      <c r="E5" s="6">
        <v>0.31</v>
      </c>
      <c r="G5" s="8"/>
      <c r="H5" s="8"/>
      <c r="I5" s="8"/>
      <c r="J5" s="8"/>
      <c r="K5" s="8"/>
    </row>
    <row r="6" spans="1:11" s="4" customFormat="1" x14ac:dyDescent="0.25">
      <c r="A6" s="4" t="s">
        <v>17</v>
      </c>
      <c r="C6" s="5">
        <v>98.72</v>
      </c>
      <c r="D6" s="4">
        <v>2.6724999999999999</v>
      </c>
      <c r="E6" s="6">
        <v>99.28</v>
      </c>
      <c r="G6" s="8"/>
      <c r="H6" s="8"/>
      <c r="I6" s="8"/>
      <c r="J6" s="8"/>
      <c r="K6" s="8"/>
    </row>
    <row r="7" spans="1:11" s="5" customFormat="1" x14ac:dyDescent="0.25">
      <c r="A7" s="5" t="s">
        <v>18</v>
      </c>
      <c r="C7" s="5">
        <f>LOG(C5+1)</f>
        <v>0</v>
      </c>
      <c r="G7" s="8"/>
      <c r="H7" s="8"/>
      <c r="I7" s="8"/>
      <c r="J7" s="8"/>
      <c r="K7" s="8"/>
    </row>
    <row r="8" spans="1:11" s="5" customFormat="1" x14ac:dyDescent="0.25">
      <c r="A8" s="5" t="s">
        <v>19</v>
      </c>
      <c r="C8" s="5">
        <f>LOG(C6+1)</f>
        <v>1.9987822698317359</v>
      </c>
      <c r="G8" s="8"/>
      <c r="H8" s="8"/>
      <c r="I8" s="8"/>
      <c r="J8" s="8"/>
      <c r="K8" s="8"/>
    </row>
    <row r="9" spans="1:11" s="2" customFormat="1" x14ac:dyDescent="0.25">
      <c r="G9" s="9"/>
      <c r="H9" s="9"/>
      <c r="I9" s="9"/>
      <c r="J9" s="9"/>
      <c r="K9" s="9"/>
    </row>
    <row r="10" spans="1:11" s="2" customFormat="1" x14ac:dyDescent="0.25">
      <c r="A10" s="65" t="s">
        <v>12</v>
      </c>
      <c r="B10" s="65"/>
      <c r="C10" s="65"/>
      <c r="D10" s="65"/>
      <c r="E10" s="65"/>
      <c r="G10" s="66"/>
      <c r="H10" s="66"/>
      <c r="I10" s="66"/>
      <c r="J10" s="66"/>
      <c r="K10" s="66"/>
    </row>
    <row r="11" spans="1:11" s="2" customFormat="1" x14ac:dyDescent="0.25">
      <c r="A11" s="3"/>
      <c r="B11" s="65" t="s">
        <v>13</v>
      </c>
      <c r="C11" s="65"/>
      <c r="D11" s="65"/>
      <c r="E11" s="3" t="s">
        <v>14</v>
      </c>
      <c r="G11" s="10"/>
      <c r="H11" s="66"/>
      <c r="I11" s="66"/>
      <c r="J11" s="66"/>
      <c r="K11" s="10"/>
    </row>
    <row r="12" spans="1:11" x14ac:dyDescent="0.25">
      <c r="B12" s="1" t="s">
        <v>1</v>
      </c>
      <c r="C12" s="1" t="s">
        <v>2</v>
      </c>
      <c r="D12" s="1" t="s">
        <v>3</v>
      </c>
      <c r="E12" s="1" t="s">
        <v>4</v>
      </c>
      <c r="G12" s="8"/>
      <c r="H12" s="8"/>
      <c r="I12" s="8"/>
      <c r="J12" s="8"/>
      <c r="K12" s="8"/>
    </row>
    <row r="13" spans="1:11" x14ac:dyDescent="0.25">
      <c r="A13" s="4" t="s">
        <v>5</v>
      </c>
      <c r="B13">
        <f>C8</f>
        <v>1.9987822698317359</v>
      </c>
      <c r="C13" s="4">
        <v>-4.0025000000000004</v>
      </c>
      <c r="D13">
        <f>E6</f>
        <v>99.28</v>
      </c>
      <c r="E13" s="6">
        <f t="shared" ref="E13:E18" si="1">EXP(B$3+B13*C$3+C13*D$3+D13*E$3)</f>
        <v>0.4523375925268675</v>
      </c>
      <c r="G13" s="8"/>
      <c r="H13" s="8"/>
      <c r="I13" s="8"/>
      <c r="J13" s="8"/>
      <c r="K13" s="8"/>
    </row>
    <row r="14" spans="1:11" x14ac:dyDescent="0.25">
      <c r="A14" s="4" t="s">
        <v>6</v>
      </c>
      <c r="B14" s="4">
        <f>C8</f>
        <v>1.9987822698317359</v>
      </c>
      <c r="C14" s="4">
        <v>2.6724999999999999</v>
      </c>
      <c r="D14" s="4">
        <f>E6</f>
        <v>99.28</v>
      </c>
      <c r="E14" s="6">
        <f t="shared" si="1"/>
        <v>0.13528204715127137</v>
      </c>
      <c r="G14" s="8"/>
      <c r="H14" s="8"/>
      <c r="I14" s="8"/>
      <c r="J14" s="8"/>
      <c r="K14" s="8"/>
    </row>
    <row r="15" spans="1:11" x14ac:dyDescent="0.25">
      <c r="A15" s="4" t="s">
        <v>7</v>
      </c>
      <c r="B15" s="5">
        <f>C7</f>
        <v>0</v>
      </c>
      <c r="C15" s="6">
        <v>2.6724999999999999</v>
      </c>
      <c r="D15" s="5">
        <f>E6</f>
        <v>99.28</v>
      </c>
      <c r="E15" s="6">
        <f t="shared" si="1"/>
        <v>2.6082711337498406E-2</v>
      </c>
      <c r="G15" s="8"/>
      <c r="H15" s="8"/>
      <c r="I15" s="8"/>
      <c r="J15" s="8"/>
      <c r="K15" s="8"/>
    </row>
    <row r="16" spans="1:11" x14ac:dyDescent="0.25">
      <c r="A16" s="4" t="s">
        <v>8</v>
      </c>
      <c r="B16" s="5">
        <f>C8</f>
        <v>1.9987822698317359</v>
      </c>
      <c r="C16" s="6">
        <v>2.6724999999999999</v>
      </c>
      <c r="D16" s="5">
        <f>E6</f>
        <v>99.28</v>
      </c>
      <c r="E16" s="6">
        <f t="shared" si="1"/>
        <v>0.13528204715127137</v>
      </c>
      <c r="G16" s="8"/>
      <c r="H16" s="8"/>
      <c r="I16" s="8"/>
      <c r="J16" s="8"/>
      <c r="K16" s="8"/>
    </row>
    <row r="17" spans="1:11" x14ac:dyDescent="0.25">
      <c r="A17" s="4" t="s">
        <v>9</v>
      </c>
      <c r="B17" s="6">
        <f>C8</f>
        <v>1.9987822698317359</v>
      </c>
      <c r="C17" s="6">
        <v>2.6724999999999999</v>
      </c>
      <c r="D17" s="6">
        <f>E5</f>
        <v>0.31</v>
      </c>
      <c r="E17" s="6">
        <f t="shared" si="1"/>
        <v>1.7265095585019787E-2</v>
      </c>
      <c r="G17" s="8"/>
      <c r="H17" s="8"/>
      <c r="I17" s="8"/>
      <c r="J17" s="8"/>
      <c r="K17" s="8"/>
    </row>
    <row r="18" spans="1:11" x14ac:dyDescent="0.25">
      <c r="A18" s="4" t="s">
        <v>10</v>
      </c>
      <c r="B18" s="6">
        <f>C8</f>
        <v>1.9987822698317359</v>
      </c>
      <c r="C18" s="6">
        <v>2.6724999999999999</v>
      </c>
      <c r="D18" s="6">
        <f>E6</f>
        <v>99.28</v>
      </c>
      <c r="E18" s="6">
        <f t="shared" si="1"/>
        <v>0.13528204715127137</v>
      </c>
      <c r="G18" s="8"/>
      <c r="H18" s="8"/>
      <c r="I18" s="8"/>
      <c r="J18" s="8"/>
      <c r="K18" s="8"/>
    </row>
    <row r="19" spans="1:11" x14ac:dyDescent="0.25">
      <c r="A19" s="4" t="s">
        <v>25</v>
      </c>
      <c r="B19" s="6">
        <v>0</v>
      </c>
      <c r="C19" s="6">
        <v>1.31</v>
      </c>
      <c r="D19" s="6">
        <v>100</v>
      </c>
      <c r="E19" s="6">
        <f t="shared" ref="E19" si="2">B$4+B19*C$4+C19*D$4+D19*E$4</f>
        <v>103.2005391473749</v>
      </c>
      <c r="G19" s="11"/>
      <c r="H19" s="11"/>
      <c r="I19" s="11"/>
      <c r="J19" s="11"/>
      <c r="K19" s="11"/>
    </row>
    <row r="20" spans="1:11" x14ac:dyDescent="0.25">
      <c r="A20" s="21" t="s">
        <v>29</v>
      </c>
      <c r="B20" s="21">
        <v>0</v>
      </c>
      <c r="C20" s="21">
        <v>1.31</v>
      </c>
      <c r="D20" s="21">
        <v>100</v>
      </c>
      <c r="E20" s="23">
        <f>EXP(B$3+B20*C$3+C20*D$3+D20*E$3)</f>
        <v>3.3873592854351216E-2</v>
      </c>
    </row>
  </sheetData>
  <mergeCells count="5">
    <mergeCell ref="B1:E1"/>
    <mergeCell ref="A10:E10"/>
    <mergeCell ref="B11:D11"/>
    <mergeCell ref="G10:K10"/>
    <mergeCell ref="H11:J1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C16" sqref="C16"/>
    </sheetView>
  </sheetViews>
  <sheetFormatPr defaultRowHeight="15" x14ac:dyDescent="0.25"/>
  <cols>
    <col min="1" max="1" width="23" style="6" bestFit="1" customWidth="1"/>
    <col min="2" max="5" width="9.140625" style="6"/>
    <col min="6" max="6" width="13.7109375" style="6" bestFit="1" customWidth="1"/>
    <col min="7" max="7" width="23" style="6" bestFit="1" customWidth="1"/>
    <col min="8" max="16384" width="9.140625" style="6"/>
  </cols>
  <sheetData>
    <row r="1" spans="1:12" x14ac:dyDescent="0.25">
      <c r="B1" s="64" t="s">
        <v>11</v>
      </c>
      <c r="C1" s="64"/>
      <c r="D1" s="64"/>
      <c r="E1" s="64"/>
      <c r="G1" s="8"/>
      <c r="H1" s="8"/>
      <c r="I1" s="8"/>
      <c r="J1" s="8"/>
      <c r="K1" s="8"/>
    </row>
    <row r="2" spans="1:12" x14ac:dyDescent="0.25">
      <c r="B2" s="1" t="s">
        <v>0</v>
      </c>
      <c r="C2" s="1" t="s">
        <v>38</v>
      </c>
      <c r="D2" s="1" t="s">
        <v>83</v>
      </c>
      <c r="E2" s="1" t="s">
        <v>39</v>
      </c>
      <c r="F2" s="8" t="s">
        <v>40</v>
      </c>
      <c r="G2" s="8"/>
      <c r="H2" s="8"/>
      <c r="I2" s="8"/>
      <c r="J2" s="8"/>
      <c r="K2" s="8"/>
    </row>
    <row r="3" spans="1:12" x14ac:dyDescent="0.25">
      <c r="A3" s="6" t="s">
        <v>15</v>
      </c>
      <c r="B3" s="6">
        <v>-2.048</v>
      </c>
      <c r="C3" s="6">
        <v>-1.0000000000000001E-5</v>
      </c>
      <c r="D3" s="6">
        <v>-0.2455</v>
      </c>
      <c r="E3" s="6">
        <v>0.24809999999999999</v>
      </c>
      <c r="F3" s="6">
        <v>0.31430000000000002</v>
      </c>
      <c r="G3" s="8"/>
      <c r="H3" s="8"/>
      <c r="I3" s="8"/>
      <c r="J3" s="8"/>
      <c r="K3" s="8"/>
    </row>
    <row r="4" spans="1:12" x14ac:dyDescent="0.25">
      <c r="A4" s="6" t="s">
        <v>22</v>
      </c>
      <c r="G4" s="8"/>
      <c r="H4" s="8"/>
      <c r="I4" s="8"/>
      <c r="J4" s="8"/>
      <c r="K4" s="8"/>
    </row>
    <row r="5" spans="1:12" x14ac:dyDescent="0.25">
      <c r="A5" s="6" t="s">
        <v>16</v>
      </c>
      <c r="G5" s="8"/>
      <c r="H5" s="8"/>
      <c r="I5" s="8"/>
      <c r="J5" s="8"/>
      <c r="K5" s="8"/>
    </row>
    <row r="6" spans="1:12" x14ac:dyDescent="0.25">
      <c r="A6" s="6" t="s">
        <v>17</v>
      </c>
      <c r="G6" s="8"/>
      <c r="H6" s="8"/>
      <c r="I6" s="8"/>
      <c r="J6" s="8"/>
      <c r="K6" s="8"/>
    </row>
    <row r="7" spans="1:12" x14ac:dyDescent="0.25">
      <c r="A7" s="6" t="s">
        <v>18</v>
      </c>
      <c r="C7" s="6">
        <f>LOG(C5+1)</f>
        <v>0</v>
      </c>
      <c r="G7" s="8"/>
      <c r="H7" s="8"/>
      <c r="I7" s="8"/>
      <c r="J7" s="8"/>
      <c r="K7" s="8"/>
    </row>
    <row r="8" spans="1:12" x14ac:dyDescent="0.25">
      <c r="A8" s="6" t="s">
        <v>19</v>
      </c>
      <c r="C8" s="6">
        <f>LOG(C6+1)</f>
        <v>0</v>
      </c>
      <c r="G8" s="8"/>
      <c r="H8" s="8"/>
      <c r="I8" s="8"/>
      <c r="J8" s="8"/>
      <c r="K8" s="8"/>
    </row>
    <row r="9" spans="1:12" s="2" customFormat="1" x14ac:dyDescent="0.25">
      <c r="G9" s="9"/>
      <c r="H9" s="9"/>
      <c r="I9" s="9"/>
      <c r="J9" s="9"/>
      <c r="K9" s="9"/>
    </row>
    <row r="10" spans="1:12" s="2" customFormat="1" x14ac:dyDescent="0.25">
      <c r="A10" s="65" t="s">
        <v>12</v>
      </c>
      <c r="B10" s="65"/>
      <c r="C10" s="65"/>
      <c r="D10" s="65"/>
      <c r="E10" s="65"/>
      <c r="G10" s="66"/>
      <c r="H10" s="66"/>
      <c r="I10" s="66"/>
      <c r="J10" s="66"/>
      <c r="K10" s="66"/>
    </row>
    <row r="11" spans="1:12" s="2" customFormat="1" x14ac:dyDescent="0.25">
      <c r="A11" s="59"/>
      <c r="B11" s="65" t="s">
        <v>13</v>
      </c>
      <c r="C11" s="65"/>
      <c r="D11" s="65"/>
      <c r="E11" s="59"/>
      <c r="F11" s="59" t="s">
        <v>14</v>
      </c>
      <c r="H11" s="60"/>
      <c r="I11" s="66"/>
      <c r="J11" s="66"/>
      <c r="K11" s="66"/>
      <c r="L11" s="60"/>
    </row>
    <row r="12" spans="1:12" x14ac:dyDescent="0.25">
      <c r="B12" s="1" t="str">
        <f>C2</f>
        <v>biomass</v>
      </c>
      <c r="C12" s="1" t="str">
        <f>D2</f>
        <v>logage</v>
      </c>
      <c r="D12" s="1" t="str">
        <f>E2</f>
        <v>logopen200</v>
      </c>
      <c r="E12" s="1" t="str">
        <f>F2</f>
        <v>logreg1000</v>
      </c>
      <c r="F12" s="1" t="s">
        <v>84</v>
      </c>
      <c r="H12" s="8"/>
      <c r="I12" s="8"/>
      <c r="J12" s="8"/>
      <c r="K12" s="8"/>
      <c r="L12" s="8"/>
    </row>
    <row r="13" spans="1:12" x14ac:dyDescent="0.25">
      <c r="A13" s="6" t="s">
        <v>25</v>
      </c>
      <c r="B13" s="6">
        <v>0</v>
      </c>
      <c r="C13" s="6">
        <v>0</v>
      </c>
      <c r="D13" s="6">
        <v>3.85</v>
      </c>
      <c r="E13" s="6">
        <v>0</v>
      </c>
      <c r="F13" s="61">
        <f>EXP(B$3+B13*C$3+C13*D$3+D13*E$3+E13*F$3)</f>
        <v>0.33527137515542077</v>
      </c>
      <c r="H13" s="11"/>
      <c r="I13" s="11"/>
      <c r="J13" s="11"/>
      <c r="K13" s="11"/>
      <c r="L13" s="11"/>
    </row>
    <row r="14" spans="1:12" x14ac:dyDescent="0.25">
      <c r="A14" s="21" t="s">
        <v>29</v>
      </c>
      <c r="B14" s="21">
        <v>0</v>
      </c>
      <c r="C14" s="21">
        <v>0</v>
      </c>
      <c r="D14" s="21">
        <v>3.68</v>
      </c>
      <c r="E14" s="21">
        <v>0</v>
      </c>
      <c r="F14" s="23">
        <f>EXP(B$3+B14*C$3+C14*D$3+D14*E$3)</f>
        <v>0.32142469272164759</v>
      </c>
    </row>
    <row r="15" spans="1:12" x14ac:dyDescent="0.25">
      <c r="A15" s="6" t="s">
        <v>46</v>
      </c>
      <c r="B15" s="6">
        <v>13757</v>
      </c>
      <c r="C15" s="6">
        <f>LN(171)</f>
        <v>5.1416635565026603</v>
      </c>
      <c r="D15" s="6">
        <v>0</v>
      </c>
      <c r="E15" s="6">
        <v>0</v>
      </c>
      <c r="F15" s="61">
        <f>EXP(B$3+B15*C$3+C15*D$3+D15*E$3+E15*F$3)</f>
        <v>3.1814013724071506E-2</v>
      </c>
    </row>
  </sheetData>
  <mergeCells count="5">
    <mergeCell ref="B1:E1"/>
    <mergeCell ref="A10:E10"/>
    <mergeCell ref="G10:K10"/>
    <mergeCell ref="B11:D11"/>
    <mergeCell ref="I11:K11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F13" sqref="F13"/>
    </sheetView>
  </sheetViews>
  <sheetFormatPr defaultRowHeight="15" x14ac:dyDescent="0.25"/>
  <cols>
    <col min="1" max="1" width="23" style="6" bestFit="1" customWidth="1"/>
    <col min="2" max="5" width="9.140625" style="6"/>
    <col min="6" max="6" width="12" style="6" bestFit="1" customWidth="1"/>
    <col min="7" max="7" width="23" style="6" bestFit="1" customWidth="1"/>
    <col min="8" max="16384" width="9.140625" style="6"/>
  </cols>
  <sheetData>
    <row r="1" spans="1:12" x14ac:dyDescent="0.25">
      <c r="B1" s="64" t="s">
        <v>11</v>
      </c>
      <c r="C1" s="64"/>
      <c r="D1" s="64"/>
      <c r="E1" s="64"/>
      <c r="G1" s="8"/>
      <c r="H1" s="8"/>
      <c r="I1" s="8"/>
      <c r="J1" s="8"/>
      <c r="K1" s="8"/>
    </row>
    <row r="2" spans="1:12" x14ac:dyDescent="0.25">
      <c r="B2" s="1" t="s">
        <v>0</v>
      </c>
      <c r="C2" s="1" t="s">
        <v>38</v>
      </c>
      <c r="D2" s="1" t="s">
        <v>42</v>
      </c>
      <c r="E2" s="1" t="s">
        <v>43</v>
      </c>
      <c r="F2" s="6" t="s">
        <v>44</v>
      </c>
      <c r="G2" s="8"/>
      <c r="H2" s="8"/>
      <c r="I2" s="8"/>
      <c r="J2" s="8"/>
      <c r="K2" s="8"/>
    </row>
    <row r="3" spans="1:12" x14ac:dyDescent="0.25">
      <c r="A3" s="6" t="s">
        <v>15</v>
      </c>
      <c r="B3" s="27">
        <v>0.962418</v>
      </c>
      <c r="C3" s="27">
        <v>6.8640000000000003E-3</v>
      </c>
      <c r="D3" s="27">
        <v>-0.30466199999999999</v>
      </c>
      <c r="E3" s="27">
        <v>-0.14974399999999999</v>
      </c>
      <c r="F3" s="27">
        <v>0.10487</v>
      </c>
      <c r="G3" s="8"/>
      <c r="H3" s="8"/>
      <c r="I3" s="8"/>
      <c r="J3" s="8"/>
      <c r="K3" s="8"/>
    </row>
    <row r="4" spans="1:12" x14ac:dyDescent="0.25">
      <c r="A4" s="6" t="s">
        <v>22</v>
      </c>
      <c r="G4" s="8"/>
      <c r="H4" s="8"/>
      <c r="I4" s="8"/>
      <c r="J4" s="8"/>
      <c r="K4" s="8"/>
    </row>
    <row r="5" spans="1:12" x14ac:dyDescent="0.25">
      <c r="A5" s="6" t="s">
        <v>16</v>
      </c>
      <c r="C5" s="6">
        <v>0.09</v>
      </c>
      <c r="D5" s="6">
        <v>0</v>
      </c>
      <c r="E5" s="6">
        <v>0</v>
      </c>
      <c r="F5" s="6">
        <v>0</v>
      </c>
      <c r="G5" s="8"/>
      <c r="H5" s="8"/>
      <c r="I5" s="8"/>
      <c r="J5" s="8"/>
      <c r="K5" s="8"/>
    </row>
    <row r="6" spans="1:12" x14ac:dyDescent="0.25">
      <c r="A6" s="6" t="s">
        <v>17</v>
      </c>
      <c r="C6" s="6">
        <v>30000</v>
      </c>
      <c r="D6" s="6">
        <v>100</v>
      </c>
      <c r="E6" s="6">
        <v>54.46</v>
      </c>
      <c r="F6" s="6">
        <v>91.69</v>
      </c>
      <c r="G6" s="8"/>
      <c r="H6" s="8"/>
      <c r="I6" s="8"/>
      <c r="J6" s="8"/>
      <c r="K6" s="8"/>
    </row>
    <row r="7" spans="1:12" x14ac:dyDescent="0.25">
      <c r="A7" s="6" t="s">
        <v>18</v>
      </c>
      <c r="D7" s="6">
        <f t="shared" ref="D7:F8" si="0">LOG(D5+1)</f>
        <v>0</v>
      </c>
      <c r="E7" s="6">
        <f t="shared" si="0"/>
        <v>0</v>
      </c>
      <c r="F7" s="6">
        <f t="shared" si="0"/>
        <v>0</v>
      </c>
      <c r="G7" s="8"/>
      <c r="H7" s="8"/>
      <c r="I7" s="8"/>
      <c r="J7" s="8"/>
      <c r="K7" s="8"/>
    </row>
    <row r="8" spans="1:12" x14ac:dyDescent="0.25">
      <c r="A8" s="6" t="s">
        <v>19</v>
      </c>
      <c r="D8" s="6">
        <f t="shared" si="0"/>
        <v>2.0043213737826426</v>
      </c>
      <c r="E8" s="6">
        <f t="shared" si="0"/>
        <v>1.7439798652418428</v>
      </c>
      <c r="F8" s="6">
        <f t="shared" si="0"/>
        <v>1.9670328821587024</v>
      </c>
      <c r="G8" s="8"/>
      <c r="H8" s="8"/>
      <c r="I8" s="8"/>
      <c r="J8" s="8"/>
      <c r="K8" s="8"/>
    </row>
    <row r="9" spans="1:12" s="2" customFormat="1" x14ac:dyDescent="0.25">
      <c r="G9" s="9"/>
      <c r="H9" s="9"/>
      <c r="I9" s="9"/>
      <c r="J9" s="9"/>
      <c r="K9" s="9"/>
    </row>
    <row r="10" spans="1:12" s="2" customFormat="1" x14ac:dyDescent="0.25">
      <c r="A10" s="65" t="s">
        <v>12</v>
      </c>
      <c r="B10" s="65"/>
      <c r="C10" s="65"/>
      <c r="D10" s="65"/>
      <c r="E10" s="65"/>
      <c r="G10" s="66"/>
      <c r="H10" s="66"/>
      <c r="I10" s="66"/>
      <c r="J10" s="66"/>
      <c r="K10" s="66"/>
    </row>
    <row r="11" spans="1:12" s="2" customFormat="1" x14ac:dyDescent="0.25">
      <c r="A11" s="25"/>
      <c r="B11" s="65" t="s">
        <v>13</v>
      </c>
      <c r="C11" s="65"/>
      <c r="D11" s="65"/>
      <c r="E11" s="25"/>
      <c r="F11" s="25" t="s">
        <v>14</v>
      </c>
      <c r="H11" s="26"/>
      <c r="I11" s="66"/>
      <c r="J11" s="66"/>
      <c r="K11" s="66"/>
      <c r="L11" s="26"/>
    </row>
    <row r="12" spans="1:12" x14ac:dyDescent="0.25">
      <c r="B12" s="1" t="str">
        <f>C2</f>
        <v>biomass</v>
      </c>
      <c r="C12" s="1" t="str">
        <f>D2</f>
        <v>loglc200</v>
      </c>
      <c r="D12" s="1" t="str">
        <f>E2</f>
        <v>loglf1000</v>
      </c>
      <c r="E12" s="1" t="str">
        <f>F2</f>
        <v>loglf500</v>
      </c>
      <c r="F12" s="1" t="s">
        <v>45</v>
      </c>
      <c r="H12" s="8"/>
      <c r="I12" s="8"/>
      <c r="J12" s="8"/>
      <c r="K12" s="8"/>
      <c r="L12" s="8"/>
    </row>
    <row r="13" spans="1:12" x14ac:dyDescent="0.25">
      <c r="A13" s="6" t="s">
        <v>25</v>
      </c>
      <c r="B13" s="6">
        <v>0</v>
      </c>
      <c r="C13" s="6">
        <v>1.31</v>
      </c>
      <c r="D13" s="6">
        <v>2</v>
      </c>
      <c r="E13" s="6">
        <v>0</v>
      </c>
      <c r="F13" s="6">
        <f t="shared" ref="F13" si="1">EXP(B$3+B13*C$3+C13*D$3+D13*E$3+E13*F$3)</f>
        <v>1.3018974535886614</v>
      </c>
      <c r="H13" s="11"/>
      <c r="I13" s="11"/>
      <c r="J13" s="11"/>
      <c r="K13" s="11"/>
      <c r="L13" s="11"/>
    </row>
    <row r="14" spans="1:12" x14ac:dyDescent="0.25">
      <c r="A14" s="28" t="s">
        <v>25</v>
      </c>
      <c r="B14" s="28">
        <v>10000</v>
      </c>
      <c r="C14" s="28">
        <v>2</v>
      </c>
      <c r="D14" s="28">
        <v>2</v>
      </c>
      <c r="E14" s="28">
        <v>2</v>
      </c>
      <c r="F14" s="28">
        <f t="shared" ref="F14:F19" si="2">EXP(B$3+B14*C$3+C14*D$3+D14*E$3+E14*F$3)</f>
        <v>8.4012315077822805E+29</v>
      </c>
    </row>
    <row r="15" spans="1:12" x14ac:dyDescent="0.25">
      <c r="A15" s="28" t="s">
        <v>25</v>
      </c>
      <c r="B15" s="28">
        <v>30000</v>
      </c>
      <c r="C15" s="28">
        <v>0</v>
      </c>
      <c r="D15" s="28">
        <v>0</v>
      </c>
      <c r="E15" s="28">
        <v>0</v>
      </c>
      <c r="F15" s="28">
        <f t="shared" si="2"/>
        <v>7.0451872457616263E+89</v>
      </c>
    </row>
    <row r="16" spans="1:12" x14ac:dyDescent="0.25">
      <c r="A16" s="28" t="s">
        <v>25</v>
      </c>
      <c r="B16" s="28">
        <v>0</v>
      </c>
      <c r="C16" s="28">
        <v>0</v>
      </c>
      <c r="D16" s="28">
        <v>0</v>
      </c>
      <c r="E16" s="28">
        <v>0</v>
      </c>
      <c r="F16" s="28">
        <f t="shared" si="2"/>
        <v>2.6180191965875594</v>
      </c>
    </row>
    <row r="17" spans="1:6" x14ac:dyDescent="0.25">
      <c r="A17" s="21" t="s">
        <v>29</v>
      </c>
      <c r="B17" s="21">
        <v>0</v>
      </c>
      <c r="C17" s="21">
        <v>2</v>
      </c>
      <c r="D17" s="21">
        <v>2</v>
      </c>
      <c r="E17" s="21">
        <v>2</v>
      </c>
      <c r="F17" s="6">
        <f t="shared" si="2"/>
        <v>1.3012768828703487</v>
      </c>
    </row>
    <row r="18" spans="1:6" x14ac:dyDescent="0.25">
      <c r="A18" s="21" t="s">
        <v>29</v>
      </c>
      <c r="B18" s="21">
        <v>100</v>
      </c>
      <c r="C18" s="21">
        <v>2</v>
      </c>
      <c r="D18" s="21">
        <v>2</v>
      </c>
      <c r="E18" s="21">
        <v>2</v>
      </c>
      <c r="F18" s="6">
        <f t="shared" si="2"/>
        <v>2.5850529724651405</v>
      </c>
    </row>
    <row r="19" spans="1:6" x14ac:dyDescent="0.25">
      <c r="A19" s="21" t="s">
        <v>29</v>
      </c>
      <c r="B19" s="21">
        <v>200</v>
      </c>
      <c r="C19" s="21">
        <v>2</v>
      </c>
      <c r="D19" s="21">
        <v>2</v>
      </c>
      <c r="E19" s="21">
        <v>2</v>
      </c>
      <c r="F19" s="6">
        <f t="shared" si="2"/>
        <v>5.1353397254784445</v>
      </c>
    </row>
    <row r="20" spans="1:6" x14ac:dyDescent="0.25">
      <c r="A20" s="21" t="s">
        <v>29</v>
      </c>
      <c r="B20" s="21">
        <v>300</v>
      </c>
      <c r="C20" s="21">
        <v>2</v>
      </c>
      <c r="D20" s="21">
        <v>2</v>
      </c>
      <c r="E20" s="21">
        <v>2</v>
      </c>
      <c r="F20" s="6">
        <f t="shared" ref="F20:F21" si="3">EXP(B$3+B20*C$3+C20*D$3+D20*E$3+E20*F$3)</f>
        <v>10.201614580814022</v>
      </c>
    </row>
    <row r="21" spans="1:6" x14ac:dyDescent="0.25">
      <c r="A21" s="21" t="s">
        <v>29</v>
      </c>
      <c r="B21" s="21">
        <v>400</v>
      </c>
      <c r="C21" s="21">
        <v>2</v>
      </c>
      <c r="D21" s="21">
        <v>2</v>
      </c>
      <c r="E21" s="21">
        <v>2</v>
      </c>
      <c r="F21" s="6">
        <f t="shared" si="3"/>
        <v>20.266028270560252</v>
      </c>
    </row>
    <row r="22" spans="1:6" x14ac:dyDescent="0.25">
      <c r="A22" s="21" t="s">
        <v>29</v>
      </c>
      <c r="B22" s="21">
        <v>500</v>
      </c>
      <c r="C22" s="21">
        <v>2</v>
      </c>
      <c r="D22" s="21">
        <v>2</v>
      </c>
      <c r="E22" s="21">
        <v>2</v>
      </c>
      <c r="F22" s="6">
        <f t="shared" ref="F22" si="4">EXP(B$3+B22*C$3+C22*D$3+D22*E$3+E22*F$3)</f>
        <v>40.259499965384421</v>
      </c>
    </row>
    <row r="23" spans="1:6" x14ac:dyDescent="0.25">
      <c r="A23" s="21" t="s">
        <v>46</v>
      </c>
      <c r="B23" s="21">
        <v>0</v>
      </c>
      <c r="C23" s="21">
        <v>0</v>
      </c>
      <c r="D23" s="21">
        <v>0</v>
      </c>
      <c r="E23" s="21">
        <v>0</v>
      </c>
      <c r="F23" s="6">
        <f>EXP(B$3+B23*C$3+C23*D$3+D23*E$3+E23*F$3)</f>
        <v>2.6180191965875594</v>
      </c>
    </row>
    <row r="24" spans="1:6" x14ac:dyDescent="0.25">
      <c r="A24" s="21" t="s">
        <v>46</v>
      </c>
      <c r="B24" s="21">
        <v>100</v>
      </c>
      <c r="C24" s="21">
        <v>0</v>
      </c>
      <c r="D24" s="21">
        <v>0</v>
      </c>
      <c r="E24" s="21">
        <v>0</v>
      </c>
      <c r="F24" s="6">
        <f>EXP(B$3+B24*C$3+C24*D$3+D24*E$3+E24*F$3)</f>
        <v>5.2008288129896521</v>
      </c>
    </row>
    <row r="25" spans="1:6" x14ac:dyDescent="0.25">
      <c r="A25" s="21" t="s">
        <v>46</v>
      </c>
      <c r="B25" s="21">
        <v>200</v>
      </c>
      <c r="C25" s="21">
        <v>0</v>
      </c>
      <c r="D25" s="21">
        <v>0</v>
      </c>
      <c r="E25" s="21">
        <v>0</v>
      </c>
      <c r="F25" s="6">
        <f>EXP(B$3+B25*C$3+C25*D$3+D25*E$3+E25*F$3)</f>
        <v>10.331711997100602</v>
      </c>
    </row>
    <row r="26" spans="1:6" x14ac:dyDescent="0.25">
      <c r="A26" s="21" t="s">
        <v>46</v>
      </c>
      <c r="B26" s="21">
        <v>300</v>
      </c>
      <c r="C26" s="21">
        <v>0</v>
      </c>
      <c r="D26" s="21">
        <v>0</v>
      </c>
      <c r="E26" s="21">
        <v>0</v>
      </c>
      <c r="F26" s="6">
        <f t="shared" ref="F26:F27" si="5">EXP(B$3+B26*C$3+C26*D$3+D26*E$3+E26*F$3)</f>
        <v>20.52447343093214</v>
      </c>
    </row>
    <row r="27" spans="1:6" x14ac:dyDescent="0.25">
      <c r="A27" s="21" t="s">
        <v>46</v>
      </c>
      <c r="B27" s="21">
        <v>400</v>
      </c>
      <c r="C27" s="21">
        <v>0</v>
      </c>
      <c r="D27" s="21">
        <v>0</v>
      </c>
      <c r="E27" s="21">
        <v>0</v>
      </c>
      <c r="F27" s="6">
        <f t="shared" si="5"/>
        <v>40.772914472960167</v>
      </c>
    </row>
    <row r="28" spans="1:6" x14ac:dyDescent="0.25">
      <c r="A28" s="21" t="s">
        <v>46</v>
      </c>
      <c r="B28" s="21">
        <v>500</v>
      </c>
      <c r="C28" s="21">
        <v>0</v>
      </c>
      <c r="D28" s="21">
        <v>0</v>
      </c>
      <c r="E28" s="21">
        <v>0</v>
      </c>
      <c r="F28" s="6">
        <f t="shared" ref="F28" si="6">EXP(B$3+B28*C$3+C28*D$3+D28*E$3+E28*F$3)</f>
        <v>80.997476510841892</v>
      </c>
    </row>
  </sheetData>
  <mergeCells count="5">
    <mergeCell ref="B1:E1"/>
    <mergeCell ref="A10:E10"/>
    <mergeCell ref="G10:K10"/>
    <mergeCell ref="B11:D11"/>
    <mergeCell ref="I11:K11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J30" sqref="J30"/>
    </sheetView>
  </sheetViews>
  <sheetFormatPr defaultRowHeight="15" x14ac:dyDescent="0.25"/>
  <cols>
    <col min="1" max="1" width="23" style="6" bestFit="1" customWidth="1"/>
    <col min="2" max="5" width="9.140625" style="6"/>
    <col min="6" max="6" width="12" style="6" bestFit="1" customWidth="1"/>
    <col min="7" max="7" width="23" style="6" bestFit="1" customWidth="1"/>
    <col min="8" max="16384" width="9.140625" style="6"/>
  </cols>
  <sheetData>
    <row r="1" spans="1:12" x14ac:dyDescent="0.25">
      <c r="B1" s="64" t="s">
        <v>11</v>
      </c>
      <c r="C1" s="64"/>
      <c r="D1" s="64"/>
      <c r="E1" s="64"/>
      <c r="G1" s="8"/>
      <c r="H1" s="8"/>
      <c r="I1" s="8"/>
      <c r="J1" s="8"/>
      <c r="K1" s="8"/>
    </row>
    <row r="2" spans="1:12" x14ac:dyDescent="0.25">
      <c r="B2" s="1" t="s">
        <v>0</v>
      </c>
      <c r="C2" s="1" t="s">
        <v>44</v>
      </c>
      <c r="D2" s="1" t="s">
        <v>41</v>
      </c>
      <c r="E2" s="1"/>
      <c r="G2" s="8"/>
      <c r="H2" s="8"/>
      <c r="I2" s="8"/>
      <c r="J2" s="8"/>
      <c r="K2" s="8"/>
    </row>
    <row r="3" spans="1:12" x14ac:dyDescent="0.25">
      <c r="A3" s="6" t="s">
        <v>15</v>
      </c>
      <c r="B3" s="27">
        <v>-1.81633</v>
      </c>
      <c r="C3" s="27">
        <v>-0.41899999999999998</v>
      </c>
      <c r="D3" s="27">
        <v>7.2929999999999995E-2</v>
      </c>
      <c r="E3" s="27"/>
      <c r="F3" s="27"/>
      <c r="G3" s="8"/>
      <c r="H3" s="8"/>
      <c r="I3" s="8"/>
      <c r="J3" s="8"/>
      <c r="K3" s="8"/>
    </row>
    <row r="4" spans="1:12" x14ac:dyDescent="0.25">
      <c r="A4" s="6" t="s">
        <v>22</v>
      </c>
      <c r="G4" s="8"/>
      <c r="H4" s="8"/>
      <c r="I4" s="8"/>
      <c r="J4" s="8"/>
      <c r="K4" s="8"/>
    </row>
    <row r="5" spans="1:12" x14ac:dyDescent="0.25">
      <c r="A5" s="6" t="s">
        <v>16</v>
      </c>
      <c r="C5" s="6">
        <v>0.09</v>
      </c>
      <c r="D5" s="6">
        <v>0</v>
      </c>
      <c r="E5" s="6">
        <v>0</v>
      </c>
      <c r="F5" s="6">
        <v>0</v>
      </c>
      <c r="G5" s="8"/>
      <c r="H5" s="8"/>
      <c r="I5" s="8"/>
      <c r="J5" s="8"/>
      <c r="K5" s="8"/>
    </row>
    <row r="6" spans="1:12" x14ac:dyDescent="0.25">
      <c r="A6" s="6" t="s">
        <v>17</v>
      </c>
      <c r="C6" s="6">
        <v>30000</v>
      </c>
      <c r="D6" s="6">
        <v>100</v>
      </c>
      <c r="E6" s="6">
        <v>54.46</v>
      </c>
      <c r="F6" s="6">
        <v>91.69</v>
      </c>
      <c r="G6" s="8"/>
      <c r="H6" s="8"/>
      <c r="I6" s="8"/>
      <c r="J6" s="8"/>
      <c r="K6" s="8"/>
    </row>
    <row r="7" spans="1:12" x14ac:dyDescent="0.25">
      <c r="A7" s="6" t="s">
        <v>18</v>
      </c>
      <c r="D7" s="6">
        <f t="shared" ref="D7:F8" si="0">LOG(D5+1)</f>
        <v>0</v>
      </c>
      <c r="E7" s="6">
        <f t="shared" si="0"/>
        <v>0</v>
      </c>
      <c r="F7" s="6">
        <f t="shared" si="0"/>
        <v>0</v>
      </c>
      <c r="G7" s="8"/>
      <c r="H7" s="8"/>
      <c r="I7" s="8"/>
      <c r="J7" s="8"/>
      <c r="K7" s="8"/>
    </row>
    <row r="8" spans="1:12" x14ac:dyDescent="0.25">
      <c r="A8" s="6" t="s">
        <v>19</v>
      </c>
      <c r="D8" s="6">
        <f t="shared" si="0"/>
        <v>2.0043213737826426</v>
      </c>
      <c r="E8" s="6">
        <f t="shared" si="0"/>
        <v>1.7439798652418428</v>
      </c>
      <c r="F8" s="6">
        <f t="shared" si="0"/>
        <v>1.9670328821587024</v>
      </c>
      <c r="G8" s="8"/>
      <c r="H8" s="8"/>
      <c r="I8" s="8"/>
      <c r="J8" s="8"/>
      <c r="K8" s="8"/>
    </row>
    <row r="9" spans="1:12" s="2" customFormat="1" x14ac:dyDescent="0.25">
      <c r="G9" s="9"/>
      <c r="H9" s="9"/>
      <c r="I9" s="9"/>
      <c r="J9" s="9"/>
      <c r="K9" s="9"/>
    </row>
    <row r="10" spans="1:12" s="2" customFormat="1" x14ac:dyDescent="0.25">
      <c r="A10" s="65" t="s">
        <v>12</v>
      </c>
      <c r="B10" s="65"/>
      <c r="C10" s="65"/>
      <c r="D10" s="65"/>
      <c r="E10" s="65"/>
      <c r="G10" s="66"/>
      <c r="H10" s="66"/>
      <c r="I10" s="66"/>
      <c r="J10" s="66"/>
      <c r="K10" s="66"/>
    </row>
    <row r="11" spans="1:12" s="2" customFormat="1" x14ac:dyDescent="0.25">
      <c r="A11" s="62"/>
      <c r="B11" s="65" t="s">
        <v>13</v>
      </c>
      <c r="C11" s="65"/>
      <c r="D11" s="65"/>
      <c r="E11" s="62"/>
      <c r="F11" s="62" t="s">
        <v>14</v>
      </c>
      <c r="H11" s="63"/>
      <c r="I11" s="66"/>
      <c r="J11" s="66"/>
      <c r="K11" s="66"/>
      <c r="L11" s="63"/>
    </row>
    <row r="12" spans="1:12" x14ac:dyDescent="0.25">
      <c r="B12" s="1" t="str">
        <f>C2</f>
        <v>loglf500</v>
      </c>
      <c r="C12" s="1" t="str">
        <f>D2</f>
        <v>temp</v>
      </c>
      <c r="D12" s="1">
        <f>E2</f>
        <v>0</v>
      </c>
      <c r="E12" s="1">
        <f>F2</f>
        <v>0</v>
      </c>
      <c r="F12" s="1" t="s">
        <v>87</v>
      </c>
      <c r="H12" s="8"/>
      <c r="I12" s="8"/>
      <c r="J12" s="8"/>
      <c r="K12" s="8"/>
      <c r="L12" s="8"/>
    </row>
    <row r="13" spans="1:12" x14ac:dyDescent="0.25">
      <c r="A13" s="6" t="s">
        <v>25</v>
      </c>
      <c r="B13" s="6">
        <v>0</v>
      </c>
      <c r="C13" s="6">
        <v>16.27</v>
      </c>
      <c r="D13" s="6">
        <v>0</v>
      </c>
      <c r="E13" s="6">
        <v>0</v>
      </c>
      <c r="F13" s="6">
        <f>EXP(B$3+B13*C$3+C13*D$3+D13*E$3+E13*F$3)</f>
        <v>0.53272022437093436</v>
      </c>
      <c r="H13" s="11"/>
      <c r="I13" s="11"/>
      <c r="J13" s="11"/>
      <c r="K13" s="11"/>
      <c r="L13" s="11"/>
    </row>
    <row r="14" spans="1:12" x14ac:dyDescent="0.25">
      <c r="A14" s="21" t="s">
        <v>29</v>
      </c>
      <c r="B14" s="21">
        <v>0</v>
      </c>
      <c r="C14" s="21">
        <v>5</v>
      </c>
      <c r="D14" s="21">
        <v>0</v>
      </c>
      <c r="E14" s="21">
        <v>0</v>
      </c>
      <c r="F14" s="6">
        <f t="shared" ref="F14:F19" si="1">EXP(B$3+B14*C$3+C14*D$3+D14*E$3+E14*F$3)</f>
        <v>0.23417654085009412</v>
      </c>
    </row>
    <row r="15" spans="1:12" x14ac:dyDescent="0.25">
      <c r="A15" s="21" t="s">
        <v>29</v>
      </c>
      <c r="B15" s="21">
        <v>0</v>
      </c>
      <c r="C15" s="21">
        <v>10</v>
      </c>
      <c r="D15" s="21">
        <v>0</v>
      </c>
      <c r="E15" s="21">
        <v>0</v>
      </c>
      <c r="F15" s="6">
        <f t="shared" si="1"/>
        <v>0.33721654102820509</v>
      </c>
    </row>
    <row r="16" spans="1:12" x14ac:dyDescent="0.25">
      <c r="A16" s="21" t="s">
        <v>29</v>
      </c>
      <c r="B16" s="21">
        <v>0</v>
      </c>
      <c r="C16" s="21">
        <v>15</v>
      </c>
      <c r="D16" s="21">
        <v>0</v>
      </c>
      <c r="E16" s="21">
        <v>0</v>
      </c>
      <c r="F16" s="6">
        <f t="shared" si="1"/>
        <v>0.48559516307750339</v>
      </c>
    </row>
    <row r="17" spans="1:6" x14ac:dyDescent="0.25">
      <c r="A17" s="21" t="s">
        <v>29</v>
      </c>
      <c r="B17" s="21">
        <v>0</v>
      </c>
      <c r="C17" s="21">
        <v>20</v>
      </c>
      <c r="D17" s="21">
        <v>0</v>
      </c>
      <c r="E17" s="21">
        <v>0</v>
      </c>
      <c r="F17" s="6">
        <f t="shared" si="1"/>
        <v>0.69926185022028442</v>
      </c>
    </row>
    <row r="18" spans="1:6" x14ac:dyDescent="0.25">
      <c r="A18" s="21" t="s">
        <v>29</v>
      </c>
      <c r="B18" s="21">
        <v>0</v>
      </c>
      <c r="C18" s="21">
        <v>25</v>
      </c>
      <c r="D18" s="21">
        <v>0</v>
      </c>
      <c r="E18" s="21">
        <v>0</v>
      </c>
      <c r="F18" s="6">
        <f t="shared" si="1"/>
        <v>1.0069439985246598</v>
      </c>
    </row>
    <row r="19" spans="1:6" x14ac:dyDescent="0.25">
      <c r="A19" s="21" t="s">
        <v>29</v>
      </c>
      <c r="B19" s="21">
        <v>0</v>
      </c>
      <c r="C19" s="21">
        <v>30</v>
      </c>
      <c r="D19" s="21">
        <v>0</v>
      </c>
      <c r="E19" s="21">
        <v>0</v>
      </c>
      <c r="F19" s="6">
        <f t="shared" si="1"/>
        <v>1.4500093432030012</v>
      </c>
    </row>
    <row r="20" spans="1:6" x14ac:dyDescent="0.25">
      <c r="A20" s="21" t="s">
        <v>46</v>
      </c>
      <c r="B20" s="21">
        <v>2</v>
      </c>
      <c r="C20" s="21">
        <v>5</v>
      </c>
      <c r="D20" s="21">
        <v>0</v>
      </c>
      <c r="E20" s="21">
        <v>0</v>
      </c>
      <c r="F20" s="6">
        <f>EXP(B$3+B20*C$3+C20*D$3+D20*E$3+E20*F$3)</f>
        <v>0.10129887230707262</v>
      </c>
    </row>
    <row r="21" spans="1:6" x14ac:dyDescent="0.25">
      <c r="A21" s="21" t="s">
        <v>46</v>
      </c>
      <c r="B21" s="21">
        <v>2</v>
      </c>
      <c r="C21" s="21">
        <v>10</v>
      </c>
      <c r="D21" s="21">
        <v>0</v>
      </c>
      <c r="E21" s="21">
        <v>0</v>
      </c>
      <c r="F21" s="6">
        <f>EXP(B$3+B21*C$3+C21*D$3+D21*E$3+E21*F$3)</f>
        <v>0.14587138064916513</v>
      </c>
    </row>
    <row r="22" spans="1:6" x14ac:dyDescent="0.25">
      <c r="A22" s="21" t="s">
        <v>46</v>
      </c>
      <c r="B22" s="21">
        <v>2</v>
      </c>
      <c r="C22" s="21">
        <v>15</v>
      </c>
      <c r="D22" s="21">
        <v>0</v>
      </c>
      <c r="E22" s="21">
        <v>0</v>
      </c>
      <c r="F22" s="6">
        <f>EXP(B$3+B22*C$3+C22*D$3+D22*E$3+E22*F$3)</f>
        <v>0.21005623466361123</v>
      </c>
    </row>
    <row r="23" spans="1:6" x14ac:dyDescent="0.25">
      <c r="A23" s="21" t="s">
        <v>46</v>
      </c>
      <c r="B23" s="21">
        <v>2</v>
      </c>
      <c r="C23" s="21">
        <v>20</v>
      </c>
      <c r="D23" s="21">
        <v>0</v>
      </c>
      <c r="E23" s="21">
        <v>0</v>
      </c>
      <c r="F23" s="6">
        <f t="shared" ref="F23:F25" si="2">EXP(B$3+B23*C$3+C23*D$3+D23*E$3+E23*F$3)</f>
        <v>0.30248306093143595</v>
      </c>
    </row>
    <row r="24" spans="1:6" x14ac:dyDescent="0.25">
      <c r="A24" s="21" t="s">
        <v>46</v>
      </c>
      <c r="B24" s="21">
        <v>2</v>
      </c>
      <c r="C24" s="21">
        <v>25</v>
      </c>
      <c r="D24" s="21">
        <v>0</v>
      </c>
      <c r="E24" s="21">
        <v>0</v>
      </c>
      <c r="F24" s="6">
        <f t="shared" si="2"/>
        <v>0.43557860730472742</v>
      </c>
    </row>
    <row r="25" spans="1:6" x14ac:dyDescent="0.25">
      <c r="A25" s="21" t="s">
        <v>46</v>
      </c>
      <c r="B25" s="21">
        <v>2</v>
      </c>
      <c r="C25" s="21">
        <v>30</v>
      </c>
      <c r="D25" s="21">
        <v>0</v>
      </c>
      <c r="E25" s="21">
        <v>0</v>
      </c>
      <c r="F25" s="6">
        <f t="shared" si="2"/>
        <v>0.62723751391993454</v>
      </c>
    </row>
  </sheetData>
  <mergeCells count="5">
    <mergeCell ref="B1:E1"/>
    <mergeCell ref="A10:E10"/>
    <mergeCell ref="G10:K10"/>
    <mergeCell ref="B11:D11"/>
    <mergeCell ref="I11:K11"/>
  </mergeCells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15" sqref="A15:C15"/>
    </sheetView>
  </sheetViews>
  <sheetFormatPr defaultRowHeight="15" x14ac:dyDescent="0.25"/>
  <cols>
    <col min="1" max="1" width="23" style="6" bestFit="1" customWidth="1"/>
    <col min="2" max="4" width="9.140625" style="6"/>
    <col min="5" max="5" width="23" style="6" bestFit="1" customWidth="1"/>
    <col min="6" max="16384" width="9.140625" style="6"/>
  </cols>
  <sheetData>
    <row r="1" spans="1:10" x14ac:dyDescent="0.25">
      <c r="B1" s="64" t="s">
        <v>11</v>
      </c>
      <c r="C1" s="64"/>
      <c r="E1" s="8"/>
      <c r="F1" s="8"/>
      <c r="G1" s="8"/>
      <c r="H1" s="8"/>
      <c r="I1" s="8"/>
      <c r="J1" s="11"/>
    </row>
    <row r="2" spans="1:10" x14ac:dyDescent="0.25">
      <c r="B2" s="1" t="s">
        <v>0</v>
      </c>
      <c r="C2" s="1" t="s">
        <v>20</v>
      </c>
      <c r="E2" s="8"/>
      <c r="F2" s="8"/>
      <c r="G2" s="8"/>
      <c r="H2" s="8"/>
      <c r="I2" s="8"/>
      <c r="J2" s="11"/>
    </row>
    <row r="3" spans="1:10" x14ac:dyDescent="0.25">
      <c r="A3" s="6" t="s">
        <v>15</v>
      </c>
      <c r="B3" s="11">
        <v>-5.2861500000000001</v>
      </c>
      <c r="C3" s="11">
        <v>0.97475000000000001</v>
      </c>
      <c r="E3" s="8"/>
      <c r="F3" s="8"/>
      <c r="G3" s="8"/>
      <c r="H3" s="8"/>
      <c r="I3" s="8"/>
      <c r="J3" s="11"/>
    </row>
    <row r="4" spans="1:10" x14ac:dyDescent="0.25">
      <c r="A4" s="6" t="s">
        <v>22</v>
      </c>
      <c r="B4" s="6">
        <f>EXP(B3)</f>
        <v>5.0612084504354105E-3</v>
      </c>
      <c r="C4" s="6">
        <f>EXP(C3)</f>
        <v>2.6505045020219327</v>
      </c>
      <c r="E4" s="8"/>
      <c r="F4" s="8"/>
      <c r="G4" s="8"/>
      <c r="H4" s="8"/>
      <c r="I4" s="8"/>
      <c r="J4" s="11"/>
    </row>
    <row r="5" spans="1:10" x14ac:dyDescent="0.25">
      <c r="A5" s="6" t="s">
        <v>16</v>
      </c>
      <c r="C5" s="6">
        <v>0</v>
      </c>
      <c r="E5" s="8"/>
      <c r="F5" s="8"/>
      <c r="G5" s="8"/>
      <c r="H5" s="8"/>
      <c r="I5" s="8"/>
      <c r="J5" s="11"/>
    </row>
    <row r="6" spans="1:10" x14ac:dyDescent="0.25">
      <c r="A6" s="6" t="s">
        <v>17</v>
      </c>
      <c r="C6" s="6">
        <v>100</v>
      </c>
      <c r="E6" s="8"/>
      <c r="F6" s="8"/>
      <c r="G6" s="8"/>
      <c r="H6" s="8"/>
      <c r="I6" s="8"/>
      <c r="J6" s="11"/>
    </row>
    <row r="7" spans="1:10" x14ac:dyDescent="0.25">
      <c r="A7" s="6" t="s">
        <v>18</v>
      </c>
      <c r="C7" s="6">
        <f>LOG(C5+1)</f>
        <v>0</v>
      </c>
      <c r="E7" s="8"/>
      <c r="F7" s="8"/>
      <c r="G7" s="8"/>
      <c r="H7" s="8"/>
      <c r="I7" s="8"/>
      <c r="J7" s="11"/>
    </row>
    <row r="8" spans="1:10" x14ac:dyDescent="0.25">
      <c r="A8" s="6" t="s">
        <v>19</v>
      </c>
      <c r="C8" s="6">
        <f>LOG(C6+1)</f>
        <v>2.0043213737826426</v>
      </c>
      <c r="E8" s="8"/>
      <c r="F8" s="8"/>
      <c r="G8" s="8"/>
      <c r="H8" s="8"/>
      <c r="I8" s="8"/>
      <c r="J8" s="11"/>
    </row>
    <row r="9" spans="1:10" s="2" customFormat="1" x14ac:dyDescent="0.25">
      <c r="E9" s="9"/>
      <c r="F9" s="9"/>
      <c r="G9" s="9"/>
      <c r="H9" s="9"/>
      <c r="I9" s="9"/>
      <c r="J9" s="12"/>
    </row>
    <row r="10" spans="1:10" s="2" customFormat="1" x14ac:dyDescent="0.25">
      <c r="A10" s="65" t="s">
        <v>12</v>
      </c>
      <c r="B10" s="65"/>
      <c r="C10" s="65"/>
      <c r="E10" s="66"/>
      <c r="F10" s="66"/>
      <c r="G10" s="66"/>
      <c r="H10" s="66"/>
      <c r="I10" s="66"/>
      <c r="J10" s="12"/>
    </row>
    <row r="11" spans="1:10" s="2" customFormat="1" x14ac:dyDescent="0.25">
      <c r="A11" s="7"/>
      <c r="B11" s="13" t="s">
        <v>13</v>
      </c>
      <c r="C11" s="7" t="s">
        <v>14</v>
      </c>
      <c r="D11" s="66"/>
      <c r="E11" s="66"/>
      <c r="F11" s="66"/>
      <c r="G11" s="10"/>
      <c r="H11" s="12"/>
    </row>
    <row r="12" spans="1:10" x14ac:dyDescent="0.25">
      <c r="B12" s="1" t="str">
        <f>C2</f>
        <v>LogLC200</v>
      </c>
      <c r="C12" s="1" t="s">
        <v>21</v>
      </c>
      <c r="D12" s="8"/>
      <c r="E12" s="8"/>
      <c r="F12" s="8"/>
      <c r="G12" s="8"/>
      <c r="H12" s="11"/>
    </row>
    <row r="13" spans="1:10" x14ac:dyDescent="0.25">
      <c r="A13" s="6" t="s">
        <v>23</v>
      </c>
      <c r="B13" s="6">
        <f>C7</f>
        <v>0</v>
      </c>
      <c r="C13" s="6">
        <f>EXP(B$3+B13*C$3)</f>
        <v>5.0612084504354105E-3</v>
      </c>
      <c r="D13" s="8"/>
      <c r="E13" s="8"/>
      <c r="F13" s="8"/>
      <c r="G13" s="8"/>
      <c r="H13" s="11"/>
    </row>
    <row r="14" spans="1:10" x14ac:dyDescent="0.25">
      <c r="A14" s="6" t="s">
        <v>24</v>
      </c>
      <c r="B14" s="6">
        <f>C8</f>
        <v>2.0043213737826426</v>
      </c>
      <c r="C14" s="6">
        <f>EXP(B$3+B14*C$3)</f>
        <v>3.5705957016643114E-2</v>
      </c>
      <c r="D14" s="8"/>
      <c r="E14" s="8"/>
      <c r="F14" s="8"/>
      <c r="G14" s="8"/>
      <c r="H14" s="11"/>
    </row>
    <row r="15" spans="1:10" x14ac:dyDescent="0.25">
      <c r="A15" s="21" t="s">
        <v>25</v>
      </c>
      <c r="B15" s="21">
        <v>0</v>
      </c>
      <c r="C15" s="23">
        <f>EXP(B$3+B15*C$3)</f>
        <v>5.0612084504354105E-3</v>
      </c>
      <c r="E15" s="11"/>
      <c r="F15" s="11"/>
      <c r="G15" s="11"/>
      <c r="H15" s="11"/>
      <c r="I15" s="11"/>
      <c r="J15" s="11"/>
    </row>
  </sheetData>
  <mergeCells count="4">
    <mergeCell ref="A10:C10"/>
    <mergeCell ref="E10:I10"/>
    <mergeCell ref="D11:F11"/>
    <mergeCell ref="B1:C1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G20" sqref="G20"/>
    </sheetView>
  </sheetViews>
  <sheetFormatPr defaultRowHeight="15" x14ac:dyDescent="0.25"/>
  <cols>
    <col min="1" max="1" width="23" style="6" bestFit="1" customWidth="1"/>
    <col min="2" max="2" width="9.140625" style="6"/>
    <col min="3" max="4" width="14.7109375" style="6" customWidth="1"/>
    <col min="5" max="6" width="9.140625" style="6"/>
    <col min="7" max="7" width="23" style="6" bestFit="1" customWidth="1"/>
    <col min="8" max="16384" width="9.140625" style="6"/>
  </cols>
  <sheetData>
    <row r="1" spans="1:12" x14ac:dyDescent="0.25">
      <c r="B1" s="64" t="s">
        <v>11</v>
      </c>
      <c r="C1" s="64"/>
      <c r="D1" s="64"/>
      <c r="E1" s="64"/>
      <c r="F1" s="64"/>
      <c r="G1" s="8"/>
      <c r="H1" s="8"/>
      <c r="I1" s="8"/>
      <c r="J1" s="8"/>
      <c r="K1" s="8"/>
    </row>
    <row r="2" spans="1:12" x14ac:dyDescent="0.25">
      <c r="B2" s="17" t="s">
        <v>0</v>
      </c>
      <c r="C2" s="17" t="s">
        <v>1</v>
      </c>
      <c r="D2" s="17" t="s">
        <v>26</v>
      </c>
      <c r="E2" s="17" t="s">
        <v>3</v>
      </c>
      <c r="F2" s="18" t="s">
        <v>28</v>
      </c>
      <c r="G2" s="8"/>
      <c r="H2" s="8"/>
      <c r="I2" s="8"/>
      <c r="J2" s="8"/>
      <c r="K2" s="8"/>
    </row>
    <row r="3" spans="1:12" x14ac:dyDescent="0.25">
      <c r="A3" s="6" t="s">
        <v>15</v>
      </c>
      <c r="B3" s="16">
        <v>-1.579</v>
      </c>
      <c r="C3" s="16">
        <v>-0.252</v>
      </c>
      <c r="D3" s="16">
        <v>0.2732</v>
      </c>
      <c r="E3" s="22">
        <f t="shared" ref="E3" si="0">LN(E4)</f>
        <v>2.0430000000000101E-2</v>
      </c>
      <c r="F3" s="24">
        <v>5.8819999999999998E-6</v>
      </c>
      <c r="G3" s="8"/>
      <c r="H3" s="8"/>
      <c r="I3" s="8"/>
      <c r="J3" s="8"/>
      <c r="K3" s="8"/>
    </row>
    <row r="4" spans="1:12" x14ac:dyDescent="0.25">
      <c r="A4" s="6" t="s">
        <v>22</v>
      </c>
      <c r="B4" s="16">
        <v>0.20618117632497523</v>
      </c>
      <c r="C4" s="16">
        <v>0.77724473806894612</v>
      </c>
      <c r="D4" s="16">
        <v>1.314163051153461</v>
      </c>
      <c r="E4" s="16">
        <v>1.0206401209341016</v>
      </c>
      <c r="F4" s="16">
        <v>1.000005882017299</v>
      </c>
      <c r="G4" s="8"/>
      <c r="H4" s="8"/>
      <c r="I4" s="8"/>
      <c r="J4" s="8"/>
      <c r="K4" s="8"/>
    </row>
    <row r="5" spans="1:12" x14ac:dyDescent="0.25">
      <c r="A5" s="6" t="s">
        <v>16</v>
      </c>
      <c r="C5" s="6">
        <v>0</v>
      </c>
      <c r="D5" s="6">
        <v>34.362499999999997</v>
      </c>
      <c r="E5" s="6">
        <v>0.31</v>
      </c>
      <c r="F5" s="6">
        <v>0.09</v>
      </c>
      <c r="G5" s="8"/>
      <c r="H5" s="8"/>
      <c r="I5" s="8"/>
      <c r="J5" s="8"/>
      <c r="K5" s="8"/>
    </row>
    <row r="6" spans="1:12" x14ac:dyDescent="0.25">
      <c r="A6" s="6" t="s">
        <v>17</v>
      </c>
      <c r="C6" s="6">
        <v>98.72</v>
      </c>
      <c r="D6" s="6">
        <v>129.71199999999999</v>
      </c>
      <c r="E6" s="6">
        <v>99.28</v>
      </c>
      <c r="F6" s="6">
        <v>30000</v>
      </c>
      <c r="G6" s="8"/>
      <c r="H6" s="8"/>
      <c r="I6" s="8"/>
      <c r="J6" s="8"/>
      <c r="K6" s="8"/>
    </row>
    <row r="7" spans="1:12" x14ac:dyDescent="0.25">
      <c r="A7" s="6" t="s">
        <v>18</v>
      </c>
      <c r="C7" s="6">
        <f>LOG(C5+1)</f>
        <v>0</v>
      </c>
      <c r="D7" s="6">
        <f>LOG(D5+1)</f>
        <v>1.5485429604650471</v>
      </c>
      <c r="G7" s="8"/>
      <c r="H7" s="8"/>
      <c r="I7" s="8"/>
      <c r="J7" s="8"/>
      <c r="K7" s="8"/>
    </row>
    <row r="8" spans="1:12" x14ac:dyDescent="0.25">
      <c r="A8" s="6" t="s">
        <v>19</v>
      </c>
      <c r="C8" s="6">
        <f>LOG(C6+1)</f>
        <v>1.9987822698317359</v>
      </c>
      <c r="D8" s="6">
        <f>LOG(D6+1)</f>
        <v>2.1163154597653446</v>
      </c>
      <c r="G8" s="8"/>
      <c r="H8" s="8"/>
      <c r="I8" s="8"/>
      <c r="J8" s="8"/>
      <c r="K8" s="8"/>
    </row>
    <row r="9" spans="1:12" s="2" customFormat="1" x14ac:dyDescent="0.25">
      <c r="G9" s="9"/>
      <c r="H9" s="9"/>
      <c r="I9" s="9"/>
      <c r="J9" s="9"/>
      <c r="K9" s="9"/>
    </row>
    <row r="10" spans="1:12" s="2" customFormat="1" x14ac:dyDescent="0.25">
      <c r="A10" s="65" t="s">
        <v>12</v>
      </c>
      <c r="B10" s="65"/>
      <c r="C10" s="65"/>
      <c r="D10" s="65"/>
      <c r="E10" s="65"/>
      <c r="G10" s="66"/>
      <c r="H10" s="66"/>
      <c r="I10" s="66"/>
      <c r="J10" s="66"/>
      <c r="K10" s="66"/>
    </row>
    <row r="11" spans="1:12" s="2" customFormat="1" x14ac:dyDescent="0.25">
      <c r="A11" s="14"/>
      <c r="B11" s="65" t="s">
        <v>13</v>
      </c>
      <c r="C11" s="65"/>
      <c r="D11" s="65"/>
      <c r="E11" s="65"/>
      <c r="F11" s="14" t="s">
        <v>14</v>
      </c>
      <c r="H11" s="15"/>
      <c r="I11" s="66"/>
      <c r="J11" s="66"/>
      <c r="K11" s="66"/>
      <c r="L11" s="15"/>
    </row>
    <row r="12" spans="1:12" x14ac:dyDescent="0.25">
      <c r="B12" s="17" t="str">
        <f>C2</f>
        <v>LogUC200</v>
      </c>
      <c r="C12" s="17" t="str">
        <f>D2</f>
        <v>LogPrevPrecip</v>
      </c>
      <c r="D12" s="17" t="str">
        <f>E2</f>
        <v>UF500</v>
      </c>
      <c r="E12" s="17" t="s">
        <v>28</v>
      </c>
      <c r="F12" s="17" t="s">
        <v>27</v>
      </c>
      <c r="H12" s="8"/>
      <c r="I12" s="8"/>
      <c r="J12" s="8"/>
      <c r="K12" s="8"/>
      <c r="L12" s="8"/>
    </row>
    <row r="13" spans="1:12" x14ac:dyDescent="0.25">
      <c r="A13" s="6" t="s">
        <v>30</v>
      </c>
      <c r="B13" s="6">
        <f>C8</f>
        <v>1.9987822698317359</v>
      </c>
      <c r="C13" s="6">
        <f>D7</f>
        <v>1.5485429604650471</v>
      </c>
      <c r="D13" s="6">
        <f>E6</f>
        <v>99.28</v>
      </c>
      <c r="E13" s="6">
        <v>1000</v>
      </c>
      <c r="F13" s="6">
        <f t="shared" ref="F13:F18" si="1">EXP(B$3+B13*C$3+C13*D$3+D13*E$3+E13*F$3)</f>
        <v>1.4543240246526252</v>
      </c>
      <c r="H13" s="8"/>
      <c r="I13" s="8"/>
      <c r="J13" s="8"/>
      <c r="K13" s="8"/>
      <c r="L13" s="8"/>
    </row>
    <row r="14" spans="1:12" x14ac:dyDescent="0.25">
      <c r="A14" s="6" t="s">
        <v>31</v>
      </c>
      <c r="B14" s="6">
        <f>C8</f>
        <v>1.9987822698317359</v>
      </c>
      <c r="C14" s="6">
        <f>D8</f>
        <v>2.1163154597653446</v>
      </c>
      <c r="D14" s="6">
        <f>E6</f>
        <v>99.28</v>
      </c>
      <c r="E14" s="6">
        <v>1000</v>
      </c>
      <c r="F14" s="6">
        <f t="shared" si="1"/>
        <v>1.6983490830766903</v>
      </c>
      <c r="H14" s="8"/>
      <c r="I14" s="8"/>
      <c r="J14" s="8"/>
      <c r="K14" s="8"/>
      <c r="L14" s="8"/>
    </row>
    <row r="15" spans="1:12" x14ac:dyDescent="0.25">
      <c r="A15" s="6" t="s">
        <v>7</v>
      </c>
      <c r="B15" s="6">
        <f>C7</f>
        <v>0</v>
      </c>
      <c r="C15" s="6">
        <v>2.1163154597653446</v>
      </c>
      <c r="D15" s="6">
        <f>E6</f>
        <v>99.28</v>
      </c>
      <c r="E15" s="6">
        <v>1000</v>
      </c>
      <c r="F15" s="6">
        <f t="shared" si="1"/>
        <v>2.8104645321295001</v>
      </c>
      <c r="H15" s="8"/>
      <c r="I15" s="8"/>
      <c r="J15" s="8"/>
      <c r="K15" s="8"/>
      <c r="L15" s="8"/>
    </row>
    <row r="16" spans="1:12" x14ac:dyDescent="0.25">
      <c r="A16" s="6" t="s">
        <v>8</v>
      </c>
      <c r="B16" s="6">
        <f>C8</f>
        <v>1.9987822698317359</v>
      </c>
      <c r="C16" s="6">
        <v>2.1163154597653446</v>
      </c>
      <c r="D16" s="6">
        <f>E6</f>
        <v>99.28</v>
      </c>
      <c r="E16" s="6">
        <v>1000</v>
      </c>
      <c r="F16" s="6">
        <f t="shared" si="1"/>
        <v>1.6983490830766903</v>
      </c>
      <c r="H16" s="8"/>
      <c r="I16" s="8"/>
      <c r="J16" s="8"/>
      <c r="K16" s="8"/>
      <c r="L16" s="8"/>
    </row>
    <row r="17" spans="1:12" x14ac:dyDescent="0.25">
      <c r="A17" s="6" t="s">
        <v>9</v>
      </c>
      <c r="B17" s="6">
        <f>C8</f>
        <v>1.9987822698317359</v>
      </c>
      <c r="C17" s="6">
        <v>2.1163154597653446</v>
      </c>
      <c r="D17" s="6">
        <f>E5</f>
        <v>0.31</v>
      </c>
      <c r="E17" s="6">
        <v>1000</v>
      </c>
      <c r="F17" s="6">
        <f t="shared" si="1"/>
        <v>0.2248547932630193</v>
      </c>
      <c r="H17" s="8"/>
      <c r="I17" s="8"/>
      <c r="J17" s="8"/>
      <c r="K17" s="8"/>
      <c r="L17" s="8"/>
    </row>
    <row r="18" spans="1:12" x14ac:dyDescent="0.25">
      <c r="A18" s="6" t="s">
        <v>10</v>
      </c>
      <c r="B18" s="6">
        <f>C8</f>
        <v>1.9987822698317359</v>
      </c>
      <c r="C18" s="6">
        <v>2.1163154597653446</v>
      </c>
      <c r="D18" s="6">
        <f>E6</f>
        <v>99.28</v>
      </c>
      <c r="E18" s="6">
        <v>1000</v>
      </c>
      <c r="F18" s="6">
        <f t="shared" si="1"/>
        <v>1.6983490830766903</v>
      </c>
      <c r="H18" s="8"/>
      <c r="I18" s="8"/>
      <c r="J18" s="8"/>
      <c r="K18" s="8"/>
      <c r="L18" s="8"/>
    </row>
    <row r="19" spans="1:12" x14ac:dyDescent="0.25">
      <c r="A19" s="6" t="s">
        <v>25</v>
      </c>
      <c r="B19" s="6">
        <v>0</v>
      </c>
      <c r="C19" s="6">
        <v>3.9309430000000001</v>
      </c>
      <c r="D19" s="6">
        <v>100</v>
      </c>
      <c r="E19" s="6">
        <v>10965</v>
      </c>
      <c r="F19" s="6">
        <f>B$4+B19*C$4+C19*D$4+D19*E$4+E19*F$4</f>
        <v>11072.500589636209</v>
      </c>
      <c r="H19" s="11"/>
      <c r="I19" s="11"/>
      <c r="J19" s="11"/>
      <c r="K19" s="11"/>
      <c r="L19" s="11"/>
    </row>
    <row r="20" spans="1:12" x14ac:dyDescent="0.25">
      <c r="A20" s="21" t="s">
        <v>29</v>
      </c>
      <c r="B20" s="21">
        <v>0</v>
      </c>
      <c r="C20" s="21">
        <v>8.5299999999999994</v>
      </c>
      <c r="D20" s="21">
        <v>100</v>
      </c>
      <c r="E20" s="21">
        <v>10965</v>
      </c>
      <c r="F20" s="23">
        <f>EXP(B$3+B20*C$3+C20*D$3+D20*E$3+E20*F$3)</f>
        <v>17.442192546705737</v>
      </c>
    </row>
  </sheetData>
  <mergeCells count="5">
    <mergeCell ref="A10:E10"/>
    <mergeCell ref="G10:K10"/>
    <mergeCell ref="I11:K11"/>
    <mergeCell ref="B1:F1"/>
    <mergeCell ref="B11:E1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BLBW</vt:lpstr>
      <vt:lpstr>CONW</vt:lpstr>
      <vt:lpstr>LEFL</vt:lpstr>
      <vt:lpstr>PIWA</vt:lpstr>
      <vt:lpstr>RBGR</vt:lpstr>
      <vt:lpstr>REVI</vt:lpstr>
      <vt:lpstr>SCTF</vt:lpstr>
      <vt:lpstr>YBFL</vt:lpstr>
      <vt:lpstr>OVEN</vt:lpstr>
      <vt:lpstr>GWWA</vt:lpstr>
      <vt:lpstr>GWWA_MODIFIED_AG</vt:lpstr>
    </vt:vector>
  </TitlesOfParts>
  <Company>Forest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USDA Forest Service</dc:creator>
  <cp:lastModifiedBy>USDA Forest Service</cp:lastModifiedBy>
  <dcterms:created xsi:type="dcterms:W3CDTF">2015-05-27T16:05:12Z</dcterms:created>
  <dcterms:modified xsi:type="dcterms:W3CDTF">2016-05-04T18:04:30Z</dcterms:modified>
</cp:coreProperties>
</file>