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ustafson\Documents\USERDOCS\"/>
    </mc:Choice>
  </mc:AlternateContent>
  <bookViews>
    <workbookView xWindow="-15" yWindow="30" windowWidth="27675" windowHeight="12300" activeTab="1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Pest" sheetId="10" r:id="rId5"/>
    <sheet name="Wythers" sheetId="11" r:id="rId6"/>
    <sheet name="Ozone" sheetId="2" r:id="rId7"/>
  </sheets>
  <definedNames>
    <definedName name="Amax" localSheetId="0">'PnET-Succ v. PnET-II'!$AD$11</definedName>
    <definedName name="Amax">#REF!</definedName>
    <definedName name="Amax_pnet_ii" localSheetId="0">'PnET-Succ v. PnET-II'!$AA$21</definedName>
    <definedName name="Amax_pnet_ii">#REF!</definedName>
    <definedName name="Amax_temp1" localSheetId="0">'PnET-Succ v. PnET-II'!$AQ$21</definedName>
    <definedName name="Amax_temp1">#REF!</definedName>
    <definedName name="AMaxFrac" localSheetId="0">'PnET-Succ v. PnET-II'!$AD$30</definedName>
    <definedName name="AMaxFrac">#REF!</definedName>
    <definedName name="BaseFolResp" localSheetId="0">'PnET-Succ v. PnET-II'!#REF!</definedName>
    <definedName name="BaseFolResp">#REF!</definedName>
    <definedName name="BaseFolResp_pnet_ii" localSheetId="0">'PnET-Succ v. PnET-II'!$U$21</definedName>
    <definedName name="BaseFolResp_pnet_ii">#REF!</definedName>
    <definedName name="BaseFolRespFrac" localSheetId="0">'PnET-Succ v. PnET-II'!$AD$23</definedName>
    <definedName name="BaseFolRespFrac">#REF!</definedName>
    <definedName name="BaseFolRespFrac_PnET_II" localSheetId="0">'PnET-Succ v. PnET-II'!$AE$19</definedName>
    <definedName name="BaseFolRespFrac_PnET_II">#REF!</definedName>
    <definedName name="Billion" localSheetId="0">'PnET-Succ v. PnET-II'!$AD$4</definedName>
    <definedName name="Billion">#REF!</definedName>
    <definedName name="biomass" localSheetId="0">'PnET-Succ v. PnET-II'!#REF!</definedName>
    <definedName name="biomass">#REF!</definedName>
    <definedName name="CanopyGrossPsn" localSheetId="0">'PnET-Succ v. PnET-II'!$AD$34</definedName>
    <definedName name="CanopyGrossPsn">#REF!</definedName>
    <definedName name="CanopyGrossPsnAct_pnet_ii" localSheetId="0">'PnET-Succ v. PnET-II'!$X$21</definedName>
    <definedName name="CanopyGrossPsnAct_pnet_ii">#REF!</definedName>
    <definedName name="CanopyGrossPsnMG" localSheetId="0">'PnET-Succ v. PnET-II'!$AD$35</definedName>
    <definedName name="CanopyGrossPsnMG">#REF!</definedName>
    <definedName name="DayLength" localSheetId="0">'PnET-Succ v. PnET-II'!$AD$6</definedName>
    <definedName name="DayLength">#REF!</definedName>
    <definedName name="DayResp_pnet_ii" localSheetId="0">'PnET-Succ v. PnET-II'!$S$21</definedName>
    <definedName name="DayResp_pnet_ii">#REF!</definedName>
    <definedName name="dayspan" localSheetId="0">'PnET-Succ v. PnET-II'!$AD$8</definedName>
    <definedName name="dayspan">#REF!</definedName>
    <definedName name="DelAmax" localSheetId="0">'PnET-Succ v. PnET-II'!$AD$16</definedName>
    <definedName name="DelAmax">#REF!</definedName>
    <definedName name="Delgs" localSheetId="0">'PnET-Succ v. PnET-II'!$AD$24</definedName>
    <definedName name="Delgs">#REF!</definedName>
    <definedName name="Dtemp_pnet_ii" localSheetId="0">'PnET-Succ v. PnET-II'!$J$21</definedName>
    <definedName name="Dtemp_pnet_ii">#REF!</definedName>
    <definedName name="Dtemp_pnet_suc" localSheetId="0">'PnET-Succ v. PnET-II'!$J$2</definedName>
    <definedName name="Dtemp_pnet_suc">#REF!</definedName>
    <definedName name="DVPD_pnet_ii" localSheetId="0">'PnET-Succ v. PnET-II'!$L$21</definedName>
    <definedName name="DVPD_pnet_ii">#REF!</definedName>
    <definedName name="DVPD_pnet_suc" localSheetId="0">'PnET-Succ v. PnET-II'!$L$2</definedName>
    <definedName name="DVPD_pnet_suc">#REF!</definedName>
    <definedName name="DVPD1" localSheetId="0">'PnET-Succ v. PnET-II'!$AD$20</definedName>
    <definedName name="DVPD1">#REF!</definedName>
    <definedName name="DVPD2" localSheetId="0">'PnET-Succ v. PnET-II'!$AD$21</definedName>
    <definedName name="DVPD2">#REF!</definedName>
    <definedName name="emean_PnET_II" localSheetId="0">'PnET-Succ v. PnET-II'!$H$21</definedName>
    <definedName name="emean_PnET_II">#REF!</definedName>
    <definedName name="emean_PnET_Succession" localSheetId="0">'PnET-Succ v. PnET-II'!$H$2</definedName>
    <definedName name="emean_PnET_Succession">#REF!</definedName>
    <definedName name="es_PnET_II" localSheetId="0">'PnET-Succ v. PnET-II'!$G$21</definedName>
    <definedName name="es_PnET_II">#REF!</definedName>
    <definedName name="es_PnET_Succession" localSheetId="0">'PnET-Succ v. PnET-II'!$G$2</definedName>
    <definedName name="es_PnET_Succession">#REF!</definedName>
    <definedName name="fAge" localSheetId="0">'PnET-Succ v. PnET-II'!$AD$14</definedName>
    <definedName name="fAge">#REF!</definedName>
    <definedName name="Fol" localSheetId="0">'PnET-Succ v. PnET-II'!$AD$10</definedName>
    <definedName name="Fol">#REF!</definedName>
    <definedName name="FolResp_pnet_suc" localSheetId="0">'PnET-Succ v. PnET-II'!$V$2</definedName>
    <definedName name="FolResp_pnet_suc">#REF!</definedName>
    <definedName name="fRad" localSheetId="0">'PnET-Succ v. PnET-II'!$AD$12</definedName>
    <definedName name="fRad">#REF!</definedName>
    <definedName name="FTempPsn_pnet_suc" localSheetId="0">'PnET-Succ v. PnET-II'!$K$2</definedName>
    <definedName name="FTempPsn_pnet_suc">#REF!</definedName>
    <definedName name="FTempPSNRefNetPsn_pnet_suc" localSheetId="0">'PnET-Succ v. PnET-II'!$O$2</definedName>
    <definedName name="FTempPSNRefNetPsn_pnet_suc">#REF!</definedName>
    <definedName name="FTempRespDay_pnet_suc" localSheetId="0">'PnET-Succ v. PnET-II'!$S$2</definedName>
    <definedName name="FTempRespDay_pnet_suc">#REF!</definedName>
    <definedName name="FTempRespDayRefResp_pnet_suc" localSheetId="0">'PnET-Succ v. PnET-II'!$U$2</definedName>
    <definedName name="FTempRespDayRefResp_pnet_suc">#REF!</definedName>
    <definedName name="fWater" localSheetId="0">'PnET-Succ v. PnET-II'!$AD$13</definedName>
    <definedName name="fWater">#REF!</definedName>
    <definedName name="GrossAmax_pnet_ii" localSheetId="0">'PnET-Succ v. PnET-II'!$O$21</definedName>
    <definedName name="GrossAmax_pnet_ii">#REF!</definedName>
    <definedName name="GrossAmax_temp1_pnet_ii" localSheetId="0">'PnET-Succ v. PnET-II'!$M$21</definedName>
    <definedName name="GrossAmax_temp1_pnet_ii">#REF!</definedName>
    <definedName name="GrossAmax_temp2_pnet_ii" localSheetId="0">'PnET-Succ v. PnET-II'!$N$21</definedName>
    <definedName name="GrossAmax_temp2_pnet_ii">#REF!</definedName>
    <definedName name="GrossPsn_pnet_suc" localSheetId="0">'PnET-Succ v. PnET-II'!$W$2</definedName>
    <definedName name="GrossPsn_pnet_suc">#REF!</definedName>
    <definedName name="IMAX" localSheetId="0">'PnET-Succ v. PnET-II'!$AD$9</definedName>
    <definedName name="IMAX">#REF!</definedName>
    <definedName name="index" localSheetId="0">'PnET-Succ v. PnET-II'!#REF!</definedName>
    <definedName name="index">#REF!</definedName>
    <definedName name="LAI" localSheetId="0">'PnET-Succ v. PnET-II'!$AD$31</definedName>
    <definedName name="LAI">#REF!</definedName>
    <definedName name="LAI_pnet_ii" localSheetId="0">'PnET-Succ v. PnET-II'!$P$21</definedName>
    <definedName name="LAI_pnet_ii">#REF!</definedName>
    <definedName name="LAI_pnet_suc" localSheetId="0">'PnET-Succ v. PnET-II'!$P$2</definedName>
    <definedName name="LAI_pnet_suc">#REF!</definedName>
    <definedName name="LayerGrossPsn_pnet_ii" localSheetId="0">'PnET-Succ v. PnET-II'!$R$21</definedName>
    <definedName name="LayerGrossPsn_pnet_ii">#REF!</definedName>
    <definedName name="LayerGrossPsnRate_pnet_ii" localSheetId="0">'PnET-Succ v. PnET-II'!$W$21</definedName>
    <definedName name="LayerGrossPsnRate_pnet_ii">#REF!</definedName>
    <definedName name="LayerLAI" localSheetId="0">'PnET-Succ v. PnET-II'!$AD$31</definedName>
    <definedName name="LayerLAI">#REF!</definedName>
    <definedName name="LayerNetPsn_pnet_ii" localSheetId="0">'PnET-Succ v. PnET-II'!$Y$21</definedName>
    <definedName name="LayerNetPsn_pnet_ii">#REF!</definedName>
    <definedName name="LayerResp_pnet_ii" localSheetId="0">'PnET-Succ v. PnET-II'!$V$21</definedName>
    <definedName name="LayerResp_pnet_ii">#REF!</definedName>
    <definedName name="LayerSLW" localSheetId="0">'PnET-Succ v. PnET-II'!$AD$25</definedName>
    <definedName name="LayerSLW">#REF!</definedName>
    <definedName name="LightEff_pnet_ii" localSheetId="0">'PnET-Succ v. PnET-II'!#REF!</definedName>
    <definedName name="LightEff_pnet_ii">#REF!</definedName>
    <definedName name="MaintResp_pnet_suc" localSheetId="0">'PnET-Succ v. PnET-II'!$Q$2</definedName>
    <definedName name="MaintResp_pnet_suc">#REF!</definedName>
    <definedName name="MC" localSheetId="0">'PnET-Succ v. PnET-II'!$AD$3</definedName>
    <definedName name="MC">#REF!</definedName>
    <definedName name="MCO2_MC" localSheetId="0">'PnET-Succ v. PnET-II'!$AD$2</definedName>
    <definedName name="MCO2_MC">#REF!</definedName>
    <definedName name="NetPsn_pnet_suc" localSheetId="0">'PnET-Succ v. PnET-II'!$R$2</definedName>
    <definedName name="NetPsn_pnet_suc">#REF!</definedName>
    <definedName name="NightLength" localSheetId="0">'PnET-Succ v. PnET-II'!$AD$7</definedName>
    <definedName name="NightLength">#REF!</definedName>
    <definedName name="NightResp" localSheetId="0">'PnET-Succ v. PnET-II'!$T$21</definedName>
    <definedName name="NightResp">#REF!</definedName>
    <definedName name="NSC" localSheetId="0">'PnET-Succ v. PnET-II'!#REF!</definedName>
    <definedName name="NSC">#REF!</definedName>
    <definedName name="PotTransd_pnet_ii" localSheetId="0">'PnET-Succ v. PnET-II'!$Z$21</definedName>
    <definedName name="PotTransd_pnet_ii">#REF!</definedName>
    <definedName name="PsnTMax" localSheetId="0">'PnET-Succ v. PnET-II'!$AD$19</definedName>
    <definedName name="PsnTMax">#REF!</definedName>
    <definedName name="PsnTMin" localSheetId="0">'PnET-Succ v. PnET-II'!$AD$17</definedName>
    <definedName name="PsnTMin">#REF!</definedName>
    <definedName name="PsnTOpt" localSheetId="0">'PnET-Succ v. PnET-II'!$AD$18</definedName>
    <definedName name="PsnTOpt">#REF!</definedName>
    <definedName name="Q10const" localSheetId="0">'PnET-Succ v. PnET-II'!#REF!</definedName>
    <definedName name="Q10const">#REF!</definedName>
    <definedName name="RefNetPsn_pnet_suc" localSheetId="0">'PnET-Succ v. PnET-II'!$N$2</definedName>
    <definedName name="RefNetPsn_pnet_suc">#REF!</definedName>
    <definedName name="RespQ10" localSheetId="0">'PnET-Succ v. PnET-II'!$AD$22</definedName>
    <definedName name="RespQ10">#REF!</definedName>
    <definedName name="SLWDel" localSheetId="0">'PnET-Succ v. PnET-II'!#REF!</definedName>
    <definedName name="SLWDel">#REF!</definedName>
    <definedName name="SLWLayer" localSheetId="0">'PnET-Succ v. PnET-II'!$AD$25</definedName>
    <definedName name="SLWLayer">#REF!</definedName>
    <definedName name="SLWmax" localSheetId="0">'PnET-Succ v. PnET-II'!#REF!</definedName>
    <definedName name="SLWmax">#REF!</definedName>
    <definedName name="Tave" localSheetId="0">'PnET-Succ v. PnET-II'!$D$2</definedName>
    <definedName name="Tave">#REF!</definedName>
    <definedName name="Tday" localSheetId="0">'PnET-Succ v. PnET-II'!$E$2</definedName>
    <definedName name="Tday">#REF!</definedName>
    <definedName name="Tmax" localSheetId="0">'PnET-Succ v. PnET-II'!$C$2</definedName>
    <definedName name="Tmax">#REF!</definedName>
    <definedName name="Tmin" localSheetId="0">'PnET-Succ v. PnET-II'!$B$2</definedName>
    <definedName name="Tmin">#REF!</definedName>
    <definedName name="Tnight" localSheetId="0">'PnET-Succ v. PnET-II'!$F$2</definedName>
    <definedName name="Tnight">#REF!</definedName>
    <definedName name="Transpiration_pnet_suc" localSheetId="0">'PnET-Succ v. PnET-II'!$Z$2</definedName>
    <definedName name="Transpiration_pnet_suc">#REF!</definedName>
    <definedName name="VPD" localSheetId="0">'PnET-Succ v. PnET-II'!$AD$5</definedName>
    <definedName name="VPD">#REF!</definedName>
    <definedName name="VPD_PnET_II" localSheetId="0">'PnET-Succ v. PnET-II'!$I$21</definedName>
    <definedName name="VPD_PnET_II">#REF!</definedName>
    <definedName name="VPD_PnET_Succession" localSheetId="0">'PnET-Succ v. PnET-II'!$I$2</definedName>
    <definedName name="VPD_PnET_Succession">#REF!</definedName>
    <definedName name="WoodMRespMo_pnet_ii" localSheetId="0">'PnET-Succ v. PnET-II'!$Q$21</definedName>
    <definedName name="WoodMRespMo_pnet_ii">#REF!</definedName>
    <definedName name="WUE" localSheetId="0">'PnET-Succ v. PnET-II'!$X$2</definedName>
    <definedName name="WUE">#REF!</definedName>
    <definedName name="WUE_PnET" localSheetId="0">'PnET-Succ v. PnET-II'!$X$21</definedName>
    <definedName name="WUE_PnET">#REF!</definedName>
    <definedName name="WUEconst" localSheetId="0">'PnET-Succ v. PnET-II'!$AD$15</definedName>
    <definedName name="WUEconst">#REF!</definedName>
  </definedNames>
  <calcPr calcId="152511"/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2" i="12"/>
  <c r="B5" i="10" l="1"/>
  <c r="B6" i="10"/>
  <c r="B7" i="10"/>
  <c r="B8" i="10"/>
  <c r="B9" i="10"/>
  <c r="B10" i="10"/>
  <c r="B11" i="10"/>
  <c r="B12" i="10"/>
  <c r="B13" i="10"/>
  <c r="B14" i="10"/>
  <c r="B4" i="10"/>
  <c r="B2" i="2"/>
  <c r="C2" i="2" s="1"/>
  <c r="B8" i="11"/>
  <c r="E20" i="11"/>
  <c r="D20" i="11"/>
  <c r="A20" i="11"/>
  <c r="C20" i="11" s="1"/>
  <c r="E19" i="11"/>
  <c r="D19" i="11"/>
  <c r="A19" i="11"/>
  <c r="C19" i="11" s="1"/>
  <c r="E18" i="11"/>
  <c r="D18" i="11"/>
  <c r="A18" i="11"/>
  <c r="H18" i="11" s="1"/>
  <c r="E17" i="11"/>
  <c r="D17" i="11"/>
  <c r="C17" i="11"/>
  <c r="I17" i="11" s="1"/>
  <c r="A17" i="11"/>
  <c r="H17" i="11" s="1"/>
  <c r="E16" i="11"/>
  <c r="D16" i="11"/>
  <c r="C16" i="11"/>
  <c r="L16" i="11" s="1"/>
  <c r="A16" i="11"/>
  <c r="H16" i="11" s="1"/>
  <c r="E15" i="11"/>
  <c r="D15" i="11"/>
  <c r="A15" i="11"/>
  <c r="C15" i="11" s="1"/>
  <c r="E14" i="11"/>
  <c r="D14" i="11"/>
  <c r="A14" i="11"/>
  <c r="H14" i="11" s="1"/>
  <c r="E13" i="11"/>
  <c r="D13" i="11"/>
  <c r="A13" i="11"/>
  <c r="C13" i="11" s="1"/>
  <c r="I13" i="11" s="1"/>
  <c r="E12" i="11"/>
  <c r="D12" i="11"/>
  <c r="A12" i="11"/>
  <c r="C12" i="11" s="1"/>
  <c r="E11" i="11"/>
  <c r="D11" i="11"/>
  <c r="A11" i="11"/>
  <c r="C11" i="11" s="1"/>
  <c r="F20" i="11"/>
  <c r="L12" i="11" l="1"/>
  <c r="I12" i="11"/>
  <c r="H13" i="11"/>
  <c r="I16" i="11"/>
  <c r="H12" i="11"/>
  <c r="H20" i="11"/>
  <c r="J20" i="11" s="1"/>
  <c r="I19" i="11"/>
  <c r="L19" i="11"/>
  <c r="L15" i="11"/>
  <c r="I15" i="11"/>
  <c r="L20" i="11"/>
  <c r="I20" i="11"/>
  <c r="L11" i="11"/>
  <c r="I11" i="11"/>
  <c r="G13" i="11"/>
  <c r="F14" i="11"/>
  <c r="F18" i="11"/>
  <c r="G14" i="11"/>
  <c r="G18" i="11"/>
  <c r="F19" i="11"/>
  <c r="H11" i="11"/>
  <c r="G12" i="11"/>
  <c r="F13" i="11"/>
  <c r="L13" i="11"/>
  <c r="H15" i="11"/>
  <c r="G16" i="11"/>
  <c r="F17" i="11"/>
  <c r="L17" i="11"/>
  <c r="H19" i="11"/>
  <c r="G20" i="11"/>
  <c r="G17" i="11"/>
  <c r="F11" i="11"/>
  <c r="C14" i="11"/>
  <c r="F15" i="11"/>
  <c r="C18" i="11"/>
  <c r="G11" i="11"/>
  <c r="F12" i="11"/>
  <c r="G15" i="11"/>
  <c r="F16" i="11"/>
  <c r="G19" i="11"/>
  <c r="J16" i="11" l="1"/>
  <c r="L18" i="11"/>
  <c r="I18" i="11"/>
  <c r="J17" i="11"/>
  <c r="K13" i="11"/>
  <c r="J15" i="11"/>
  <c r="K16" i="11"/>
  <c r="K19" i="11"/>
  <c r="K11" i="11"/>
  <c r="J11" i="11"/>
  <c r="J19" i="11"/>
  <c r="J14" i="11"/>
  <c r="K17" i="11"/>
  <c r="J13" i="11"/>
  <c r="K18" i="11"/>
  <c r="K15" i="11"/>
  <c r="K20" i="11"/>
  <c r="K12" i="11"/>
  <c r="J12" i="11"/>
  <c r="I14" i="11"/>
  <c r="K14" i="11" s="1"/>
  <c r="L14" i="11"/>
  <c r="J18" i="11"/>
  <c r="G6" i="10" l="1"/>
  <c r="G8" i="10"/>
  <c r="G10" i="10"/>
  <c r="G12" i="10"/>
  <c r="G14" i="10"/>
  <c r="G5" i="10"/>
  <c r="G7" i="10"/>
  <c r="G9" i="10"/>
  <c r="G11" i="10"/>
  <c r="G13" i="10"/>
  <c r="G4" i="10"/>
  <c r="C14" i="10"/>
  <c r="A14" i="10" s="1"/>
  <c r="F14" i="10" s="1"/>
  <c r="C13" i="10"/>
  <c r="A13" i="10" s="1"/>
  <c r="F13" i="10" s="1"/>
  <c r="C12" i="10"/>
  <c r="A12" i="10" s="1"/>
  <c r="F12" i="10" s="1"/>
  <c r="C11" i="10"/>
  <c r="A11" i="10" s="1"/>
  <c r="F11" i="10" s="1"/>
  <c r="C10" i="10"/>
  <c r="A10" i="10" s="1"/>
  <c r="F10" i="10" s="1"/>
  <c r="C9" i="10"/>
  <c r="A9" i="10" s="1"/>
  <c r="F9" i="10" s="1"/>
  <c r="C8" i="10"/>
  <c r="A8" i="10" s="1"/>
  <c r="F8" i="10" s="1"/>
  <c r="C7" i="10"/>
  <c r="A7" i="10" s="1"/>
  <c r="F7" i="10" s="1"/>
  <c r="C6" i="10"/>
  <c r="A6" i="10" s="1"/>
  <c r="F6" i="10" s="1"/>
  <c r="C5" i="10"/>
  <c r="A5" i="10" s="1"/>
  <c r="F5" i="10" s="1"/>
  <c r="C4" i="10"/>
  <c r="A4" i="10" s="1"/>
  <c r="F4" i="10" s="1"/>
  <c r="I4" i="9" l="1"/>
  <c r="L4" i="9"/>
  <c r="M2" i="8"/>
  <c r="S11" i="8"/>
  <c r="U2" i="9"/>
  <c r="AA11" i="3"/>
  <c r="S4" i="9" l="1"/>
  <c r="S5" i="9"/>
  <c r="S6" i="9"/>
  <c r="S7" i="9"/>
  <c r="S8" i="9"/>
  <c r="S9" i="9"/>
  <c r="S10" i="9"/>
  <c r="S11" i="9"/>
  <c r="S12" i="9"/>
  <c r="S13" i="9"/>
  <c r="S3" i="9"/>
  <c r="S2" i="9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9" i="9"/>
  <c r="AD16" i="9"/>
  <c r="AD24" i="9" s="1"/>
  <c r="H13" i="9"/>
  <c r="F13" i="9"/>
  <c r="E13" i="9"/>
  <c r="D13" i="9"/>
  <c r="H12" i="9"/>
  <c r="D12" i="9"/>
  <c r="F12" i="9" s="1"/>
  <c r="H11" i="9"/>
  <c r="F11" i="9"/>
  <c r="E11" i="9"/>
  <c r="D11" i="9"/>
  <c r="AD10" i="9"/>
  <c r="P21" i="9" s="1"/>
  <c r="H10" i="9"/>
  <c r="D10" i="9"/>
  <c r="H9" i="9"/>
  <c r="F9" i="9"/>
  <c r="D9" i="9"/>
  <c r="E9" i="9" s="1"/>
  <c r="H8" i="9"/>
  <c r="D8" i="9"/>
  <c r="H7" i="9"/>
  <c r="D7" i="9"/>
  <c r="F7" i="9" s="1"/>
  <c r="AD6" i="9"/>
  <c r="AD7" i="9" s="1"/>
  <c r="H6" i="9"/>
  <c r="F6" i="9"/>
  <c r="D6" i="9"/>
  <c r="E6" i="9" s="1"/>
  <c r="J6" i="9" s="1"/>
  <c r="H5" i="9"/>
  <c r="D5" i="9"/>
  <c r="F5" i="9" s="1"/>
  <c r="H4" i="9"/>
  <c r="D4" i="9"/>
  <c r="F4" i="9" s="1"/>
  <c r="H3" i="9"/>
  <c r="F3" i="9"/>
  <c r="D3" i="9"/>
  <c r="E3" i="9" s="1"/>
  <c r="Q2" i="9"/>
  <c r="P2" i="9"/>
  <c r="H2" i="9"/>
  <c r="F2" i="9"/>
  <c r="D2" i="9"/>
  <c r="E2" i="9" s="1"/>
  <c r="U9" i="9" l="1"/>
  <c r="U5" i="9"/>
  <c r="V2" i="9"/>
  <c r="U11" i="9"/>
  <c r="V11" i="9" s="1"/>
  <c r="U7" i="9"/>
  <c r="T22" i="9"/>
  <c r="T24" i="9"/>
  <c r="U3" i="9"/>
  <c r="V3" i="9" s="1"/>
  <c r="U10" i="9"/>
  <c r="U6" i="9"/>
  <c r="V6" i="9" s="1"/>
  <c r="U13" i="9"/>
  <c r="V13" i="9" s="1"/>
  <c r="S25" i="9"/>
  <c r="U12" i="9"/>
  <c r="U8" i="9"/>
  <c r="U4" i="9"/>
  <c r="G21" i="9"/>
  <c r="I21" i="9" s="1"/>
  <c r="L21" i="9" s="1"/>
  <c r="J2" i="9"/>
  <c r="K2" i="9"/>
  <c r="G2" i="9"/>
  <c r="I2" i="9" s="1"/>
  <c r="G22" i="9"/>
  <c r="I22" i="9" s="1"/>
  <c r="J22" i="9"/>
  <c r="K3" i="9"/>
  <c r="G3" i="9"/>
  <c r="I3" i="9" s="1"/>
  <c r="J3" i="9"/>
  <c r="E4" i="9"/>
  <c r="E5" i="9"/>
  <c r="K11" i="9"/>
  <c r="G11" i="9"/>
  <c r="I11" i="9" s="1"/>
  <c r="J11" i="9"/>
  <c r="M21" i="9"/>
  <c r="T23" i="9"/>
  <c r="M25" i="9"/>
  <c r="G30" i="9"/>
  <c r="I30" i="9" s="1"/>
  <c r="G25" i="9"/>
  <c r="I25" i="9" s="1"/>
  <c r="K6" i="9"/>
  <c r="G6" i="9"/>
  <c r="I6" i="9" s="1"/>
  <c r="F10" i="9"/>
  <c r="E10" i="9"/>
  <c r="V9" i="9"/>
  <c r="K9" i="9"/>
  <c r="G9" i="9"/>
  <c r="I9" i="9" s="1"/>
  <c r="F8" i="9"/>
  <c r="E8" i="9"/>
  <c r="J9" i="9"/>
  <c r="K13" i="9"/>
  <c r="G13" i="9"/>
  <c r="I13" i="9" s="1"/>
  <c r="J13" i="9"/>
  <c r="J32" i="9"/>
  <c r="M24" i="9"/>
  <c r="S23" i="9"/>
  <c r="M23" i="9"/>
  <c r="S22" i="9"/>
  <c r="V22" i="9" s="1"/>
  <c r="M22" i="9"/>
  <c r="T21" i="9"/>
  <c r="T32" i="9"/>
  <c r="T31" i="9"/>
  <c r="T30" i="9"/>
  <c r="T29" i="9"/>
  <c r="T28" i="9"/>
  <c r="T27" i="9"/>
  <c r="T26" i="9"/>
  <c r="S21" i="9"/>
  <c r="V21" i="9" s="1"/>
  <c r="S32" i="9"/>
  <c r="V32" i="9" s="1"/>
  <c r="M32" i="9"/>
  <c r="M31" i="9"/>
  <c r="S30" i="9"/>
  <c r="M30" i="9"/>
  <c r="S29" i="9"/>
  <c r="M29" i="9"/>
  <c r="S28" i="9"/>
  <c r="M28" i="9"/>
  <c r="S27" i="9"/>
  <c r="V27" i="9" s="1"/>
  <c r="M27" i="9"/>
  <c r="S26" i="9"/>
  <c r="M26" i="9"/>
  <c r="T25" i="9"/>
  <c r="G28" i="9"/>
  <c r="I28" i="9" s="1"/>
  <c r="G32" i="9"/>
  <c r="I32" i="9" s="1"/>
  <c r="E7" i="9"/>
  <c r="E12" i="9"/>
  <c r="S31" i="9" s="1"/>
  <c r="V31" i="9" s="1"/>
  <c r="J21" i="9"/>
  <c r="J25" i="9"/>
  <c r="J26" i="9"/>
  <c r="J27" i="9"/>
  <c r="J28" i="9"/>
  <c r="J29" i="9"/>
  <c r="J30" i="9"/>
  <c r="J31" i="9"/>
  <c r="V23" i="9" l="1"/>
  <c r="V26" i="9"/>
  <c r="V30" i="9"/>
  <c r="V28" i="9"/>
  <c r="V25" i="9"/>
  <c r="X32" i="9"/>
  <c r="L32" i="9"/>
  <c r="X9" i="9"/>
  <c r="L9" i="9"/>
  <c r="N9" i="9" s="1"/>
  <c r="O9" i="9" s="1"/>
  <c r="R9" i="9" s="1"/>
  <c r="W9" i="9" s="1"/>
  <c r="Z9" i="9" s="1"/>
  <c r="L25" i="9"/>
  <c r="X25" i="9"/>
  <c r="N21" i="9"/>
  <c r="O21" i="9" s="1"/>
  <c r="W21" i="9" s="1"/>
  <c r="R21" i="9" s="1"/>
  <c r="X21" i="9"/>
  <c r="L2" i="9"/>
  <c r="N2" i="9" s="1"/>
  <c r="X2" i="9"/>
  <c r="X28" i="9"/>
  <c r="L28" i="9"/>
  <c r="X30" i="9"/>
  <c r="L30" i="9"/>
  <c r="J7" i="9"/>
  <c r="V7" i="9"/>
  <c r="G7" i="9"/>
  <c r="I7" i="9" s="1"/>
  <c r="K7" i="9"/>
  <c r="G26" i="9"/>
  <c r="I26" i="9" s="1"/>
  <c r="V29" i="9"/>
  <c r="X13" i="9"/>
  <c r="L13" i="9"/>
  <c r="N13" i="9" s="1"/>
  <c r="O13" i="9" s="1"/>
  <c r="R13" i="9" s="1"/>
  <c r="W13" i="9" s="1"/>
  <c r="Z13" i="9" s="1"/>
  <c r="K8" i="9"/>
  <c r="G8" i="9"/>
  <c r="I8" i="9" s="1"/>
  <c r="J8" i="9"/>
  <c r="G27" i="9"/>
  <c r="I27" i="9" s="1"/>
  <c r="V8" i="9"/>
  <c r="N25" i="9"/>
  <c r="O25" i="9" s="1"/>
  <c r="W25" i="9" s="1"/>
  <c r="R25" i="9" s="1"/>
  <c r="X11" i="9"/>
  <c r="L11" i="9"/>
  <c r="N11" i="9" s="1"/>
  <c r="O11" i="9" s="1"/>
  <c r="R11" i="9" s="1"/>
  <c r="W11" i="9" s="1"/>
  <c r="G23" i="9"/>
  <c r="I23" i="9" s="1"/>
  <c r="J23" i="9"/>
  <c r="K4" i="9"/>
  <c r="G4" i="9"/>
  <c r="J4" i="9"/>
  <c r="V4" i="9"/>
  <c r="X3" i="9"/>
  <c r="L3" i="9"/>
  <c r="N3" i="9" s="1"/>
  <c r="O3" i="9" s="1"/>
  <c r="R3" i="9" s="1"/>
  <c r="W3" i="9" s="1"/>
  <c r="Z3" i="9" s="1"/>
  <c r="X22" i="9"/>
  <c r="L22" i="9"/>
  <c r="N22" i="9" s="1"/>
  <c r="O22" i="9" s="1"/>
  <c r="W22" i="9" s="1"/>
  <c r="R22" i="9" s="1"/>
  <c r="O2" i="9"/>
  <c r="R2" i="9" s="1"/>
  <c r="W2" i="9" s="1"/>
  <c r="Z2" i="9" s="1"/>
  <c r="J12" i="9"/>
  <c r="V12" i="9"/>
  <c r="K12" i="9"/>
  <c r="G31" i="9"/>
  <c r="I31" i="9" s="1"/>
  <c r="G12" i="9"/>
  <c r="I12" i="9" s="1"/>
  <c r="X6" i="9"/>
  <c r="L6" i="9"/>
  <c r="N6" i="9" s="1"/>
  <c r="O6" i="9" s="1"/>
  <c r="R6" i="9" s="1"/>
  <c r="W6" i="9" s="1"/>
  <c r="Z6" i="9" s="1"/>
  <c r="K5" i="9"/>
  <c r="G5" i="9"/>
  <c r="I5" i="9" s="1"/>
  <c r="G24" i="9"/>
  <c r="I24" i="9" s="1"/>
  <c r="V5" i="9"/>
  <c r="J5" i="9"/>
  <c r="J24" i="9"/>
  <c r="N28" i="9"/>
  <c r="O28" i="9" s="1"/>
  <c r="W28" i="9" s="1"/>
  <c r="R28" i="9" s="1"/>
  <c r="N30" i="9"/>
  <c r="O30" i="9" s="1"/>
  <c r="W30" i="9" s="1"/>
  <c r="R30" i="9" s="1"/>
  <c r="N32" i="9"/>
  <c r="O32" i="9" s="1"/>
  <c r="W32" i="9" s="1"/>
  <c r="R32" i="9" s="1"/>
  <c r="S24" i="9"/>
  <c r="V24" i="9" s="1"/>
  <c r="K10" i="9"/>
  <c r="G10" i="9"/>
  <c r="I10" i="9" s="1"/>
  <c r="J10" i="9"/>
  <c r="V10" i="9"/>
  <c r="G29" i="9"/>
  <c r="I29" i="9" s="1"/>
  <c r="Z22" i="9" l="1"/>
  <c r="Y22" i="9"/>
  <c r="Z32" i="9"/>
  <c r="Y32" i="9"/>
  <c r="X5" i="9"/>
  <c r="L5" i="9"/>
  <c r="N5" i="9" s="1"/>
  <c r="O5" i="9" s="1"/>
  <c r="R5" i="9" s="1"/>
  <c r="W5" i="9" s="1"/>
  <c r="Z5" i="9" s="1"/>
  <c r="X12" i="9"/>
  <c r="L12" i="9"/>
  <c r="N12" i="9" s="1"/>
  <c r="O12" i="9" s="1"/>
  <c r="R12" i="9" s="1"/>
  <c r="W12" i="9" s="1"/>
  <c r="Z12" i="9" s="1"/>
  <c r="X4" i="9"/>
  <c r="N4" i="9"/>
  <c r="O4" i="9" s="1"/>
  <c r="R4" i="9" s="1"/>
  <c r="W4" i="9" s="1"/>
  <c r="Z4" i="9" s="1"/>
  <c r="X27" i="9"/>
  <c r="L27" i="9"/>
  <c r="N27" i="9" s="1"/>
  <c r="O27" i="9" s="1"/>
  <c r="W27" i="9" s="1"/>
  <c r="R27" i="9" s="1"/>
  <c r="Z21" i="9"/>
  <c r="Y21" i="9"/>
  <c r="X10" i="9"/>
  <c r="L10" i="9"/>
  <c r="N10" i="9" s="1"/>
  <c r="O10" i="9" s="1"/>
  <c r="R10" i="9" s="1"/>
  <c r="W10" i="9" s="1"/>
  <c r="Z10" i="9" s="1"/>
  <c r="X31" i="9"/>
  <c r="L31" i="9"/>
  <c r="N31" i="9" s="1"/>
  <c r="O31" i="9" s="1"/>
  <c r="W31" i="9" s="1"/>
  <c r="R31" i="9" s="1"/>
  <c r="X29" i="9"/>
  <c r="L29" i="9"/>
  <c r="N29" i="9" s="1"/>
  <c r="O29" i="9" s="1"/>
  <c r="W29" i="9" s="1"/>
  <c r="R29" i="9" s="1"/>
  <c r="Z28" i="9"/>
  <c r="Y28" i="9"/>
  <c r="Z11" i="9"/>
  <c r="Z25" i="9"/>
  <c r="Y25" i="9"/>
  <c r="X8" i="9"/>
  <c r="L8" i="9"/>
  <c r="N8" i="9" s="1"/>
  <c r="O8" i="9" s="1"/>
  <c r="R8" i="9" s="1"/>
  <c r="W8" i="9" s="1"/>
  <c r="Z8" i="9" s="1"/>
  <c r="Z30" i="9"/>
  <c r="Y30" i="9"/>
  <c r="X26" i="9"/>
  <c r="L26" i="9"/>
  <c r="N26" i="9" s="1"/>
  <c r="O26" i="9" s="1"/>
  <c r="W26" i="9" s="1"/>
  <c r="R26" i="9" s="1"/>
  <c r="X24" i="9"/>
  <c r="L24" i="9"/>
  <c r="N24" i="9" s="1"/>
  <c r="O24" i="9" s="1"/>
  <c r="W24" i="9" s="1"/>
  <c r="R24" i="9" s="1"/>
  <c r="X23" i="9"/>
  <c r="L23" i="9"/>
  <c r="N23" i="9" s="1"/>
  <c r="O23" i="9" s="1"/>
  <c r="W23" i="9" s="1"/>
  <c r="R23" i="9" s="1"/>
  <c r="X7" i="9"/>
  <c r="L7" i="9"/>
  <c r="N7" i="9" s="1"/>
  <c r="O7" i="9" s="1"/>
  <c r="R7" i="9" s="1"/>
  <c r="W7" i="9" s="1"/>
  <c r="Z7" i="9" s="1"/>
  <c r="Z26" i="9" l="1"/>
  <c r="Y26" i="9"/>
  <c r="Z27" i="9"/>
  <c r="Y27" i="9"/>
  <c r="Z31" i="9"/>
  <c r="Y31" i="9"/>
  <c r="Z29" i="9"/>
  <c r="Y29" i="9"/>
  <c r="Z24" i="9"/>
  <c r="Y24" i="9"/>
  <c r="Z23" i="9"/>
  <c r="Y23" i="9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 s="1"/>
  <c r="E3" i="8" s="1"/>
  <c r="B4" i="8"/>
  <c r="D4" i="8" s="1"/>
  <c r="F4" i="8" s="1"/>
  <c r="B5" i="8"/>
  <c r="C5" i="8" s="1"/>
  <c r="E5" i="8" s="1"/>
  <c r="B6" i="8"/>
  <c r="D6" i="8" s="1"/>
  <c r="F6" i="8" s="1"/>
  <c r="B7" i="8"/>
  <c r="D7" i="8" s="1"/>
  <c r="F7" i="8" s="1"/>
  <c r="B8" i="8"/>
  <c r="D8" i="8" s="1"/>
  <c r="F8" i="8" s="1"/>
  <c r="B9" i="8"/>
  <c r="C9" i="8" s="1"/>
  <c r="E9" i="8" s="1"/>
  <c r="B10" i="8"/>
  <c r="D10" i="8" s="1"/>
  <c r="F10" i="8" s="1"/>
  <c r="B11" i="8"/>
  <c r="C11" i="8" s="1"/>
  <c r="E11" i="8" s="1"/>
  <c r="B12" i="8"/>
  <c r="D12" i="8" s="1"/>
  <c r="F12" i="8" s="1"/>
  <c r="B13" i="8"/>
  <c r="C13" i="8" s="1"/>
  <c r="E13" i="8" s="1"/>
  <c r="B14" i="8"/>
  <c r="D14" i="8" s="1"/>
  <c r="F14" i="8" s="1"/>
  <c r="B15" i="8"/>
  <c r="D15" i="8" s="1"/>
  <c r="F15" i="8" s="1"/>
  <c r="B16" i="8"/>
  <c r="D16" i="8" s="1"/>
  <c r="F16" i="8" s="1"/>
  <c r="B2" i="8"/>
  <c r="D2" i="8" s="1"/>
  <c r="F2" i="8" s="1"/>
  <c r="D5" i="8" l="1"/>
  <c r="F5" i="8" s="1"/>
  <c r="D11" i="8"/>
  <c r="F11" i="8" s="1"/>
  <c r="D9" i="8"/>
  <c r="F9" i="8" s="1"/>
  <c r="G9" i="8" s="1"/>
  <c r="D3" i="8"/>
  <c r="F3" i="8" s="1"/>
  <c r="G3" i="8" s="1"/>
  <c r="C10" i="8"/>
  <c r="E10" i="8" s="1"/>
  <c r="G10" i="8" s="1"/>
  <c r="L10" i="8" s="1"/>
  <c r="N10" i="8" s="1"/>
  <c r="D13" i="8"/>
  <c r="F13" i="8" s="1"/>
  <c r="C15" i="8"/>
  <c r="E15" i="8" s="1"/>
  <c r="C7" i="8"/>
  <c r="E7" i="8" s="1"/>
  <c r="G7" i="8" s="1"/>
  <c r="C14" i="8"/>
  <c r="E14" i="8" s="1"/>
  <c r="G14" i="8" s="1"/>
  <c r="C6" i="8"/>
  <c r="E6" i="8" s="1"/>
  <c r="C2" i="8"/>
  <c r="E2" i="8" s="1"/>
  <c r="G2" i="8" s="1"/>
  <c r="L2" i="8" s="1"/>
  <c r="C16" i="8"/>
  <c r="E16" i="8" s="1"/>
  <c r="G16" i="8" s="1"/>
  <c r="C12" i="8"/>
  <c r="E12" i="8" s="1"/>
  <c r="G12" i="8" s="1"/>
  <c r="C8" i="8"/>
  <c r="E8" i="8" s="1"/>
  <c r="G8" i="8" s="1"/>
  <c r="C4" i="8"/>
  <c r="E4" i="8" s="1"/>
  <c r="G4" i="8" s="1"/>
  <c r="G13" i="8"/>
  <c r="G5" i="8"/>
  <c r="G11" i="8"/>
  <c r="G6" i="8"/>
  <c r="G15" i="8"/>
  <c r="G3" i="3"/>
  <c r="G4" i="3"/>
  <c r="G5" i="3"/>
  <c r="G6" i="3"/>
  <c r="G7" i="3"/>
  <c r="G8" i="3"/>
  <c r="G9" i="3"/>
  <c r="G10" i="3"/>
  <c r="G11" i="3"/>
  <c r="G12" i="3"/>
  <c r="G13" i="3"/>
  <c r="G2" i="3"/>
  <c r="C11" i="3"/>
  <c r="D11" i="3" s="1"/>
  <c r="C12" i="3"/>
  <c r="D12" i="3" s="1"/>
  <c r="C13" i="3"/>
  <c r="D13" i="3" s="1"/>
  <c r="C3" i="3"/>
  <c r="D3" i="3" s="1"/>
  <c r="Q3" i="3" s="1"/>
  <c r="C4" i="3"/>
  <c r="E4" i="3" s="1"/>
  <c r="C5" i="3"/>
  <c r="C6" i="3"/>
  <c r="E6" i="3" s="1"/>
  <c r="C7" i="3"/>
  <c r="D7" i="3" s="1"/>
  <c r="C8" i="3"/>
  <c r="E8" i="3" s="1"/>
  <c r="C9" i="3"/>
  <c r="C10" i="3"/>
  <c r="E10" i="3" s="1"/>
  <c r="C2" i="3"/>
  <c r="D2" i="3" s="1"/>
  <c r="Q2" i="3" s="1"/>
  <c r="AA7" i="3"/>
  <c r="U2" i="3" l="1"/>
  <c r="V2" i="3" s="1"/>
  <c r="U3" i="3"/>
  <c r="V3" i="3" s="1"/>
  <c r="R2" i="3"/>
  <c r="R3" i="3"/>
  <c r="K11" i="3"/>
  <c r="Q11" i="3"/>
  <c r="U11" i="3" s="1"/>
  <c r="V11" i="3" s="1"/>
  <c r="Q7" i="3"/>
  <c r="U7" i="3" s="1"/>
  <c r="V7" i="3" s="1"/>
  <c r="K13" i="3"/>
  <c r="Q13" i="3"/>
  <c r="U13" i="3" s="1"/>
  <c r="V13" i="3" s="1"/>
  <c r="K12" i="3"/>
  <c r="Q12" i="3"/>
  <c r="U12" i="3" s="1"/>
  <c r="V12" i="3" s="1"/>
  <c r="F2" i="3"/>
  <c r="H2" i="3" s="1"/>
  <c r="H10" i="8"/>
  <c r="J10" i="8" s="1"/>
  <c r="L12" i="8"/>
  <c r="N12" i="8" s="1"/>
  <c r="H12" i="8"/>
  <c r="J12" i="8" s="1"/>
  <c r="L16" i="8"/>
  <c r="N16" i="8" s="1"/>
  <c r="H16" i="8"/>
  <c r="J16" i="8" s="1"/>
  <c r="L4" i="8"/>
  <c r="N4" i="8" s="1"/>
  <c r="H4" i="8"/>
  <c r="J4" i="8" s="1"/>
  <c r="L8" i="8"/>
  <c r="N8" i="8" s="1"/>
  <c r="H8" i="8"/>
  <c r="J8" i="8" s="1"/>
  <c r="L11" i="8"/>
  <c r="N11" i="8" s="1"/>
  <c r="H11" i="8"/>
  <c r="J11" i="8" s="1"/>
  <c r="L9" i="8"/>
  <c r="N9" i="8" s="1"/>
  <c r="H9" i="8"/>
  <c r="J9" i="8" s="1"/>
  <c r="L5" i="8"/>
  <c r="N5" i="8" s="1"/>
  <c r="H5" i="8"/>
  <c r="J5" i="8" s="1"/>
  <c r="L15" i="8"/>
  <c r="N15" i="8" s="1"/>
  <c r="H15" i="8"/>
  <c r="J15" i="8" s="1"/>
  <c r="L14" i="8"/>
  <c r="N14" i="8" s="1"/>
  <c r="H14" i="8"/>
  <c r="J14" i="8" s="1"/>
  <c r="L13" i="8"/>
  <c r="N13" i="8" s="1"/>
  <c r="H13" i="8"/>
  <c r="J13" i="8" s="1"/>
  <c r="H2" i="8"/>
  <c r="J2" i="8" s="1"/>
  <c r="L7" i="8"/>
  <c r="N7" i="8" s="1"/>
  <c r="H7" i="8"/>
  <c r="J7" i="8" s="1"/>
  <c r="L3" i="8"/>
  <c r="N3" i="8" s="1"/>
  <c r="H3" i="8"/>
  <c r="J3" i="8" s="1"/>
  <c r="L6" i="8"/>
  <c r="N6" i="8" s="1"/>
  <c r="H6" i="8"/>
  <c r="J6" i="8" s="1"/>
  <c r="D8" i="3"/>
  <c r="Q8" i="3" s="1"/>
  <c r="U8" i="3" s="1"/>
  <c r="V8" i="3" s="1"/>
  <c r="D4" i="3"/>
  <c r="Q4" i="3" s="1"/>
  <c r="U4" i="3" s="1"/>
  <c r="V4" i="3" s="1"/>
  <c r="E2" i="3"/>
  <c r="D10" i="3"/>
  <c r="Q10" i="3" s="1"/>
  <c r="U10" i="3" s="1"/>
  <c r="V10" i="3" s="1"/>
  <c r="D6" i="3"/>
  <c r="Q6" i="3" s="1"/>
  <c r="U6" i="3" s="1"/>
  <c r="V6" i="3" s="1"/>
  <c r="E9" i="3"/>
  <c r="E5" i="3"/>
  <c r="F12" i="3"/>
  <c r="H12" i="3" s="1"/>
  <c r="D9" i="3"/>
  <c r="Q9" i="3" s="1"/>
  <c r="U9" i="3" s="1"/>
  <c r="V9" i="3" s="1"/>
  <c r="D5" i="3"/>
  <c r="Q5" i="3" s="1"/>
  <c r="U5" i="3" s="1"/>
  <c r="V5" i="3" s="1"/>
  <c r="E7" i="3"/>
  <c r="E3" i="3"/>
  <c r="F13" i="3"/>
  <c r="H13" i="3" s="1"/>
  <c r="F11" i="3"/>
  <c r="H11" i="3" s="1"/>
  <c r="F7" i="3"/>
  <c r="H7" i="3" s="1"/>
  <c r="F3" i="3"/>
  <c r="H3" i="3" s="1"/>
  <c r="E11" i="3"/>
  <c r="E13" i="3"/>
  <c r="E12" i="3"/>
  <c r="AA3" i="3"/>
  <c r="J2" i="3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K3" i="3" l="1"/>
  <c r="K7" i="3"/>
  <c r="R5" i="3"/>
  <c r="R4" i="3"/>
  <c r="R13" i="3"/>
  <c r="R11" i="3"/>
  <c r="R9" i="3"/>
  <c r="R6" i="3"/>
  <c r="R8" i="3"/>
  <c r="R10" i="3"/>
  <c r="R12" i="3"/>
  <c r="R7" i="3"/>
  <c r="F4" i="3"/>
  <c r="H4" i="3" s="1"/>
  <c r="I4" i="3" s="1"/>
  <c r="L4" i="3" s="1"/>
  <c r="F6" i="3"/>
  <c r="H6" i="3" s="1"/>
  <c r="K6" i="3"/>
  <c r="K2" i="3"/>
  <c r="K5" i="3"/>
  <c r="K4" i="3"/>
  <c r="F5" i="3"/>
  <c r="H5" i="3" s="1"/>
  <c r="I5" i="3" s="1"/>
  <c r="L5" i="3" s="1"/>
  <c r="F9" i="3"/>
  <c r="H9" i="3" s="1"/>
  <c r="K9" i="3"/>
  <c r="K10" i="3"/>
  <c r="F8" i="3"/>
  <c r="H8" i="3" s="1"/>
  <c r="I8" i="3" s="1"/>
  <c r="L8" i="3" s="1"/>
  <c r="K8" i="3"/>
  <c r="O3" i="8"/>
  <c r="N2" i="8"/>
  <c r="O2" i="8" s="1"/>
  <c r="O14" i="8"/>
  <c r="O5" i="8"/>
  <c r="O11" i="8"/>
  <c r="O4" i="8"/>
  <c r="O12" i="8"/>
  <c r="O10" i="8"/>
  <c r="F10" i="3"/>
  <c r="H10" i="3" s="1"/>
  <c r="I10" i="3" s="1"/>
  <c r="L10" i="3" s="1"/>
  <c r="O6" i="8"/>
  <c r="O7" i="8"/>
  <c r="O13" i="8"/>
  <c r="O15" i="8"/>
  <c r="O9" i="8"/>
  <c r="O8" i="8"/>
  <c r="O16" i="8"/>
  <c r="I6" i="3"/>
  <c r="L6" i="3" s="1"/>
  <c r="W6" i="3"/>
  <c r="I9" i="3"/>
  <c r="W9" i="3"/>
  <c r="I12" i="3"/>
  <c r="L12" i="3" s="1"/>
  <c r="M12" i="3" s="1"/>
  <c r="O12" i="3" s="1"/>
  <c r="W12" i="3"/>
  <c r="I3" i="3"/>
  <c r="W3" i="3"/>
  <c r="I7" i="3"/>
  <c r="L7" i="3" s="1"/>
  <c r="W7" i="3"/>
  <c r="I11" i="3"/>
  <c r="L11" i="3" s="1"/>
  <c r="M11" i="3" s="1"/>
  <c r="O11" i="3" s="1"/>
  <c r="W11" i="3"/>
  <c r="I13" i="3"/>
  <c r="L13" i="3" s="1"/>
  <c r="M13" i="3" s="1"/>
  <c r="O13" i="3" s="1"/>
  <c r="W13" i="3"/>
  <c r="I2" i="3"/>
  <c r="L2" i="3" s="1"/>
  <c r="N2" i="3" s="1"/>
  <c r="P2" i="3" s="1"/>
  <c r="W2" i="3"/>
  <c r="J13" i="3"/>
  <c r="J7" i="3"/>
  <c r="J9" i="3"/>
  <c r="J6" i="3"/>
  <c r="J11" i="3"/>
  <c r="J4" i="3"/>
  <c r="J10" i="3"/>
  <c r="J8" i="3"/>
  <c r="J5" i="3"/>
  <c r="J12" i="3"/>
  <c r="J3" i="3"/>
  <c r="M6" i="3" l="1"/>
  <c r="O6" i="3" s="1"/>
  <c r="S6" i="3" s="1"/>
  <c r="N5" i="3"/>
  <c r="P5" i="3" s="1"/>
  <c r="T5" i="3" s="1"/>
  <c r="N11" i="3"/>
  <c r="P11" i="3" s="1"/>
  <c r="T11" i="3" s="1"/>
  <c r="M7" i="3"/>
  <c r="O7" i="3" s="1"/>
  <c r="S7" i="3" s="1"/>
  <c r="N13" i="3"/>
  <c r="P13" i="3" s="1"/>
  <c r="T13" i="3" s="1"/>
  <c r="N8" i="3"/>
  <c r="P8" i="3" s="1"/>
  <c r="T8" i="3" s="1"/>
  <c r="N6" i="3"/>
  <c r="P6" i="3" s="1"/>
  <c r="T6" i="3" s="1"/>
  <c r="M10" i="3"/>
  <c r="O10" i="3" s="1"/>
  <c r="S10" i="3" s="1"/>
  <c r="T2" i="3"/>
  <c r="M4" i="3"/>
  <c r="O4" i="3" s="1"/>
  <c r="S4" i="3" s="1"/>
  <c r="N10" i="3"/>
  <c r="P10" i="3" s="1"/>
  <c r="T10" i="3" s="1"/>
  <c r="W4" i="3"/>
  <c r="W10" i="3"/>
  <c r="W8" i="3"/>
  <c r="M5" i="3"/>
  <c r="O5" i="3" s="1"/>
  <c r="S5" i="3" s="1"/>
  <c r="N12" i="3"/>
  <c r="P12" i="3" s="1"/>
  <c r="N4" i="3"/>
  <c r="P4" i="3" s="1"/>
  <c r="T4" i="3" s="1"/>
  <c r="N7" i="3"/>
  <c r="P7" i="3" s="1"/>
  <c r="T7" i="3" s="1"/>
  <c r="L3" i="3"/>
  <c r="M3" i="3" s="1"/>
  <c r="O3" i="3" s="1"/>
  <c r="S3" i="3" s="1"/>
  <c r="M8" i="3"/>
  <c r="O8" i="3" s="1"/>
  <c r="S8" i="3" s="1"/>
  <c r="M2" i="3"/>
  <c r="O2" i="3" s="1"/>
  <c r="S2" i="3" s="1"/>
  <c r="L9" i="3"/>
  <c r="M9" i="3" s="1"/>
  <c r="O9" i="3" s="1"/>
  <c r="S9" i="3" s="1"/>
  <c r="W5" i="3"/>
  <c r="S12" i="3"/>
  <c r="N3" i="3" l="1"/>
  <c r="P3" i="3" s="1"/>
  <c r="T3" i="3" s="1"/>
  <c r="S11" i="3"/>
  <c r="T12" i="3"/>
  <c r="X12" i="3" s="1"/>
  <c r="S13" i="3"/>
  <c r="X4" i="3"/>
  <c r="N9" i="3"/>
  <c r="P9" i="3" s="1"/>
  <c r="T9" i="3" s="1"/>
  <c r="X6" i="3"/>
  <c r="X2" i="3"/>
  <c r="X5" i="3"/>
  <c r="X10" i="3"/>
  <c r="X8" i="3"/>
  <c r="X7" i="3"/>
  <c r="X11" i="3"/>
  <c r="X13" i="3"/>
  <c r="X3" i="3" l="1"/>
  <c r="X9" i="3"/>
</calcChain>
</file>

<file path=xl/comments1.xml><?xml version="1.0" encoding="utf-8"?>
<comments xmlns="http://schemas.openxmlformats.org/spreadsheetml/2006/main">
  <authors>
    <author>Eric Gustafson</author>
  </authors>
  <commentList>
    <comment ref="AB12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>
  <authors>
    <author>Eric Gustafson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sharedStrings.xml><?xml version="1.0" encoding="utf-8"?>
<sst xmlns="http://schemas.openxmlformats.org/spreadsheetml/2006/main" count="274" uniqueCount="194">
  <si>
    <t>O3 (ppb)</t>
  </si>
  <si>
    <t>Shape parameter</t>
  </si>
  <si>
    <t>Lethal dose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</si>
  <si>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</si>
  <si>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</si>
  <si>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</si>
  <si>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</si>
  <si>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</si>
  <si>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</si>
  <si>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</si>
  <si>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</si>
  <si>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</si>
  <si>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</si>
  <si>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</si>
  <si>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</si>
  <si>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</si>
  <si>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</si>
  <si>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</si>
  <si>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</si>
  <si>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</si>
  <si>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</si>
  <si>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</si>
  <si>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</si>
  <si>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</si>
  <si>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</si>
  <si>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</si>
  <si>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fol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</si>
  <si>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</si>
  <si>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</si>
  <si>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</si>
  <si>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</si>
  <si>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</si>
  <si>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</si>
  <si>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</si>
  <si>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</si>
  <si>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</si>
  <si>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</si>
  <si>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</si>
  <si>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</si>
  <si>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</si>
  <si>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</si>
  <si>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</si>
  <si>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</si>
  <si>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</si>
  <si>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</si>
  <si>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</si>
  <si>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</si>
  <si>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</si>
  <si>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</si>
  <si>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</si>
  <si>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</si>
  <si>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</si>
  <si>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</si>
  <si>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</si>
  <si>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</si>
  <si>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</si>
  <si>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</si>
  <si>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</si>
  <si>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</si>
  <si>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</si>
  <si>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</si>
  <si>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</si>
  <si>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</si>
  <si>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</si>
  <si>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</si>
  <si>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</si>
  <si>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</si>
  <si>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</si>
  <si>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</si>
  <si>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</si>
  <si>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</si>
  <si>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</si>
  <si>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</si>
  <si>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</si>
  <si>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</si>
  <si>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</si>
  <si>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</si>
  <si>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</si>
  <si>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</si>
  <si>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</si>
  <si>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</si>
  <si>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</si>
  <si>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</si>
  <si>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</si>
  <si>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</si>
  <si>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</si>
  <si>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</si>
  <si>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</si>
  <si>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</si>
  <si>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</si>
  <si>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</si>
  <si>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</si>
  <si>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</si>
  <si>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</si>
  <si>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</si>
  <si>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</si>
  <si>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</si>
  <si>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</si>
  <si>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</si>
  <si>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</si>
  <si>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</si>
  <si>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</si>
  <si>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</si>
  <si>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</si>
  <si>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</si>
  <si>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</si>
  <si>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</si>
  <si>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</si>
  <si>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</si>
  <si>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</si>
  <si>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</si>
  <si>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</si>
  <si>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</si>
  <si>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</si>
  <si>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</si>
  <si>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</si>
  <si>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</si>
  <si>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</si>
  <si>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</si>
  <si>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</si>
  <si>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</si>
  <si>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</si>
  <si>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</si>
  <si>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</si>
  <si>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</si>
  <si>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</si>
  <si>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</si>
  <si>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</si>
  <si>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</si>
  <si>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>&lt;==Topt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</si>
  <si>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</si>
  <si>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</si>
  <si>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</si>
  <si>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</si>
  <si>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</si>
  <si>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</si>
  <si>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</si>
  <si>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</si>
  <si>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</si>
  <si>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</si>
  <si>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</si>
  <si>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</si>
  <si>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</si>
  <si>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</si>
  <si>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</si>
  <si>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</si>
  <si>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</si>
  <si>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</si>
  <si>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</si>
  <si>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</si>
  <si>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</si>
  <si>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</si>
  <si>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</si>
  <si>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</si>
  <si>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</si>
  <si>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</si>
  <si>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</si>
  <si>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</si>
  <si>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</si>
  <si>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EstModifier</t>
  </si>
  <si>
    <t>Timestep</t>
  </si>
  <si>
    <t>Unmodified</t>
  </si>
  <si>
    <t>Modified</t>
  </si>
  <si>
    <t>Modified-Pest</t>
  </si>
  <si>
    <t>UnModified-Pest</t>
  </si>
  <si>
    <t>Red. Factor</t>
  </si>
  <si>
    <t>modified red. factor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</si>
  <si>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</si>
  <si>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</si>
  <si>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</si>
  <si>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</si>
  <si>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</si>
  <si>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</si>
  <si>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</si>
  <si>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</si>
  <si>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</si>
  <si>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</si>
  <si>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Computed value</t>
  </si>
  <si>
    <t>No Wythers-Bfol</t>
  </si>
  <si>
    <t>Wythers-Bfol</t>
  </si>
  <si>
    <t>Wythers Q10</t>
  </si>
  <si>
    <t>NoWythers Q10</t>
  </si>
  <si>
    <t>Ozone modifier (dO3)</t>
  </si>
  <si>
    <t>Net Psn</t>
  </si>
  <si>
    <t>Optimal Psn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</si>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</sst>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6" xfId="0" applyFill="1" applyBorder="1"/>
    <xf numFmtId="0" fontId="0" fillId="0" borderId="6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7" xfId="0" applyFont="1" applyBorder="1"/>
    <xf numFmtId="0" fontId="0" fillId="0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3" borderId="4" xfId="0" applyFill="1" applyBorder="1"/>
    <xf numFmtId="0" fontId="0" fillId="0" borderId="8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8" fillId="3" borderId="0" xfId="0" applyFont="1" applyFill="1" applyBorder="1"/>
    <xf numFmtId="0" fontId="8" fillId="3" borderId="6" xfId="0" applyFont="1" applyFill="1" applyBorder="1"/>
    <xf numFmtId="0" fontId="7" fillId="0" borderId="9" xfId="0" applyFont="1" applyBorder="1"/>
    <xf numFmtId="0" fontId="0" fillId="0" borderId="8" xfId="0" applyFill="1" applyBorder="1"/>
    <xf numFmtId="0" fontId="0" fillId="3" borderId="8" xfId="0" applyFill="1" applyBorder="1"/>
    <xf numFmtId="0" fontId="0" fillId="6" borderId="8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0.6603266855261245</c:v>
                </c:pt>
                <c:pt idx="2">
                  <c:v>1.5220020447640326</c:v>
                </c:pt>
                <c:pt idx="3">
                  <c:v>2.069536634772331</c:v>
                </c:pt>
                <c:pt idx="4">
                  <c:v>2.2817974235194201</c:v>
                </c:pt>
                <c:pt idx="5">
                  <c:v>2.1420935290853733</c:v>
                </c:pt>
                <c:pt idx="6">
                  <c:v>1.6593868398662139</c:v>
                </c:pt>
                <c:pt idx="7">
                  <c:v>0.91367050629585933</c:v>
                </c:pt>
                <c:pt idx="8">
                  <c:v>0.14317563237710493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0.72519580097727487</c:v>
                </c:pt>
                <c:pt idx="2">
                  <c:v>1.6714041752959881</c:v>
                </c:pt>
                <c:pt idx="3">
                  <c:v>2.2764902982495636</c:v>
                </c:pt>
                <c:pt idx="4">
                  <c:v>2.509977165871363</c:v>
                </c:pt>
                <c:pt idx="5">
                  <c:v>2.3563028819939107</c:v>
                </c:pt>
                <c:pt idx="6">
                  <c:v>1.8253255238528354</c:v>
                </c:pt>
                <c:pt idx="7">
                  <c:v>1.0050375569254451</c:v>
                </c:pt>
                <c:pt idx="8">
                  <c:v>0.15749319561481545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24040"/>
        <c:axId val="349719728"/>
      </c:lineChart>
      <c:catAx>
        <c:axId val="34972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49719728"/>
        <c:crosses val="autoZero"/>
        <c:auto val="1"/>
        <c:lblAlgn val="ctr"/>
        <c:lblOffset val="100"/>
        <c:noMultiLvlLbl val="0"/>
      </c:catAx>
      <c:valAx>
        <c:axId val="34971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97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DTemp!$V$1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DTemp!$V$2:$V$13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1.3492720303644898</c:v>
                </c:pt>
                <c:pt idx="2">
                  <c:v>1.9081588046721443</c:v>
                </c:pt>
                <c:pt idx="3">
                  <c:v>2.6985440607289797</c:v>
                </c:pt>
                <c:pt idx="4">
                  <c:v>3.8163176093442885</c:v>
                </c:pt>
                <c:pt idx="5">
                  <c:v>5.3970881214579594</c:v>
                </c:pt>
                <c:pt idx="6">
                  <c:v>7.6326352186885771</c:v>
                </c:pt>
                <c:pt idx="7">
                  <c:v>10.794176242915919</c:v>
                </c:pt>
                <c:pt idx="8">
                  <c:v>15.265270437377154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13200"/>
        <c:axId val="349114376"/>
      </c:lineChart>
      <c:catAx>
        <c:axId val="3491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4376"/>
        <c:crosses val="autoZero"/>
        <c:auto val="1"/>
        <c:lblAlgn val="ctr"/>
        <c:lblOffset val="100"/>
        <c:noMultiLvlLbl val="0"/>
      </c:catAx>
      <c:valAx>
        <c:axId val="34911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DTemp!$O$1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DTemp!$O$2:$O$13</c:f>
              <c:numCache>
                <c:formatCode>General</c:formatCode>
                <c:ptCount val="12"/>
                <c:pt idx="0">
                  <c:v>0</c:v>
                </c:pt>
                <c:pt idx="1">
                  <c:v>8.6790800556289511</c:v>
                </c:pt>
                <c:pt idx="2">
                  <c:v>14.896595013127973</c:v>
                </c:pt>
                <c:pt idx="3">
                  <c:v>18.520072192029389</c:v>
                </c:pt>
                <c:pt idx="4">
                  <c:v>19.402505512568759</c:v>
                </c:pt>
                <c:pt idx="5">
                  <c:v>17.795983973062672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DTemp!$P$1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8.6790800556289511</c:v>
                </c:pt>
                <c:pt idx="2">
                  <c:v>14.896595013127973</c:v>
                </c:pt>
                <c:pt idx="3">
                  <c:v>18.520072192029389</c:v>
                </c:pt>
                <c:pt idx="4">
                  <c:v>19.402505512568759</c:v>
                </c:pt>
                <c:pt idx="5">
                  <c:v>17.465066915712335</c:v>
                </c:pt>
                <c:pt idx="6">
                  <c:v>12.897462199121927</c:v>
                </c:pt>
                <c:pt idx="7">
                  <c:v>6.573230783432443</c:v>
                </c:pt>
                <c:pt idx="8">
                  <c:v>0.83298962341503313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21944"/>
        <c:axId val="349219984"/>
      </c:lineChart>
      <c:catAx>
        <c:axId val="34922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19984"/>
        <c:crosses val="autoZero"/>
        <c:auto val="1"/>
        <c:lblAlgn val="ctr"/>
        <c:lblOffset val="100"/>
        <c:noMultiLvlLbl val="0"/>
      </c:catAx>
      <c:valAx>
        <c:axId val="3492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25080"/>
        <c:axId val="349226256"/>
      </c:lineChart>
      <c:catAx>
        <c:axId val="34922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26256"/>
        <c:crosses val="autoZero"/>
        <c:auto val="1"/>
        <c:lblAlgn val="ctr"/>
        <c:lblOffset val="100"/>
        <c:noMultiLvlLbl val="0"/>
      </c:catAx>
      <c:valAx>
        <c:axId val="3492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2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effects'!$L$1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207.12989865018963</c:v>
                </c:pt>
                <c:pt idx="1">
                  <c:v>241.60000000000002</c:v>
                </c:pt>
                <c:pt idx="2">
                  <c:v>270.65471657490855</c:v>
                </c:pt>
                <c:pt idx="3">
                  <c:v>295.47727050749347</c:v>
                </c:pt>
                <c:pt idx="4">
                  <c:v>316.92958394155744</c:v>
                </c:pt>
                <c:pt idx="5">
                  <c:v>335.65440589423127</c:v>
                </c:pt>
                <c:pt idx="6">
                  <c:v>352.14081358021332</c:v>
                </c:pt>
                <c:pt idx="7">
                  <c:v>366.76754801078789</c:v>
                </c:pt>
                <c:pt idx="8">
                  <c:v>379.83246771572067</c:v>
                </c:pt>
                <c:pt idx="9">
                  <c:v>391.57304562597113</c:v>
                </c:pt>
                <c:pt idx="10">
                  <c:v>402.18093355326948</c:v>
                </c:pt>
                <c:pt idx="11">
                  <c:v>411.81250526477015</c:v>
                </c:pt>
                <c:pt idx="12">
                  <c:v>420.5966165731931</c:v>
                </c:pt>
                <c:pt idx="13">
                  <c:v>428.64040336679841</c:v>
                </c:pt>
                <c:pt idx="14">
                  <c:v>436.03367294432445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87904"/>
        <c:axId val="287389864"/>
      </c:scatterChart>
      <c:valAx>
        <c:axId val="2873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89864"/>
        <c:crosses val="autoZero"/>
        <c:crossBetween val="midCat"/>
      </c:valAx>
      <c:valAx>
        <c:axId val="28738986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8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5.735618077215686</c:v>
                </c:pt>
                <c:pt idx="1">
                  <c:v>5.7368421052631584</c:v>
                </c:pt>
                <c:pt idx="2">
                  <c:v>5.8502758815502141</c:v>
                </c:pt>
                <c:pt idx="3">
                  <c:v>6.0166638250547617</c:v>
                </c:pt>
                <c:pt idx="4">
                  <c:v>6.2057931215709248</c:v>
                </c:pt>
                <c:pt idx="5">
                  <c:v>6.4017492692793958</c:v>
                </c:pt>
                <c:pt idx="6">
                  <c:v>6.5960511654448641</c:v>
                </c:pt>
                <c:pt idx="7">
                  <c:v>6.7842380229604418</c:v>
                </c:pt>
                <c:pt idx="8">
                  <c:v>6.964083850970118</c:v>
                </c:pt>
                <c:pt idx="9">
                  <c:v>7.1346253948440816</c:v>
                </c:pt>
                <c:pt idx="10">
                  <c:v>7.2956162276007452</c:v>
                </c:pt>
                <c:pt idx="11">
                  <c:v>7.4472128339832029</c:v>
                </c:pt>
                <c:pt idx="12">
                  <c:v>7.5897910319441255</c:v>
                </c:pt>
                <c:pt idx="13">
                  <c:v>7.7238375308553877</c:v>
                </c:pt>
                <c:pt idx="14">
                  <c:v>7.8498857130476702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90648"/>
        <c:axId val="287390256"/>
      </c:scatterChart>
      <c:valAx>
        <c:axId val="28739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90256"/>
        <c:crosses val="autoZero"/>
        <c:crossBetween val="midCat"/>
      </c:valAx>
      <c:valAx>
        <c:axId val="2873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9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effects'!$H$1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1.0002133626871741</c:v>
                </c:pt>
                <c:pt idx="1">
                  <c:v>1</c:v>
                </c:pt>
                <c:pt idx="2">
                  <c:v>0.9802271399132656</c:v>
                </c:pt>
                <c:pt idx="3">
                  <c:v>0.95122373691705986</c:v>
                </c:pt>
                <c:pt idx="4">
                  <c:v>0.91825624486378399</c:v>
                </c:pt>
                <c:pt idx="5">
                  <c:v>0.88409875122652737</c:v>
                </c:pt>
                <c:pt idx="6">
                  <c:v>0.85022961336282199</c:v>
                </c:pt>
                <c:pt idx="7">
                  <c:v>0.81742639966744612</c:v>
                </c:pt>
                <c:pt idx="8">
                  <c:v>0.78607712689511722</c:v>
                </c:pt>
                <c:pt idx="9">
                  <c:v>0.75634970181616934</c:v>
                </c:pt>
                <c:pt idx="10">
                  <c:v>0.72828707959253058</c:v>
                </c:pt>
                <c:pt idx="11">
                  <c:v>0.7018619830671482</c:v>
                </c:pt>
                <c:pt idx="12">
                  <c:v>0.67700890268863878</c:v>
                </c:pt>
                <c:pt idx="13">
                  <c:v>0.65364299920869395</c:v>
                </c:pt>
                <c:pt idx="14">
                  <c:v>0.63167129772563557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89472"/>
        <c:axId val="287389080"/>
      </c:scatterChart>
      <c:valAx>
        <c:axId val="2873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89080"/>
        <c:crosses val="autoZero"/>
        <c:crossBetween val="midCat"/>
      </c:valAx>
      <c:valAx>
        <c:axId val="28738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8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0.85732573944614909</c:v>
                </c:pt>
                <c:pt idx="1">
                  <c:v>1</c:v>
                </c:pt>
                <c:pt idx="2">
                  <c:v>1.1202595884723034</c:v>
                </c:pt>
                <c:pt idx="3">
                  <c:v>1.2230019474647909</c:v>
                </c:pt>
                <c:pt idx="4">
                  <c:v>1.3117946355196912</c:v>
                </c:pt>
                <c:pt idx="5">
                  <c:v>1.3892980376416857</c:v>
                </c:pt>
                <c:pt idx="6">
                  <c:v>1.4575364800505517</c:v>
                </c:pt>
                <c:pt idx="7">
                  <c:v>1.5180775993824001</c:v>
                </c:pt>
                <c:pt idx="8">
                  <c:v>1.5721542537902344</c:v>
                </c:pt>
                <c:pt idx="9">
                  <c:v>1.6207493610346486</c:v>
                </c:pt>
                <c:pt idx="10">
                  <c:v>1.6646561819257841</c:v>
                </c:pt>
                <c:pt idx="11">
                  <c:v>1.7045219588773597</c:v>
                </c:pt>
                <c:pt idx="12">
                  <c:v>1.7408800354850706</c:v>
                </c:pt>
                <c:pt idx="13">
                  <c:v>1.7741738549950263</c:v>
                </c:pt>
                <c:pt idx="14">
                  <c:v>1.8047751363589586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71640"/>
        <c:axId val="348170856"/>
      </c:scatterChart>
      <c:valAx>
        <c:axId val="34817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70856"/>
        <c:crosses val="autoZero"/>
        <c:crossBetween val="midCat"/>
      </c:valAx>
      <c:valAx>
        <c:axId val="348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7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2.8598292543496546</c:v>
                </c:pt>
                <c:pt idx="1">
                  <c:v>3.3357557376</c:v>
                </c:pt>
                <c:pt idx="2">
                  <c:v>3.736912349847902</c:v>
                </c:pt>
                <c:pt idx="3">
                  <c:v>4.0796357633516491</c:v>
                </c:pt>
                <c:pt idx="4">
                  <c:v>4.375826481987712</c:v>
                </c:pt>
                <c:pt idx="5">
                  <c:v>4.6343589002996737</c:v>
                </c:pt>
                <c:pt idx="6">
                  <c:v>4.8619856760899358</c:v>
                </c:pt>
                <c:pt idx="7">
                  <c:v>5.0639360622618765</c:v>
                </c:pt>
                <c:pt idx="8">
                  <c:v>5.2443225724730214</c:v>
                </c:pt>
                <c:pt idx="9">
                  <c:v>5.4064239802828631</c:v>
                </c:pt>
                <c:pt idx="10">
                  <c:v>5.5528864099902444</c:v>
                </c:pt>
                <c:pt idx="11">
                  <c:v>5.6858689041903441</c:v>
                </c:pt>
                <c:pt idx="12">
                  <c:v>5.8071505668426173</c:v>
                </c:pt>
                <c:pt idx="13">
                  <c:v>5.9182106162995698</c:v>
                </c:pt>
                <c:pt idx="14">
                  <c:v>6.0202890161872196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8896"/>
        <c:axId val="348168504"/>
      </c:scatterChart>
      <c:valAx>
        <c:axId val="3481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8504"/>
        <c:crosses val="autoZero"/>
        <c:crossBetween val="midCat"/>
      </c:valAx>
      <c:valAx>
        <c:axId val="3481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25.589788315481776</c:v>
                </c:pt>
                <c:pt idx="1">
                  <c:v>25.584328409482566</c:v>
                </c:pt>
                <c:pt idx="2">
                  <c:v>25.088261720660576</c:v>
                </c:pt>
                <c:pt idx="3">
                  <c:v>24.394457912573184</c:v>
                </c:pt>
                <c:pt idx="4">
                  <c:v>23.651006338613826</c:v>
                </c:pt>
                <c:pt idx="5">
                  <c:v>22.927054197316497</c:v>
                </c:pt>
                <c:pt idx="6">
                  <c:v>22.25168495103707</c:v>
                </c:pt>
                <c:pt idx="7">
                  <c:v>21.634449138969408</c:v>
                </c:pt>
                <c:pt idx="8">
                  <c:v>21.075744576790822</c:v>
                </c:pt>
                <c:pt idx="9">
                  <c:v>20.571963394247351</c:v>
                </c:pt>
                <c:pt idx="10">
                  <c:v>20.118006193791835</c:v>
                </c:pt>
                <c:pt idx="11">
                  <c:v>19.708480974874615</c:v>
                </c:pt>
                <c:pt idx="12">
                  <c:v>19.338246841929728</c:v>
                </c:pt>
                <c:pt idx="13">
                  <c:v>19.002633324181971</c:v>
                </c:pt>
                <c:pt idx="14">
                  <c:v>18.697501826101899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9680"/>
        <c:axId val="347911112"/>
      </c:scatterChart>
      <c:valAx>
        <c:axId val="34816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1112"/>
        <c:crosses val="autoZero"/>
        <c:crossBetween val="midCat"/>
      </c:valAx>
      <c:valAx>
        <c:axId val="3479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Pest!$C$3</c:f>
              <c:strCache>
                <c:ptCount val="1"/>
                <c:pt idx="0">
                  <c:v>modified red.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Pest!$D$4:$D$14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Pest!$C$4:$C$14</c:f>
              <c:numCache>
                <c:formatCode>General</c:formatCode>
                <c:ptCount val="11"/>
                <c:pt idx="0">
                  <c:v>0</c:v>
                </c:pt>
                <c:pt idx="1">
                  <c:v>2.5118864315095799E-3</c:v>
                </c:pt>
                <c:pt idx="2">
                  <c:v>1.5229231509727031E-2</c:v>
                </c:pt>
                <c:pt idx="3">
                  <c:v>4.370340373471833E-2</c:v>
                </c:pt>
                <c:pt idx="4">
                  <c:v>9.233279397806167E-2</c:v>
                </c:pt>
                <c:pt idx="5">
                  <c:v>0.16493848884661177</c:v>
                </c:pt>
                <c:pt idx="6">
                  <c:v>0.26496789221441996</c:v>
                </c:pt>
                <c:pt idx="7">
                  <c:v>0.39559874396917555</c:v>
                </c:pt>
                <c:pt idx="8">
                  <c:v>0.55980138185895845</c:v>
                </c:pt>
                <c:pt idx="9">
                  <c:v>0.7603797186212512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47912288"/>
        <c:axId val="347910720"/>
      </c:lineChart>
      <c:catAx>
        <c:axId val="3479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Psn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0720"/>
        <c:crosses val="autoZero"/>
        <c:auto val="1"/>
        <c:lblAlgn val="ctr"/>
        <c:lblOffset val="100"/>
        <c:noMultiLvlLbl val="0"/>
      </c:catAx>
      <c:valAx>
        <c:axId val="34791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9.2445735973657435</c:v>
                </c:pt>
                <c:pt idx="2">
                  <c:v>21.308028626696455</c:v>
                </c:pt>
                <c:pt idx="3">
                  <c:v>28.973512886812635</c:v>
                </c:pt>
                <c:pt idx="4">
                  <c:v>31.945163929271882</c:v>
                </c:pt>
                <c:pt idx="5">
                  <c:v>29.989309407195226</c:v>
                </c:pt>
                <c:pt idx="6">
                  <c:v>23.231415758126996</c:v>
                </c:pt>
                <c:pt idx="7">
                  <c:v>12.791387088142031</c:v>
                </c:pt>
                <c:pt idx="8">
                  <c:v>2.0044588532794689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-1.0519194228907485</c:v>
                </c:pt>
                <c:pt idx="1">
                  <c:v>8.665102499306073</c:v>
                </c:pt>
                <c:pt idx="2">
                  <c:v>21.295819608362336</c:v>
                </c:pt>
                <c:pt idx="3">
                  <c:v>28.895586746742342</c:v>
                </c:pt>
                <c:pt idx="4">
                  <c:v>30.932002630636092</c:v>
                </c:pt>
                <c:pt idx="5">
                  <c:v>27.037685490411647</c:v>
                </c:pt>
                <c:pt idx="6">
                  <c:v>17.139201950813707</c:v>
                </c:pt>
                <c:pt idx="7">
                  <c:v>2.1694160819500272</c:v>
                </c:pt>
                <c:pt idx="8">
                  <c:v>-14.625806027644556</c:v>
                </c:pt>
                <c:pt idx="9">
                  <c:v>-23.802219430012407</c:v>
                </c:pt>
                <c:pt idx="10">
                  <c:v>-33.661421532503944</c:v>
                </c:pt>
                <c:pt idx="11">
                  <c:v>-47.604438860024814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17376"/>
        <c:axId val="349723648"/>
      </c:lineChart>
      <c:catAx>
        <c:axId val="3497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49723648"/>
        <c:crosses val="autoZero"/>
        <c:auto val="1"/>
        <c:lblAlgn val="ctr"/>
        <c:lblOffset val="100"/>
        <c:noMultiLvlLbl val="0"/>
      </c:catAx>
      <c:valAx>
        <c:axId val="34972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97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of establishment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Pest!$F$3</c:f>
              <c:strCache>
                <c:ptCount val="1"/>
                <c:pt idx="0">
                  <c:v>Modified-Pest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Pest!$D$4:$D$14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Pest!$F$4:$F$14</c:f>
              <c:numCache>
                <c:formatCode>General</c:formatCode>
                <c:ptCount val="11"/>
                <c:pt idx="0">
                  <c:v>0</c:v>
                </c:pt>
                <c:pt idx="1">
                  <c:v>6.3095734448292973E-6</c:v>
                </c:pt>
                <c:pt idx="2">
                  <c:v>2.3192949237682559E-4</c:v>
                </c:pt>
                <c:pt idx="3">
                  <c:v>1.9099874979997544E-3</c:v>
                </c:pt>
                <c:pt idx="4">
                  <c:v>8.5253448437951906E-3</c:v>
                </c:pt>
                <c:pt idx="5">
                  <c:v>2.7204705103003879E-2</c:v>
                </c:pt>
                <c:pt idx="6">
                  <c:v>7.0207983904552518E-2</c:v>
                </c:pt>
                <c:pt idx="7">
                  <c:v>0.15649836622998925</c:v>
                </c:pt>
                <c:pt idx="8">
                  <c:v>0.31337758713119945</c:v>
                </c:pt>
                <c:pt idx="9">
                  <c:v>0.57817731649053317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Pest!$G$3</c:f>
              <c:strCache>
                <c:ptCount val="1"/>
                <c:pt idx="0">
                  <c:v>UnModified-Pest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Pest!$D$4:$D$14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Pest!$G$4:$G$14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1.0000000000000009E-2</c:v>
                </c:pt>
                <c:pt idx="2">
                  <c:v>4.0000000000000036E-2</c:v>
                </c:pt>
                <c:pt idx="3">
                  <c:v>8.9999999999999969E-2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09936"/>
        <c:axId val="347913072"/>
      </c:lineChart>
      <c:catAx>
        <c:axId val="34790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Psn reduction factor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072"/>
        <c:crosses val="autoZero"/>
        <c:auto val="1"/>
        <c:lblAlgn val="ctr"/>
        <c:lblOffset val="100"/>
        <c:noMultiLvlLbl val="0"/>
      </c:catAx>
      <c:valAx>
        <c:axId val="347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Pest per time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Wythers!$J$10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Wythers!$J$11:$J$20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Wythers!$K$10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Wythers!$K$11:$K$20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77720"/>
        <c:axId val="158580072"/>
      </c:lineChart>
      <c:catAx>
        <c:axId val="15857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0072"/>
        <c:crosses val="autoZero"/>
        <c:auto val="1"/>
        <c:lblAlgn val="ctr"/>
        <c:lblOffset val="100"/>
        <c:noMultiLvlLbl val="0"/>
      </c:catAx>
      <c:valAx>
        <c:axId val="1585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Wythers!$D$10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Wythers!$D$11:$D$20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Wythers!$E$10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Wythers!$E$11:$E$20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79680"/>
        <c:axId val="158576544"/>
      </c:lineChart>
      <c:catAx>
        <c:axId val="1585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544"/>
        <c:crosses val="autoZero"/>
        <c:auto val="1"/>
        <c:lblAlgn val="ctr"/>
        <c:lblOffset val="100"/>
        <c:noMultiLvlLbl val="0"/>
      </c:catAx>
      <c:valAx>
        <c:axId val="158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Wythers!$L$10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Wythers!$L$11:$L$20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Wythers!$M$10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Wythers!$M$11:$M$20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24184"/>
        <c:axId val="347922616"/>
      </c:lineChart>
      <c:catAx>
        <c:axId val="34792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22616"/>
        <c:crosses val="autoZero"/>
        <c:auto val="1"/>
        <c:lblAlgn val="ctr"/>
        <c:lblOffset val="100"/>
        <c:noMultiLvlLbl val="0"/>
      </c:catAx>
      <c:valAx>
        <c:axId val="3479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Ozone!$C$1</c:f>
              <c:strCache>
                <c:ptCount val="1"/>
                <c:pt idx="0">
                  <c:v>Net 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Ozone!$A$2:$A$12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Ozone!$C$2:$C$12</c:f>
              <c:numCache>
                <c:formatCode>General</c:formatCode>
                <c:ptCount val="11"/>
                <c:pt idx="0">
                  <c:v>200</c:v>
                </c:pt>
                <c:pt idx="1">
                  <c:v>199.609375</c:v>
                </c:pt>
                <c:pt idx="2">
                  <c:v>196.875</c:v>
                </c:pt>
                <c:pt idx="3">
                  <c:v>189.453125</c:v>
                </c:pt>
                <c:pt idx="4">
                  <c:v>175</c:v>
                </c:pt>
                <c:pt idx="5">
                  <c:v>151.171875</c:v>
                </c:pt>
                <c:pt idx="6">
                  <c:v>115.625</c:v>
                </c:pt>
                <c:pt idx="7">
                  <c:v>66.015625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47924576"/>
        <c:axId val="347923400"/>
      </c:lineChart>
      <c:catAx>
        <c:axId val="34792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Ozone (ppb)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23400"/>
        <c:crosses val="autoZero"/>
        <c:auto val="1"/>
        <c:lblAlgn val="ctr"/>
        <c:lblOffset val="100"/>
        <c:noMultiLvlLbl val="0"/>
      </c:catAx>
      <c:valAx>
        <c:axId val="347923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Psn modifier</a:t>
            </a:r>
            <a:r>
              <a:rPr lang="en-US" baseline="0"/>
              <a:t> (dO3)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Ozone!$B$1</c:f>
              <c:strCache>
                <c:ptCount val="1"/>
                <c:pt idx="0">
                  <c:v>Ozone modifier (dO3)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Ozone!$A$2:$A$12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Ozone!$B$2:$B$12</c:f>
              <c:numCache>
                <c:formatCode>General</c:formatCode>
                <c:ptCount val="11"/>
                <c:pt idx="0">
                  <c:v>1</c:v>
                </c:pt>
                <c:pt idx="1">
                  <c:v>0.998046875</c:v>
                </c:pt>
                <c:pt idx="2">
                  <c:v>0.984375</c:v>
                </c:pt>
                <c:pt idx="3">
                  <c:v>0.947265625</c:v>
                </c:pt>
                <c:pt idx="4">
                  <c:v>0.875</c:v>
                </c:pt>
                <c:pt idx="5">
                  <c:v>0.755859375</c:v>
                </c:pt>
                <c:pt idx="6">
                  <c:v>0.578125</c:v>
                </c:pt>
                <c:pt idx="7">
                  <c:v>0.330078125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77937960"/>
        <c:axId val="277937176"/>
      </c:lineChart>
      <c:catAx>
        <c:axId val="27793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Ozone</a:t>
                </a:r>
                <a:r>
                  <a:rPr lang="en-US" sz="1050" baseline="0"/>
                  <a:t> (ppb)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37176"/>
        <c:crosses val="autoZero"/>
        <c:auto val="1"/>
        <c:lblAlgn val="ctr"/>
        <c:lblOffset val="100"/>
        <c:noMultiLvlLbl val="0"/>
      </c:catAx>
      <c:valAx>
        <c:axId val="2779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3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1.4025592305209982</c:v>
                </c:pt>
                <c:pt idx="2">
                  <c:v>1.9835182858343672</c:v>
                </c:pt>
                <c:pt idx="3">
                  <c:v>2.8051184610419964</c:v>
                </c:pt>
                <c:pt idx="4">
                  <c:v>3.9670365716687344</c:v>
                </c:pt>
                <c:pt idx="5">
                  <c:v>5.6102369220839927</c:v>
                </c:pt>
                <c:pt idx="6">
                  <c:v>7.9340731433374687</c:v>
                </c:pt>
                <c:pt idx="7">
                  <c:v>11.220473844167982</c:v>
                </c:pt>
                <c:pt idx="8">
                  <c:v>15.868146286674937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1.0519194228907485</c:v>
                </c:pt>
                <c:pt idx="1">
                  <c:v>1.4876387143757757</c:v>
                </c:pt>
                <c:pt idx="2">
                  <c:v>2.1038388457814965</c:v>
                </c:pt>
                <c:pt idx="3">
                  <c:v>2.9752774287515509</c:v>
                </c:pt>
                <c:pt idx="4">
                  <c:v>4.207677691562993</c:v>
                </c:pt>
                <c:pt idx="5">
                  <c:v>5.9505548575031018</c:v>
                </c:pt>
                <c:pt idx="6">
                  <c:v>8.415355383125986</c:v>
                </c:pt>
                <c:pt idx="7">
                  <c:v>11.901109715006204</c:v>
                </c:pt>
                <c:pt idx="8">
                  <c:v>16.830710766251972</c:v>
                </c:pt>
                <c:pt idx="9">
                  <c:v>23.802219430012407</c:v>
                </c:pt>
                <c:pt idx="10">
                  <c:v>33.661421532503944</c:v>
                </c:pt>
                <c:pt idx="11">
                  <c:v>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22472"/>
        <c:axId val="349718944"/>
      </c:lineChart>
      <c:catAx>
        <c:axId val="34972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49718944"/>
        <c:crosses val="autoZero"/>
        <c:auto val="1"/>
        <c:lblAlgn val="ctr"/>
        <c:lblOffset val="100"/>
        <c:noMultiLvlLbl val="0"/>
      </c:catAx>
      <c:valAx>
        <c:axId val="34971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97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10.647132827886741</c:v>
                </c:pt>
                <c:pt idx="2">
                  <c:v>23.291546912530823</c:v>
                </c:pt>
                <c:pt idx="3">
                  <c:v>31.778631347854631</c:v>
                </c:pt>
                <c:pt idx="4">
                  <c:v>35.912200500940614</c:v>
                </c:pt>
                <c:pt idx="5">
                  <c:v>35.599546329279221</c:v>
                </c:pt>
                <c:pt idx="6">
                  <c:v>31.165488901464464</c:v>
                </c:pt>
                <c:pt idx="7">
                  <c:v>24.011860932310015</c:v>
                </c:pt>
                <c:pt idx="8">
                  <c:v>17.872605139954405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10.152741213681848</c:v>
                </c:pt>
                <c:pt idx="2">
                  <c:v>23.399658454143832</c:v>
                </c:pt>
                <c:pt idx="3">
                  <c:v>31.870864175493892</c:v>
                </c:pt>
                <c:pt idx="4">
                  <c:v>35.139680322199084</c:v>
                </c:pt>
                <c:pt idx="5">
                  <c:v>32.988240347914747</c:v>
                </c:pt>
                <c:pt idx="6">
                  <c:v>25.554557333939695</c:v>
                </c:pt>
                <c:pt idx="7">
                  <c:v>14.070525796956231</c:v>
                </c:pt>
                <c:pt idx="8">
                  <c:v>2.2049047386074161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18160"/>
        <c:axId val="349717768"/>
      </c:lineChart>
      <c:catAx>
        <c:axId val="3497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49717768"/>
        <c:crosses val="autoZero"/>
        <c:auto val="1"/>
        <c:lblAlgn val="ctr"/>
        <c:lblOffset val="100"/>
        <c:noMultiLvlLbl val="0"/>
      </c:catAx>
      <c:valAx>
        <c:axId val="349717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971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0.12286808818273674</c:v>
                </c:pt>
                <c:pt idx="1">
                  <c:v>1.8407855242628399</c:v>
                </c:pt>
                <c:pt idx="2">
                  <c:v>5.5383418094084709</c:v>
                </c:pt>
                <c:pt idx="3">
                  <c:v>10.251491163083575</c:v>
                </c:pt>
                <c:pt idx="4">
                  <c:v>15.516003947429867</c:v>
                </c:pt>
                <c:pt idx="5">
                  <c:v>20.352259364031852</c:v>
                </c:pt>
                <c:pt idx="6">
                  <c:v>23.308836667362556</c:v>
                </c:pt>
                <c:pt idx="7">
                  <c:v>23.242375173493208</c:v>
                </c:pt>
                <c:pt idx="8">
                  <c:v>22.163633521530283</c:v>
                </c:pt>
                <c:pt idx="9">
                  <c:v>35.312235377968406</c:v>
                </c:pt>
                <c:pt idx="10">
                  <c:v>62.795522092282283</c:v>
                </c:pt>
                <c:pt idx="11">
                  <c:v>110.7131259336563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1.8338720701161906</c:v>
                </c:pt>
                <c:pt idx="2">
                  <c:v>5.7006104028715621</c:v>
                </c:pt>
                <c:pt idx="3">
                  <c:v>10.281244616186708</c:v>
                </c:pt>
                <c:pt idx="4">
                  <c:v>15.182233641638975</c:v>
                </c:pt>
                <c:pt idx="5">
                  <c:v>18.859375827820404</c:v>
                </c:pt>
                <c:pt idx="6">
                  <c:v>19.112390788631682</c:v>
                </c:pt>
                <c:pt idx="7">
                  <c:v>13.619620752555713</c:v>
                </c:pt>
                <c:pt idx="8">
                  <c:v>2.7342796527817743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21296"/>
        <c:axId val="349720904"/>
      </c:lineChart>
      <c:catAx>
        <c:axId val="3497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49720904"/>
        <c:crosses val="autoZero"/>
        <c:auto val="1"/>
        <c:lblAlgn val="ctr"/>
        <c:lblOffset val="100"/>
        <c:noMultiLvlLbl val="0"/>
      </c:catAx>
      <c:valAx>
        <c:axId val="34972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97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0.99793388429752061</c:v>
                </c:pt>
                <c:pt idx="6">
                  <c:v>0.92561983471074383</c:v>
                </c:pt>
                <c:pt idx="7">
                  <c:v>0.75</c:v>
                </c:pt>
                <c:pt idx="8">
                  <c:v>0.47107438016528924</c:v>
                </c:pt>
                <c:pt idx="9">
                  <c:v>8.8842975206611566E-2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13984"/>
        <c:axId val="349113592"/>
      </c:lineChart>
      <c:catAx>
        <c:axId val="3491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3592"/>
        <c:crosses val="autoZero"/>
        <c:auto val="1"/>
        <c:lblAlgn val="ctr"/>
        <c:lblOffset val="100"/>
        <c:noMultiLvlLbl val="0"/>
      </c:catAx>
      <c:valAx>
        <c:axId val="3491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'Amax A&amp;B worksheet'!$B$2:$B$7</c:f>
              <c:numCache>
                <c:formatCode>General</c:formatCode>
                <c:ptCount val="6"/>
                <c:pt idx="0">
                  <c:v>14</c:v>
                </c:pt>
                <c:pt idx="1">
                  <c:v>64</c:v>
                </c:pt>
                <c:pt idx="2">
                  <c:v>114</c:v>
                </c:pt>
                <c:pt idx="3">
                  <c:v>164</c:v>
                </c:pt>
                <c:pt idx="4">
                  <c:v>214</c:v>
                </c:pt>
                <c:pt idx="5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11240"/>
        <c:axId val="349111632"/>
      </c:lineChart>
      <c:catAx>
        <c:axId val="34911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1632"/>
        <c:crosses val="autoZero"/>
        <c:auto val="1"/>
        <c:lblAlgn val="ctr"/>
        <c:lblOffset val="100"/>
        <c:noMultiLvlLbl val="0"/>
      </c:catAx>
      <c:valAx>
        <c:axId val="349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0.40289256198347106</c:v>
                </c:pt>
                <c:pt idx="2">
                  <c:v>0.7024793388429752</c:v>
                </c:pt>
                <c:pt idx="3">
                  <c:v>0.89876033057851235</c:v>
                </c:pt>
                <c:pt idx="4">
                  <c:v>0.99173553719008267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DTemp!$J$1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0.40289256198347106</c:v>
                </c:pt>
                <c:pt idx="2">
                  <c:v>0.7024793388429752</c:v>
                </c:pt>
                <c:pt idx="3">
                  <c:v>0.89876033057851235</c:v>
                </c:pt>
                <c:pt idx="4">
                  <c:v>0.99173553719008267</c:v>
                </c:pt>
                <c:pt idx="5">
                  <c:v>0.98140495867768596</c:v>
                </c:pt>
                <c:pt idx="6">
                  <c:v>0.86776859504132231</c:v>
                </c:pt>
                <c:pt idx="7">
                  <c:v>0.65082644628099173</c:v>
                </c:pt>
                <c:pt idx="8">
                  <c:v>0.33057851239669422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12808"/>
        <c:axId val="349107320"/>
      </c:lineChart>
      <c:catAx>
        <c:axId val="34911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07320"/>
        <c:crosses val="autoZero"/>
        <c:auto val="1"/>
        <c:lblAlgn val="ctr"/>
        <c:lblOffset val="100"/>
        <c:noMultiLvlLbl val="0"/>
      </c:catAx>
      <c:valAx>
        <c:axId val="3491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DTemp!$S$1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DTemp!$S$2:$S$13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10.028352085993442</c:v>
                </c:pt>
                <c:pt idx="2">
                  <c:v>16.804753817800119</c:v>
                </c:pt>
                <c:pt idx="3">
                  <c:v>21.21861625275837</c:v>
                </c:pt>
                <c:pt idx="4">
                  <c:v>23.218823121913047</c:v>
                </c:pt>
                <c:pt idx="5">
                  <c:v>23.19307209452063</c:v>
                </c:pt>
                <c:pt idx="6">
                  <c:v>22.495424991010037</c:v>
                </c:pt>
                <c:pt idx="7">
                  <c:v>20.893997510158151</c:v>
                </c:pt>
                <c:pt idx="8">
                  <c:v>17.78506404820763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DTemp!$T$1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10.028352085993442</c:v>
                </c:pt>
                <c:pt idx="2">
                  <c:v>16.804753817800119</c:v>
                </c:pt>
                <c:pt idx="3">
                  <c:v>21.21861625275837</c:v>
                </c:pt>
                <c:pt idx="4">
                  <c:v>23.218823121913047</c:v>
                </c:pt>
                <c:pt idx="5">
                  <c:v>22.862155037170293</c:v>
                </c:pt>
                <c:pt idx="6">
                  <c:v>20.530097417810502</c:v>
                </c:pt>
                <c:pt idx="7">
                  <c:v>17.36740702634836</c:v>
                </c:pt>
                <c:pt idx="8">
                  <c:v>16.098260060792189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06928"/>
        <c:axId val="349110456"/>
      </c:lineChart>
      <c:catAx>
        <c:axId val="3491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0456"/>
        <c:crosses val="autoZero"/>
        <c:auto val="1"/>
        <c:lblAlgn val="ctr"/>
        <c:lblOffset val="100"/>
        <c:noMultiLvlLbl val="0"/>
      </c:catAx>
      <c:valAx>
        <c:axId val="34911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0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85725</xdr:colOff>
      <xdr:row>18</xdr:row>
      <xdr:rowOff>85725</xdr:rowOff>
    </xdr:from>
    <xdr:to>
      <xdr:col>29</xdr:col>
      <xdr:colOff>19050</xdr:colOff>
      <xdr:row>32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18</xdr:row>
      <xdr:rowOff>76200</xdr:rowOff>
    </xdr:from>
    <xdr:to>
      <xdr:col>23</xdr:col>
      <xdr:colOff>95250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16</xdr:col>
      <xdr:colOff>600075</xdr:colOff>
      <xdr:row>32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7</xdr:col>
      <xdr:colOff>476250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16</xdr:row>
      <xdr:rowOff>33337</xdr:rowOff>
    </xdr:from>
    <xdr:to>
      <xdr:col>22</xdr:col>
      <xdr:colOff>276225</xdr:colOff>
      <xdr:row>28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490537</xdr:colOff>
      <xdr:row>28</xdr:row>
      <xdr:rowOff>61912</xdr:rowOff>
    </xdr:from>
    <xdr:to>
      <xdr:col>15</xdr:col>
      <xdr:colOff>185737</xdr:colOff>
      <xdr:row>39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28</xdr:row>
      <xdr:rowOff>61911</xdr:rowOff>
    </xdr:from>
    <xdr:to>
      <xdr:col>7</xdr:col>
      <xdr:colOff>457200</xdr:colOff>
      <xdr:row>39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128587</xdr:rowOff>
    </xdr:from>
    <xdr:to>
      <xdr:col>7</xdr:col>
      <xdr:colOff>333374</xdr:colOff>
      <xdr:row>26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14</xdr:row>
      <xdr:rowOff>128587</xdr:rowOff>
    </xdr:from>
    <xdr:to>
      <xdr:col>14</xdr:col>
      <xdr:colOff>542925</xdr:colOff>
      <xdr:row>26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20</xdr:row>
      <xdr:rowOff>166687</xdr:rowOff>
    </xdr:from>
    <xdr:to>
      <xdr:col>19</xdr:col>
      <xdr:colOff>0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20</xdr:row>
      <xdr:rowOff>176212</xdr:rowOff>
    </xdr:from>
    <xdr:to>
      <xdr:col>6</xdr:col>
      <xdr:colOff>0</xdr:colOff>
      <xdr:row>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20</xdr:row>
      <xdr:rowOff>166687</xdr:rowOff>
    </xdr:from>
    <xdr:to>
      <xdr:col>12</xdr:col>
      <xdr:colOff>0</xdr:colOff>
      <xdr:row>34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3</xdr:row>
      <xdr:rowOff>176212</xdr:rowOff>
    </xdr:from>
    <xdr:to>
      <xdr:col>17</xdr:col>
      <xdr:colOff>457200</xdr:colOff>
      <xdr:row>18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</xdr:row>
      <xdr:rowOff>185737</xdr:rowOff>
    </xdr:from>
    <xdr:to>
      <xdr:col>10</xdr:col>
      <xdr:colOff>428626</xdr:colOff>
      <xdr:row>18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7"/>
  <sheetViews>
    <sheetView topLeftCell="X13" zoomScale="88" zoomScaleNormal="88" workbookViewId="0">
      <selection activeCell="AI33" sqref="AI33"/>
    </sheetView>
  </sheetViews>
  <sheetFormatPr defaultRowHeight="15"/>
  <cols>
    <col min="1" max="6" width="9.140625" style="27"/>
    <col min="7" max="8" width="0" style="27" hidden="1" customWidth="1"/>
    <col min="9" max="9" width="9.140625" style="27"/>
    <col min="10" max="10" width="14.42578125" style="27" customWidth="1"/>
    <col min="11" max="11" width="15" style="27" customWidth="1"/>
    <col min="12" max="12" width="15.140625" style="27" customWidth="1"/>
    <col min="13" max="13" width="19.42578125" style="27" customWidth="1"/>
    <col min="14" max="14" width="19.7109375" style="27" customWidth="1"/>
    <col min="15" max="15" width="21.7109375" style="27" customWidth="1"/>
    <col min="16" max="16" width="19.140625" style="27" customWidth="1"/>
    <col min="17" max="17" width="13.42578125" style="27" customWidth="1"/>
    <col min="18" max="18" width="19.140625" style="27" customWidth="1"/>
    <col min="19" max="20" width="13.7109375" style="27" customWidth="1"/>
    <col min="21" max="21" width="21.7109375" style="27" customWidth="1"/>
    <col min="22" max="22" width="15.28515625" style="27" customWidth="1"/>
    <col min="23" max="23" width="19.42578125" style="27" customWidth="1"/>
    <col min="24" max="24" width="21.42578125" style="27" customWidth="1"/>
    <col min="25" max="25" width="23.28515625" style="27" customWidth="1"/>
    <col min="26" max="26" width="20.5703125" style="27" customWidth="1"/>
    <col min="27" max="27" width="7" style="27" customWidth="1"/>
    <col min="28" max="28" width="14.85546875" style="27" customWidth="1"/>
    <col min="29" max="30" width="9.140625" style="27"/>
    <col min="31" max="31" width="13.7109375" style="27" customWidth="1"/>
    <col min="32" max="32" width="9.140625" style="27"/>
    <col min="33" max="33" width="14.140625" style="27" customWidth="1"/>
    <col min="34" max="34" width="10.28515625" style="27" bestFit="1" customWidth="1"/>
    <col min="35" max="35" width="9.140625" style="27"/>
    <col min="36" max="36" width="16.28515625" style="27" customWidth="1"/>
    <col min="37" max="37" width="16.85546875" style="27" customWidth="1"/>
    <col min="38" max="43" width="9.140625" style="27"/>
    <col min="44" max="44" width="11.7109375" style="27" customWidth="1"/>
    <col min="45" max="16384" width="9.140625" style="27"/>
  </cols>
  <sheetData>
    <row r="1" spans="1:57" ht="15.75" thickBot="1">
      <c r="A1" s="27" t="s">
        <v>60</v>
      </c>
      <c r="B1" s="27" t="s">
        <v>19</v>
      </c>
      <c r="C1" s="27" t="s">
        <v>20</v>
      </c>
      <c r="D1" s="27" t="s">
        <v>21</v>
      </c>
      <c r="E1" s="27" t="s">
        <v>18</v>
      </c>
      <c r="F1" s="27" t="s">
        <v>113</v>
      </c>
      <c r="G1" s="43" t="s">
        <v>106</v>
      </c>
      <c r="H1" s="43" t="s">
        <v>107</v>
      </c>
      <c r="I1" s="43" t="s">
        <v>111</v>
      </c>
      <c r="J1" s="18" t="s">
        <v>61</v>
      </c>
      <c r="K1" s="18" t="s">
        <v>37</v>
      </c>
      <c r="L1" s="18" t="s">
        <v>11</v>
      </c>
      <c r="M1" s="9"/>
      <c r="N1" s="21" t="s">
        <v>62</v>
      </c>
      <c r="O1" s="23" t="s">
        <v>63</v>
      </c>
      <c r="P1" s="6" t="s">
        <v>65</v>
      </c>
      <c r="Q1" s="26" t="s">
        <v>67</v>
      </c>
      <c r="R1" s="22" t="s">
        <v>69</v>
      </c>
      <c r="S1" s="18" t="s">
        <v>14</v>
      </c>
      <c r="T1" s="18"/>
      <c r="U1" s="21" t="s">
        <v>70</v>
      </c>
      <c r="V1" s="22" t="s">
        <v>72</v>
      </c>
      <c r="W1" s="22" t="s">
        <v>74</v>
      </c>
      <c r="X1" s="14" t="s">
        <v>36</v>
      </c>
      <c r="Y1" s="14"/>
      <c r="Z1" s="22" t="s">
        <v>77</v>
      </c>
      <c r="AA1" s="33"/>
      <c r="AB1" s="32" t="s">
        <v>38</v>
      </c>
      <c r="AC1" s="31" t="s">
        <v>87</v>
      </c>
      <c r="AD1" s="31" t="s">
        <v>88</v>
      </c>
      <c r="AE1" s="29" t="s">
        <v>89</v>
      </c>
      <c r="AF1" s="29"/>
      <c r="AG1" s="29"/>
      <c r="AL1" s="37"/>
      <c r="AM1" s="38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7">
        <v>-15</v>
      </c>
      <c r="C2" s="27">
        <v>5</v>
      </c>
      <c r="D2" s="27">
        <f>(Tmin+Tmax)/2</f>
        <v>-5</v>
      </c>
      <c r="E2" s="27">
        <f>(Tave+Tmax)/2</f>
        <v>0</v>
      </c>
      <c r="F2" s="27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7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24">
        <f>Dtemp_pnet_suc * RefNetPsn_pnet_suc</f>
        <v>0</v>
      </c>
      <c r="P2" s="35">
        <f xml:space="preserve"> Fol / SLWLayer</f>
        <v>0.875</v>
      </c>
      <c r="Q2" s="15" t="e">
        <f xml:space="preserve"> (1 / IMAX) * MIN(NSC, MaintRespFTempResp * biomass)</f>
        <v>#REF!</v>
      </c>
      <c r="R2" s="24">
        <f xml:space="preserve"> fWater* fRad* fAge *FTempPSNRefNetPsn_pnet_suc * Fol</f>
        <v>0</v>
      </c>
      <c r="S2" s="8">
        <f>BaseFolRespFrac*(RespQ10^((Tave-PsnTOpt)/10))</f>
        <v>1.3397168281703668E-2</v>
      </c>
      <c r="T2" s="8"/>
      <c r="U2" s="8">
        <f xml:space="preserve"> FTempRespDay_pnet_suc * dayspan * (DayLength+NightLength) * MC / Billion * Amax</f>
        <v>7.0839938779798842E-2</v>
      </c>
      <c r="V2" s="24">
        <f xml:space="preserve"> fWater* FTempRespDayRefResp_pnet_suc * Fol</f>
        <v>0.99175914291718381</v>
      </c>
      <c r="W2" s="24">
        <f xml:space="preserve"> NetPsn_pnet_suc + FolResp_pnet_suc</f>
        <v>0.99175914291718381</v>
      </c>
      <c r="X2" s="8">
        <f>(WUEconst/VPD_PnET_Succession) * (1 + 1 - Delgs)</f>
        <v>26.905528105428488</v>
      </c>
      <c r="Y2" s="8"/>
      <c r="Z2" s="34">
        <f xml:space="preserve"> GrossPsn_pnet_suc / WUE / DelAmax * MCO2_MC</f>
        <v>0.12286808818273674</v>
      </c>
      <c r="AA2" s="8"/>
      <c r="AB2" s="31" t="s">
        <v>54</v>
      </c>
      <c r="AC2" s="31" t="s">
        <v>94</v>
      </c>
      <c r="AD2" s="29">
        <v>3.6665999999999999</v>
      </c>
      <c r="AE2" s="27" t="s">
        <v>134</v>
      </c>
      <c r="AL2" s="3"/>
      <c r="AM2" s="39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7">
        <v>-10</v>
      </c>
      <c r="C3" s="27">
        <v>10</v>
      </c>
      <c r="D3" s="27">
        <f t="shared" ref="D3:D13" si="0">(B3+C3)/2</f>
        <v>0</v>
      </c>
      <c r="E3" s="27">
        <f t="shared" ref="E3:E13" si="1">(D3+C3)/2</f>
        <v>5</v>
      </c>
      <c r="F3" s="27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7">
        <f t="shared" ref="J3:J13" si="5">MAX(0,(PsnTMax - E3) * (E3 - PsnTMin) / (((PsnTMax - PsnTMin) / 2)*(PsnTMax - PsnTMin) / 2))</f>
        <v>0.25413223140495866</v>
      </c>
      <c r="K3" s="8">
        <f t="shared" ref="K3:K13" si="6">IF(E3&gt;PsnTOpt,1,MAX(0,(PsnTMax - E3) * (E3 - PsnTMin) / (((PsnTMax - PsnTMin) / 2)*(PsnTMax - PsnTMin) / 2)))</f>
        <v>0.25413223140495866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24">
        <f>J3 * N3</f>
        <v>0.6603266855261245</v>
      </c>
      <c r="P3" s="8"/>
      <c r="Q3" s="15"/>
      <c r="R3" s="24">
        <f t="shared" ref="R3:R13" si="9" xml:space="preserve"> fWater* fRad* fAge *O3 * Fol</f>
        <v>9.2445735973657435</v>
      </c>
      <c r="S3" s="8">
        <f t="shared" ref="S3:S13" si="10">BaseFolRespFrac*(RespQ10^((D3-PsnTOpt)/10))</f>
        <v>1.8946457081379979E-2</v>
      </c>
      <c r="T3" s="8"/>
      <c r="U3" s="8">
        <f t="shared" ref="U3:U13" si="11" xml:space="preserve"> S3 * dayspan * (DayLength+NightLength) * MC / Billion * Amax</f>
        <v>0.10018280218007129</v>
      </c>
      <c r="V3" s="24">
        <f t="shared" ref="V3:V13" si="12" xml:space="preserve"> fWater* U3 * Fol</f>
        <v>1.4025592305209982</v>
      </c>
      <c r="W3" s="24">
        <f t="shared" ref="W3:W13" si="13" xml:space="preserve"> R3 + V3</f>
        <v>10.647132827886741</v>
      </c>
      <c r="X3" s="8">
        <f t="shared" ref="X3:X13" si="14">(WUEconst/I3) * (1 + 1 - Delgs)</f>
        <v>19.279860641579468</v>
      </c>
      <c r="Y3" s="8"/>
      <c r="Z3" s="34">
        <f t="shared" ref="Z3:Z13" si="15" xml:space="preserve"> W3/ X3 / DelAmax * MCO2_MC</f>
        <v>1.8407855242628399</v>
      </c>
      <c r="AA3" s="8"/>
      <c r="AB3" s="31" t="s">
        <v>49</v>
      </c>
      <c r="AC3" s="31" t="s">
        <v>94</v>
      </c>
      <c r="AD3" s="29">
        <v>12</v>
      </c>
      <c r="AE3" s="27" t="s">
        <v>133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7">
        <v>-5</v>
      </c>
      <c r="C4" s="27">
        <v>15</v>
      </c>
      <c r="D4" s="27">
        <f t="shared" si="0"/>
        <v>5</v>
      </c>
      <c r="E4" s="27">
        <f t="shared" si="1"/>
        <v>10</v>
      </c>
      <c r="F4" s="27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7">
        <f t="shared" si="5"/>
        <v>0.5950413223140496</v>
      </c>
      <c r="K4" s="8">
        <f t="shared" si="6"/>
        <v>0.5950413223140496</v>
      </c>
      <c r="L4" s="8">
        <f>MAX(0,1 - DVPD1 * (I4^DVPD2))</f>
        <v>0.96745982808910902</v>
      </c>
      <c r="M4" s="8"/>
      <c r="N4" s="8">
        <f t="shared" si="8"/>
        <v>2.5578089918951101</v>
      </c>
      <c r="O4" s="24">
        <f t="shared" ref="O4:O13" si="17">J4 * N4</f>
        <v>1.5220020447640326</v>
      </c>
      <c r="P4" s="8"/>
      <c r="Q4" s="15"/>
      <c r="R4" s="24">
        <f t="shared" si="9"/>
        <v>21.308028626696455</v>
      </c>
      <c r="S4" s="8">
        <f t="shared" si="10"/>
        <v>2.679433656340733E-2</v>
      </c>
      <c r="T4" s="8"/>
      <c r="U4" s="8">
        <f t="shared" si="11"/>
        <v>0.14167987755959766</v>
      </c>
      <c r="V4" s="24">
        <f t="shared" si="12"/>
        <v>1.9835182858343672</v>
      </c>
      <c r="W4" s="24">
        <f t="shared" si="13"/>
        <v>23.291546912530823</v>
      </c>
      <c r="X4" s="8">
        <f t="shared" si="14"/>
        <v>14.018223710413622</v>
      </c>
      <c r="Y4" s="8"/>
      <c r="Z4" s="34">
        <f t="shared" si="15"/>
        <v>5.5383418094084709</v>
      </c>
      <c r="AA4" s="8"/>
      <c r="AB4" s="31" t="s">
        <v>95</v>
      </c>
      <c r="AC4" s="31"/>
      <c r="AD4" s="29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7">
        <v>0</v>
      </c>
      <c r="C5" s="27">
        <v>20</v>
      </c>
      <c r="D5" s="27">
        <f t="shared" si="0"/>
        <v>10</v>
      </c>
      <c r="E5" s="27">
        <f t="shared" si="1"/>
        <v>15</v>
      </c>
      <c r="F5" s="27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7">
        <f t="shared" si="5"/>
        <v>0.8326446280991735</v>
      </c>
      <c r="K5" s="8">
        <f t="shared" si="6"/>
        <v>0.8326446280991735</v>
      </c>
      <c r="L5" s="8">
        <f t="shared" si="7"/>
        <v>0.94010911869918679</v>
      </c>
      <c r="M5" s="8"/>
      <c r="N5" s="8">
        <f t="shared" si="8"/>
        <v>2.4854980923816581</v>
      </c>
      <c r="O5" s="24">
        <f t="shared" si="17"/>
        <v>2.069536634772331</v>
      </c>
      <c r="P5" s="8"/>
      <c r="Q5" s="15"/>
      <c r="R5" s="24">
        <f t="shared" si="9"/>
        <v>28.973512886812635</v>
      </c>
      <c r="S5" s="8">
        <f t="shared" si="10"/>
        <v>3.7892914162759958E-2</v>
      </c>
      <c r="T5" s="8"/>
      <c r="U5" s="8">
        <f t="shared" si="11"/>
        <v>0.20036560436014259</v>
      </c>
      <c r="V5" s="24">
        <f t="shared" si="12"/>
        <v>2.8051184610419964</v>
      </c>
      <c r="W5" s="24">
        <f t="shared" si="13"/>
        <v>31.778631347854631</v>
      </c>
      <c r="X5" s="8">
        <f t="shared" si="14"/>
        <v>10.332907842338232</v>
      </c>
      <c r="Y5" s="8"/>
      <c r="Z5" s="34">
        <f t="shared" si="15"/>
        <v>10.251491163083575</v>
      </c>
      <c r="AA5" s="8"/>
      <c r="AB5" s="32" t="s">
        <v>157</v>
      </c>
      <c r="AC5" s="31"/>
      <c r="AD5" s="31"/>
    </row>
    <row r="6" spans="1:57">
      <c r="B6" s="27">
        <v>5</v>
      </c>
      <c r="C6" s="27">
        <v>25</v>
      </c>
      <c r="D6" s="27">
        <f t="shared" si="0"/>
        <v>15</v>
      </c>
      <c r="E6" s="27">
        <f t="shared" si="1"/>
        <v>20</v>
      </c>
      <c r="F6" s="27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7">
        <f t="shared" si="5"/>
        <v>0.96694214876033058</v>
      </c>
      <c r="K6" s="8">
        <f t="shared" si="6"/>
        <v>0.96694214876033058</v>
      </c>
      <c r="L6" s="8">
        <f t="shared" si="7"/>
        <v>0.89256823099917959</v>
      </c>
      <c r="M6" s="8"/>
      <c r="N6" s="8">
        <f t="shared" si="8"/>
        <v>2.3598075918448704</v>
      </c>
      <c r="O6" s="24">
        <f t="shared" si="17"/>
        <v>2.2817974235194201</v>
      </c>
      <c r="P6" s="8"/>
      <c r="Q6" s="15"/>
      <c r="R6" s="24">
        <f t="shared" si="9"/>
        <v>31.945163929271882</v>
      </c>
      <c r="S6" s="8">
        <f t="shared" si="10"/>
        <v>5.3588673126814659E-2</v>
      </c>
      <c r="T6" s="8"/>
      <c r="U6" s="8">
        <f t="shared" si="11"/>
        <v>0.28335975511919531</v>
      </c>
      <c r="V6" s="24">
        <f t="shared" si="12"/>
        <v>3.9670365716687344</v>
      </c>
      <c r="W6" s="24">
        <f t="shared" si="13"/>
        <v>35.912200500940614</v>
      </c>
      <c r="X6" s="8">
        <f t="shared" si="14"/>
        <v>7.7150109075467039</v>
      </c>
      <c r="Y6" s="8"/>
      <c r="Z6" s="34">
        <f t="shared" si="15"/>
        <v>15.516003947429867</v>
      </c>
      <c r="AA6" s="8"/>
      <c r="AB6" s="31" t="s">
        <v>13</v>
      </c>
      <c r="AC6" s="31" t="s">
        <v>119</v>
      </c>
      <c r="AD6" s="29">
        <f>AE6*60*60</f>
        <v>43200</v>
      </c>
      <c r="AE6" s="31">
        <v>12</v>
      </c>
      <c r="AF6" s="31" t="s">
        <v>120</v>
      </c>
    </row>
    <row r="7" spans="1:57">
      <c r="B7" s="27">
        <v>10</v>
      </c>
      <c r="C7" s="27">
        <v>30</v>
      </c>
      <c r="D7" s="27">
        <f t="shared" si="0"/>
        <v>20</v>
      </c>
      <c r="E7" s="27">
        <f t="shared" si="1"/>
        <v>25</v>
      </c>
      <c r="F7" s="27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7">
        <f t="shared" si="5"/>
        <v>0.99793388429752061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24">
        <f t="shared" si="17"/>
        <v>2.1420935290853733</v>
      </c>
      <c r="P7" s="8"/>
      <c r="Q7" s="15"/>
      <c r="R7" s="24">
        <f t="shared" si="9"/>
        <v>29.989309407195226</v>
      </c>
      <c r="S7" s="8">
        <f t="shared" si="10"/>
        <v>7.5785828325519916E-2</v>
      </c>
      <c r="T7" s="8"/>
      <c r="U7" s="8">
        <f t="shared" si="11"/>
        <v>0.40073120872028517</v>
      </c>
      <c r="V7" s="24">
        <f t="shared" si="12"/>
        <v>5.6102369220839927</v>
      </c>
      <c r="W7" s="41">
        <f t="shared" si="13"/>
        <v>35.599546329279221</v>
      </c>
      <c r="X7" s="8">
        <f t="shared" si="14"/>
        <v>5.8305059604289591</v>
      </c>
      <c r="Y7" s="8"/>
      <c r="Z7" s="34">
        <f t="shared" si="15"/>
        <v>20.352259364031852</v>
      </c>
      <c r="AA7" s="8"/>
      <c r="AB7" s="10" t="s">
        <v>114</v>
      </c>
      <c r="AC7" s="31" t="s">
        <v>119</v>
      </c>
      <c r="AD7" s="48">
        <f>86400-DayLength</f>
        <v>43200</v>
      </c>
    </row>
    <row r="8" spans="1:57">
      <c r="B8" s="27">
        <v>15</v>
      </c>
      <c r="C8" s="27">
        <v>35</v>
      </c>
      <c r="D8" s="27">
        <f t="shared" si="0"/>
        <v>25</v>
      </c>
      <c r="E8" s="27">
        <f t="shared" si="1"/>
        <v>30</v>
      </c>
      <c r="F8" s="27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7">
        <f t="shared" si="5"/>
        <v>0.92561983471074383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24">
        <f t="shared" si="17"/>
        <v>1.6593868398662139</v>
      </c>
      <c r="P8" s="8"/>
      <c r="Q8" s="15"/>
      <c r="R8" s="24">
        <f t="shared" si="9"/>
        <v>23.231415758126996</v>
      </c>
      <c r="S8" s="8">
        <f t="shared" si="10"/>
        <v>0.10717734625362932</v>
      </c>
      <c r="T8" s="8"/>
      <c r="U8" s="8">
        <f t="shared" si="11"/>
        <v>0.56671951023839062</v>
      </c>
      <c r="V8" s="24">
        <f t="shared" si="12"/>
        <v>7.9340731433374687</v>
      </c>
      <c r="W8" s="41">
        <f t="shared" si="13"/>
        <v>31.165488901464464</v>
      </c>
      <c r="X8" s="8">
        <f t="shared" si="14"/>
        <v>4.4568472966066368</v>
      </c>
      <c r="Y8" s="8"/>
      <c r="Z8" s="34">
        <f t="shared" si="15"/>
        <v>23.308836667362556</v>
      </c>
      <c r="AA8" s="8"/>
      <c r="AB8" s="31" t="s">
        <v>48</v>
      </c>
      <c r="AC8" s="31" t="s">
        <v>90</v>
      </c>
      <c r="AD8" s="31">
        <v>30</v>
      </c>
    </row>
    <row r="9" spans="1:57">
      <c r="B9" s="27">
        <v>20</v>
      </c>
      <c r="C9" s="27">
        <v>40</v>
      </c>
      <c r="D9" s="27">
        <f t="shared" si="0"/>
        <v>30</v>
      </c>
      <c r="E9" s="27">
        <f t="shared" si="1"/>
        <v>35</v>
      </c>
      <c r="F9" s="27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7">
        <f t="shared" si="5"/>
        <v>0.75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24">
        <f t="shared" si="17"/>
        <v>0.91367050629585933</v>
      </c>
      <c r="P9" s="8"/>
      <c r="Q9" s="15"/>
      <c r="R9" s="24">
        <f t="shared" si="9"/>
        <v>12.791387088142031</v>
      </c>
      <c r="S9" s="8">
        <f t="shared" si="10"/>
        <v>0.1515716566510398</v>
      </c>
      <c r="T9" s="8"/>
      <c r="U9" s="8">
        <f t="shared" si="11"/>
        <v>0.80146241744057012</v>
      </c>
      <c r="V9" s="24">
        <f t="shared" si="12"/>
        <v>11.220473844167982</v>
      </c>
      <c r="W9" s="41">
        <f t="shared" si="13"/>
        <v>24.011860932310015</v>
      </c>
      <c r="X9" s="8">
        <f t="shared" si="14"/>
        <v>3.4436556775772398</v>
      </c>
      <c r="Y9" s="8"/>
      <c r="Z9" s="34">
        <f t="shared" si="15"/>
        <v>23.242375173493208</v>
      </c>
      <c r="AA9" s="8"/>
      <c r="AB9" s="31" t="s">
        <v>27</v>
      </c>
      <c r="AC9" s="31" t="s">
        <v>91</v>
      </c>
      <c r="AD9" s="31">
        <v>5</v>
      </c>
    </row>
    <row r="10" spans="1:57">
      <c r="B10" s="27">
        <v>25</v>
      </c>
      <c r="C10" s="27">
        <v>45</v>
      </c>
      <c r="D10" s="27">
        <f t="shared" si="0"/>
        <v>35</v>
      </c>
      <c r="E10" s="27">
        <f t="shared" si="1"/>
        <v>40</v>
      </c>
      <c r="F10" s="27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7">
        <f t="shared" si="5"/>
        <v>0.47107438016528924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24">
        <f t="shared" si="17"/>
        <v>0.14317563237710493</v>
      </c>
      <c r="P10" s="8"/>
      <c r="Q10" s="15"/>
      <c r="R10" s="24">
        <f t="shared" si="9"/>
        <v>2.0044588532794689</v>
      </c>
      <c r="S10" s="8">
        <f t="shared" si="10"/>
        <v>0.21435469250725864</v>
      </c>
      <c r="T10" s="8"/>
      <c r="U10" s="8">
        <f t="shared" si="11"/>
        <v>1.1334390204767812</v>
      </c>
      <c r="V10" s="24">
        <f t="shared" si="12"/>
        <v>15.868146286674937</v>
      </c>
      <c r="W10" s="41">
        <f t="shared" si="13"/>
        <v>17.872605139954405</v>
      </c>
      <c r="X10" s="8">
        <f t="shared" si="14"/>
        <v>2.6879507610572184</v>
      </c>
      <c r="Y10" s="8"/>
      <c r="Z10" s="34">
        <f t="shared" si="15"/>
        <v>22.163633521530283</v>
      </c>
      <c r="AA10" s="8"/>
      <c r="AB10" s="31" t="s">
        <v>93</v>
      </c>
      <c r="AC10" s="31" t="s">
        <v>92</v>
      </c>
      <c r="AD10" s="29">
        <f>AE10/IMAX</f>
        <v>14</v>
      </c>
      <c r="AE10" s="31">
        <v>70</v>
      </c>
      <c r="AF10" s="31" t="s">
        <v>121</v>
      </c>
    </row>
    <row r="11" spans="1:57">
      <c r="B11" s="27">
        <v>30</v>
      </c>
      <c r="C11" s="27">
        <v>50</v>
      </c>
      <c r="D11" s="27">
        <f t="shared" si="0"/>
        <v>40</v>
      </c>
      <c r="E11" s="27">
        <f t="shared" si="1"/>
        <v>45</v>
      </c>
      <c r="F11" s="27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7">
        <f t="shared" si="5"/>
        <v>8.8842975206611566E-2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24">
        <f t="shared" si="17"/>
        <v>0</v>
      </c>
      <c r="P11" s="8"/>
      <c r="Q11" s="15"/>
      <c r="R11" s="24">
        <f t="shared" si="9"/>
        <v>0</v>
      </c>
      <c r="S11" s="8">
        <f t="shared" si="10"/>
        <v>0.30314331330207961</v>
      </c>
      <c r="T11" s="8"/>
      <c r="U11" s="8">
        <f t="shared" si="11"/>
        <v>1.6029248348811402</v>
      </c>
      <c r="V11" s="24">
        <f t="shared" si="12"/>
        <v>22.440947688335964</v>
      </c>
      <c r="W11" s="41">
        <f t="shared" si="13"/>
        <v>22.440947688335964</v>
      </c>
      <c r="X11" s="8">
        <f t="shared" si="14"/>
        <v>2.1183142679167029</v>
      </c>
      <c r="Y11" s="8"/>
      <c r="Z11" s="34">
        <f t="shared" si="15"/>
        <v>35.312235377968406</v>
      </c>
      <c r="AA11" s="8"/>
      <c r="AB11" s="31" t="s">
        <v>7</v>
      </c>
      <c r="AC11" s="31" t="s">
        <v>79</v>
      </c>
      <c r="AD11" s="31">
        <v>170</v>
      </c>
      <c r="AE11" s="27" t="s">
        <v>97</v>
      </c>
    </row>
    <row r="12" spans="1:57">
      <c r="B12" s="27">
        <v>35</v>
      </c>
      <c r="C12" s="27">
        <v>55</v>
      </c>
      <c r="D12" s="27">
        <f t="shared" si="0"/>
        <v>45</v>
      </c>
      <c r="E12" s="27">
        <f t="shared" si="1"/>
        <v>50</v>
      </c>
      <c r="F12" s="27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7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24">
        <f t="shared" si="17"/>
        <v>0</v>
      </c>
      <c r="P12" s="8"/>
      <c r="Q12" s="15"/>
      <c r="R12" s="24">
        <f t="shared" si="9"/>
        <v>0</v>
      </c>
      <c r="S12" s="8">
        <f t="shared" si="10"/>
        <v>0.42870938501451727</v>
      </c>
      <c r="T12" s="8"/>
      <c r="U12" s="8">
        <f t="shared" si="11"/>
        <v>2.2668780409535625</v>
      </c>
      <c r="V12" s="24">
        <f t="shared" si="12"/>
        <v>31.736292573349875</v>
      </c>
      <c r="W12" s="41">
        <f t="shared" si="13"/>
        <v>31.736292573349875</v>
      </c>
      <c r="X12" s="8">
        <f t="shared" si="14"/>
        <v>1.6846198912095649</v>
      </c>
      <c r="Y12" s="8"/>
      <c r="Z12" s="34">
        <f t="shared" si="15"/>
        <v>62.795522092282283</v>
      </c>
      <c r="AA12" s="8"/>
      <c r="AB12" s="31" t="s">
        <v>96</v>
      </c>
      <c r="AC12" s="31"/>
      <c r="AD12" s="31">
        <v>1</v>
      </c>
      <c r="AE12" s="50" t="s">
        <v>135</v>
      </c>
      <c r="AF12" s="50"/>
      <c r="AG12" s="50"/>
      <c r="AH12" s="50"/>
      <c r="AI12" s="50"/>
    </row>
    <row r="13" spans="1:57" ht="15.75" thickBot="1">
      <c r="B13" s="27">
        <v>40</v>
      </c>
      <c r="C13" s="27">
        <v>60</v>
      </c>
      <c r="D13" s="27">
        <f t="shared" si="0"/>
        <v>50</v>
      </c>
      <c r="E13" s="27">
        <f t="shared" si="1"/>
        <v>55</v>
      </c>
      <c r="F13" s="27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7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24">
        <f t="shared" si="17"/>
        <v>0</v>
      </c>
      <c r="P13" s="13"/>
      <c r="Q13" s="16"/>
      <c r="R13" s="24">
        <f t="shared" si="9"/>
        <v>0</v>
      </c>
      <c r="S13" s="8">
        <f t="shared" si="10"/>
        <v>0.60628662660415922</v>
      </c>
      <c r="T13" s="13"/>
      <c r="U13" s="8">
        <f t="shared" si="11"/>
        <v>3.2058496697622805</v>
      </c>
      <c r="V13" s="24">
        <f t="shared" si="12"/>
        <v>44.881895376671928</v>
      </c>
      <c r="W13" s="42">
        <f t="shared" si="13"/>
        <v>44.881895376671928</v>
      </c>
      <c r="X13" s="8">
        <f t="shared" si="14"/>
        <v>1.3512835339507625</v>
      </c>
      <c r="Y13" s="13"/>
      <c r="Z13" s="34">
        <f t="shared" si="15"/>
        <v>110.7131259336563</v>
      </c>
      <c r="AA13" s="8"/>
      <c r="AB13" s="31" t="s">
        <v>98</v>
      </c>
      <c r="AC13" s="31"/>
      <c r="AD13" s="31">
        <v>1</v>
      </c>
      <c r="AE13" s="50" t="s">
        <v>136</v>
      </c>
      <c r="AF13" s="50"/>
      <c r="AG13" s="50"/>
      <c r="AH13" s="50"/>
      <c r="AI13" s="50"/>
    </row>
    <row r="14" spans="1:57">
      <c r="A14" s="56" t="s">
        <v>189</v>
      </c>
      <c r="B14" s="49" t="s">
        <v>126</v>
      </c>
      <c r="C14" s="49" t="s">
        <v>126</v>
      </c>
      <c r="D14" s="49" t="s">
        <v>126</v>
      </c>
      <c r="E14" s="49" t="s">
        <v>126</v>
      </c>
      <c r="F14" s="49" t="s">
        <v>126</v>
      </c>
      <c r="G14" s="49" t="s">
        <v>126</v>
      </c>
      <c r="H14" s="49" t="s">
        <v>127</v>
      </c>
      <c r="I14" s="49" t="s">
        <v>190</v>
      </c>
      <c r="J14" s="27" t="s">
        <v>78</v>
      </c>
      <c r="K14" s="27" t="s">
        <v>81</v>
      </c>
      <c r="L14" s="27" t="s">
        <v>78</v>
      </c>
      <c r="N14" s="28" t="s">
        <v>82</v>
      </c>
      <c r="O14" s="31" t="s">
        <v>86</v>
      </c>
      <c r="P14" s="28" t="s">
        <v>124</v>
      </c>
      <c r="Q14" s="30" t="s">
        <v>83</v>
      </c>
      <c r="R14" s="31" t="s">
        <v>84</v>
      </c>
      <c r="S14" s="27" t="s">
        <v>122</v>
      </c>
      <c r="U14" s="27" t="s">
        <v>85</v>
      </c>
      <c r="V14" s="31" t="s">
        <v>84</v>
      </c>
      <c r="W14" s="31" t="s">
        <v>84</v>
      </c>
      <c r="X14" s="27" t="s">
        <v>123</v>
      </c>
      <c r="Z14" s="31" t="s">
        <v>128</v>
      </c>
      <c r="AB14" s="31" t="s">
        <v>99</v>
      </c>
      <c r="AC14" s="31"/>
      <c r="AD14" s="31">
        <v>1</v>
      </c>
    </row>
    <row r="15" spans="1:57">
      <c r="AB15" s="31" t="s">
        <v>101</v>
      </c>
      <c r="AC15" s="31"/>
      <c r="AD15" s="31">
        <v>10.9</v>
      </c>
    </row>
    <row r="16" spans="1:57">
      <c r="AB16" s="31" t="s">
        <v>42</v>
      </c>
      <c r="AC16" s="31"/>
      <c r="AD16" s="29">
        <f>1+(((1.22*(((AD26*0.68)-68)/((AD26*0.68)+136)))-0.55455)/0.55455)</f>
        <v>1.0999909836804616</v>
      </c>
    </row>
    <row r="17" spans="1:49">
      <c r="AB17" s="31" t="s">
        <v>103</v>
      </c>
      <c r="AC17" s="31" t="s">
        <v>100</v>
      </c>
      <c r="AD17" s="31">
        <v>2</v>
      </c>
    </row>
    <row r="18" spans="1:49">
      <c r="AB18" s="31" t="s">
        <v>4</v>
      </c>
      <c r="AC18" s="31" t="s">
        <v>100</v>
      </c>
      <c r="AD18" s="31">
        <v>24</v>
      </c>
      <c r="AE18" s="2" t="s">
        <v>129</v>
      </c>
    </row>
    <row r="19" spans="1:49" ht="15.75" thickBot="1">
      <c r="G19" s="27" t="s">
        <v>108</v>
      </c>
      <c r="H19" s="27" t="s">
        <v>108</v>
      </c>
      <c r="I19" s="27" t="s">
        <v>108</v>
      </c>
      <c r="J19" s="27" t="s">
        <v>56</v>
      </c>
      <c r="L19" s="8" t="s">
        <v>56</v>
      </c>
      <c r="M19" s="8" t="s">
        <v>56</v>
      </c>
      <c r="N19" s="8" t="s">
        <v>56</v>
      </c>
      <c r="O19" s="8" t="s">
        <v>56</v>
      </c>
      <c r="AB19" s="31" t="s">
        <v>5</v>
      </c>
      <c r="AC19" s="31" t="s">
        <v>100</v>
      </c>
      <c r="AD19" s="29">
        <f>PsnTOpt+(PsnTOpt-PsnTMin)</f>
        <v>46</v>
      </c>
    </row>
    <row r="20" spans="1:49" ht="15.75" thickBot="1">
      <c r="A20" s="27" t="s">
        <v>57</v>
      </c>
      <c r="G20" s="9" t="s">
        <v>109</v>
      </c>
      <c r="H20" s="9" t="s">
        <v>110</v>
      </c>
      <c r="I20" s="9" t="s">
        <v>112</v>
      </c>
      <c r="J20" s="18" t="s">
        <v>61</v>
      </c>
      <c r="K20" s="19"/>
      <c r="L20" s="18" t="s">
        <v>11</v>
      </c>
      <c r="M20" s="20" t="s">
        <v>58</v>
      </c>
      <c r="N20" s="20" t="s">
        <v>58</v>
      </c>
      <c r="O20" s="22" t="s">
        <v>58</v>
      </c>
      <c r="P20" s="6" t="s">
        <v>64</v>
      </c>
      <c r="Q20" s="26" t="s">
        <v>66</v>
      </c>
      <c r="R20" s="23" t="s">
        <v>68</v>
      </c>
      <c r="S20" s="40" t="s">
        <v>59</v>
      </c>
      <c r="T20" s="47" t="s">
        <v>115</v>
      </c>
      <c r="U20" s="6" t="s">
        <v>102</v>
      </c>
      <c r="V20" s="22" t="s">
        <v>71</v>
      </c>
      <c r="W20" s="22" t="s">
        <v>73</v>
      </c>
      <c r="X20" s="14" t="s">
        <v>125</v>
      </c>
      <c r="Y20" s="6" t="s">
        <v>75</v>
      </c>
      <c r="Z20" s="40" t="s">
        <v>76</v>
      </c>
      <c r="AA20" s="8"/>
      <c r="AB20" s="31" t="s">
        <v>32</v>
      </c>
      <c r="AC20" s="31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.7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7">
        <f>MAX(0,(PsnTMax - Tday) * (Tday - PsnTMin) / (((PsnTMax - PsnTMin) / 2)*(PsnTMax - PsnTMin) / 2))</f>
        <v>0</v>
      </c>
      <c r="K21" s="35"/>
      <c r="L21" s="35">
        <f>MAX(0,1 - DVPD1 * (VPD_PnET_II^DVPD2))</f>
        <v>0.99005619684076951</v>
      </c>
      <c r="M21" s="8">
        <f t="shared" ref="M21:M32" si="18">(Amax*AMaxFrac) + BaseFolResp_pnet_ii</f>
        <v>187</v>
      </c>
      <c r="N21" s="44">
        <f>(GrossAmax_temp1_pnet_ii * DVPD_pnet_ii * Dtemp_pnet_ii * DayLength * MC) /Billion</f>
        <v>0</v>
      </c>
      <c r="O21" s="45">
        <f>GrossAmax_temp2_pnet_ii * fRad*dayspan</f>
        <v>0</v>
      </c>
      <c r="P21" s="35">
        <f xml:space="preserve"> Fol / SLWLayer</f>
        <v>0.875</v>
      </c>
      <c r="Q21" s="46" t="e">
        <f>CanopyGrossPsnActMo * WoodMRespA</f>
        <v>#NAME?</v>
      </c>
      <c r="R21" s="45">
        <f>LayerGrossPsnRate_pnet_ii*(Fol)</f>
        <v>0</v>
      </c>
      <c r="S21" s="35">
        <f>(BaseFolResp_pnet_ii*(RespQ10^((Tday-PsnTOpt)/10))*DayLength*MC)/Billion</f>
        <v>1.6697133696678547E-3</v>
      </c>
      <c r="T21" s="35">
        <f>(BaseFolResp_pnet_ii*(RespQ10^((Tnight-PsnTOpt)/10))*NightLength*MC)/Billion</f>
        <v>8.3485668483392755E-4</v>
      </c>
      <c r="U21" s="35">
        <f>BaseFolRespFrac * Amax</f>
        <v>17</v>
      </c>
      <c r="V21" s="45">
        <f>(DayResp_pnet_ii + NightResp)* dayspan * Fol</f>
        <v>1.0519194228907485</v>
      </c>
      <c r="W21" s="45">
        <f>GrossAmax_pnet_ii * fRad*fWater</f>
        <v>0</v>
      </c>
      <c r="X21" s="8">
        <f>(WUEconst/VPD_PnET_Succession) * (1 + 1 - Delgs)</f>
        <v>26.905528105428488</v>
      </c>
      <c r="Y21" s="35">
        <f>LayerGrossPsn_pnet_ii - LayerResp_pnet_ii</f>
        <v>-1.0519194228907485</v>
      </c>
      <c r="Z21" s="34">
        <f>(LayerGrossPsn_pnet_ii/ DelAmax /X21)*MCO2_MC</f>
        <v>0</v>
      </c>
      <c r="AA21" s="8"/>
      <c r="AB21" s="31" t="s">
        <v>33</v>
      </c>
      <c r="AC21" s="31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.7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7">
        <f t="shared" ref="J22:J32" si="20">MAX(0,(PsnTMax - E3) * (E3 - PsnTMin) / (((PsnTMax - PsnTMin) / 2)*(PsnTMax - PsnTMin) / 2))</f>
        <v>0.25413223140495866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2.4173193365909163E-2</v>
      </c>
      <c r="O22" s="24">
        <f t="shared" ref="O22:O32" si="23">N22 * fRad * dayspan</f>
        <v>0.72519580097727487</v>
      </c>
      <c r="P22" s="8"/>
      <c r="Q22" s="15"/>
      <c r="R22" s="45">
        <f t="shared" ref="R22:R32" si="24">W22*(Fol)</f>
        <v>10.152741213681848</v>
      </c>
      <c r="S22" s="35">
        <f t="shared" ref="S22:S32" si="25">(BaseFolResp_pnet_ii*(RespQ10^((E3-PsnTOpt)/10))*DayLength*MC)/Billion</f>
        <v>2.3613312926599609E-3</v>
      </c>
      <c r="T22" s="35">
        <f t="shared" ref="T22:T32" si="26">(BaseFolResp_pnet_ii*(RespQ10^((F3-PsnTOpt)/10))*NightLength*MC)/Billion</f>
        <v>1.1806656463299809E-3</v>
      </c>
      <c r="U22" s="8"/>
      <c r="V22" s="24">
        <f t="shared" ref="V22:V32" si="27">(S22 + T22) * dayspan*Fol</f>
        <v>1.4876387143757757</v>
      </c>
      <c r="W22" s="45">
        <f t="shared" ref="W22:W32" si="28">O22 * fRad*fWater</f>
        <v>0.72519580097727487</v>
      </c>
      <c r="X22" s="8">
        <f t="shared" ref="X22:X32" si="29">(WUEconst/I22) * (1 + 1 - Delgs)</f>
        <v>18.453922352793494</v>
      </c>
      <c r="Y22" s="8">
        <f>R22 - V22</f>
        <v>8.665102499306073</v>
      </c>
      <c r="Z22" s="34">
        <f t="shared" ref="Z22:Z32" si="30">(R22/DelAmax/X22)*MCO2_MC</f>
        <v>1.8338720701161906</v>
      </c>
      <c r="AA22" s="8"/>
      <c r="AB22" s="31" t="s">
        <v>104</v>
      </c>
      <c r="AC22" s="31"/>
      <c r="AD22" s="31">
        <v>2</v>
      </c>
      <c r="AQ22" s="8"/>
      <c r="AR22" s="8"/>
      <c r="AS22" s="8"/>
      <c r="AT22" s="8"/>
      <c r="AU22" s="8"/>
      <c r="AV22" s="8"/>
      <c r="AW22" s="8"/>
    </row>
    <row r="23" spans="1:49" ht="15.7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7">
        <f t="shared" si="20"/>
        <v>0.5950413223140496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5.5713472509866267E-2</v>
      </c>
      <c r="O23" s="24">
        <f t="shared" si="23"/>
        <v>1.6714041752959881</v>
      </c>
      <c r="P23" s="8"/>
      <c r="Q23" s="15"/>
      <c r="R23" s="45">
        <f t="shared" si="24"/>
        <v>23.399658454143832</v>
      </c>
      <c r="S23" s="35">
        <f t="shared" si="25"/>
        <v>3.3394267393357093E-3</v>
      </c>
      <c r="T23" s="35">
        <f t="shared" si="26"/>
        <v>1.6697133696678547E-3</v>
      </c>
      <c r="U23" s="8"/>
      <c r="V23" s="24">
        <f t="shared" si="27"/>
        <v>2.1038388457814965</v>
      </c>
      <c r="W23" s="45">
        <f t="shared" si="28"/>
        <v>1.6714041752959881</v>
      </c>
      <c r="X23" s="8">
        <f t="shared" si="29"/>
        <v>13.682408928824644</v>
      </c>
      <c r="Y23" s="8">
        <f t="shared" ref="Y23:Y32" si="33">R23 - V23</f>
        <v>21.295819608362336</v>
      </c>
      <c r="Z23" s="34">
        <f t="shared" si="30"/>
        <v>5.7006104028715621</v>
      </c>
      <c r="AA23" s="8"/>
      <c r="AB23" s="31" t="s">
        <v>105</v>
      </c>
      <c r="AC23" s="31"/>
      <c r="AD23" s="31">
        <v>0.1</v>
      </c>
      <c r="AE23" s="36"/>
      <c r="AQ23" s="8"/>
      <c r="AR23" s="8"/>
      <c r="AS23" s="8"/>
      <c r="AT23" s="8"/>
      <c r="AU23" s="8"/>
      <c r="AV23" s="8"/>
      <c r="AW23" s="8"/>
    </row>
    <row r="24" spans="1:49" ht="15.7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7">
        <f t="shared" si="20"/>
        <v>0.8326446280991735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7.5883009941652119E-2</v>
      </c>
      <c r="O24" s="24">
        <f t="shared" si="23"/>
        <v>2.2764902982495636</v>
      </c>
      <c r="P24" s="8"/>
      <c r="Q24" s="15"/>
      <c r="R24" s="45">
        <f t="shared" si="24"/>
        <v>31.870864175493892</v>
      </c>
      <c r="S24" s="35">
        <f t="shared" si="25"/>
        <v>4.7226625853199217E-3</v>
      </c>
      <c r="T24" s="35">
        <f t="shared" si="26"/>
        <v>2.3613312926599609E-3</v>
      </c>
      <c r="U24" s="8"/>
      <c r="V24" s="24">
        <f t="shared" si="27"/>
        <v>2.9752774287515509</v>
      </c>
      <c r="W24" s="45">
        <f t="shared" si="28"/>
        <v>2.2764902982495636</v>
      </c>
      <c r="X24" s="8">
        <f t="shared" si="29"/>
        <v>10.332907842338232</v>
      </c>
      <c r="Y24" s="8">
        <f t="shared" si="33"/>
        <v>28.895586746742342</v>
      </c>
      <c r="Z24" s="34">
        <f t="shared" si="30"/>
        <v>10.281244616186708</v>
      </c>
      <c r="AA24" s="8"/>
      <c r="AB24" s="24" t="s">
        <v>43</v>
      </c>
      <c r="AC24" s="31"/>
      <c r="AD24" s="29">
        <f xml:space="preserve"> DelAmax / ((AD26 - AD26*0.68) / (350 - 238))</f>
        <v>0.96249211072040386</v>
      </c>
      <c r="AE24" s="36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.7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7">
        <f t="shared" si="20"/>
        <v>0.96694214876033058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8.3665905529045431E-2</v>
      </c>
      <c r="O25" s="24">
        <f t="shared" si="23"/>
        <v>2.509977165871363</v>
      </c>
      <c r="P25" s="8"/>
      <c r="Q25" s="15"/>
      <c r="R25" s="45">
        <f t="shared" si="24"/>
        <v>35.139680322199084</v>
      </c>
      <c r="S25" s="35">
        <f t="shared" si="25"/>
        <v>6.6788534786714187E-3</v>
      </c>
      <c r="T25" s="35">
        <f t="shared" si="26"/>
        <v>3.3394267393357093E-3</v>
      </c>
      <c r="U25" s="8"/>
      <c r="V25" s="24">
        <f t="shared" si="27"/>
        <v>4.207677691562993</v>
      </c>
      <c r="W25" s="45">
        <f t="shared" si="28"/>
        <v>2.509977165871363</v>
      </c>
      <c r="X25" s="8">
        <f t="shared" si="29"/>
        <v>7.7150109075467039</v>
      </c>
      <c r="Y25" s="8">
        <f t="shared" si="33"/>
        <v>30.932002630636092</v>
      </c>
      <c r="Z25" s="34">
        <f t="shared" si="30"/>
        <v>15.182233641638975</v>
      </c>
      <c r="AA25" s="8"/>
      <c r="AB25" s="24" t="s">
        <v>118</v>
      </c>
      <c r="AC25" s="31"/>
      <c r="AD25" s="29">
        <f>AE25/IMAX</f>
        <v>16</v>
      </c>
      <c r="AE25" s="24">
        <v>80</v>
      </c>
      <c r="AF25" s="24" t="s">
        <v>146</v>
      </c>
      <c r="AG25" s="8"/>
      <c r="AQ25" s="8"/>
      <c r="AR25" s="8"/>
      <c r="AS25" s="8"/>
      <c r="AT25" s="8"/>
      <c r="AU25" s="8"/>
      <c r="AV25" s="8"/>
      <c r="AW25" s="8"/>
    </row>
    <row r="26" spans="1:49" ht="15.7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7">
        <f t="shared" si="20"/>
        <v>0.99793388429752061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7.8543429399797027E-2</v>
      </c>
      <c r="O26" s="24">
        <f t="shared" si="23"/>
        <v>2.3563028819939107</v>
      </c>
      <c r="P26" s="8"/>
      <c r="Q26" s="15"/>
      <c r="R26" s="45">
        <f t="shared" si="24"/>
        <v>32.988240347914747</v>
      </c>
      <c r="S26" s="35">
        <f t="shared" si="25"/>
        <v>9.4453251706398435E-3</v>
      </c>
      <c r="T26" s="35">
        <f t="shared" si="26"/>
        <v>4.7226625853199217E-3</v>
      </c>
      <c r="U26" s="8"/>
      <c r="V26" s="24">
        <f t="shared" si="27"/>
        <v>5.9505548575031018</v>
      </c>
      <c r="W26" s="45">
        <f t="shared" si="28"/>
        <v>2.3563028819939107</v>
      </c>
      <c r="X26" s="8">
        <f t="shared" si="29"/>
        <v>5.8305059604289591</v>
      </c>
      <c r="Y26" s="8">
        <f t="shared" si="33"/>
        <v>27.037685490411647</v>
      </c>
      <c r="Z26" s="34">
        <f t="shared" si="30"/>
        <v>18.859375827820404</v>
      </c>
      <c r="AA26" s="8"/>
      <c r="AB26" s="24" t="s">
        <v>144</v>
      </c>
      <c r="AC26" s="31" t="s">
        <v>145</v>
      </c>
      <c r="AD26" s="31">
        <v>400</v>
      </c>
      <c r="AE26" s="50" t="s">
        <v>147</v>
      </c>
      <c r="AF26" s="50"/>
      <c r="AG26" s="8"/>
      <c r="AQ26" s="8"/>
      <c r="AR26" s="8"/>
      <c r="AS26" s="8"/>
      <c r="AT26" s="8"/>
      <c r="AU26" s="8"/>
      <c r="AV26" s="8"/>
      <c r="AW26" s="8"/>
    </row>
    <row r="27" spans="1:49" ht="15.7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7">
        <f t="shared" si="20"/>
        <v>0.92561983471074383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6.0844184128427847E-2</v>
      </c>
      <c r="O27" s="24">
        <f t="shared" si="23"/>
        <v>1.8253255238528354</v>
      </c>
      <c r="P27" s="8"/>
      <c r="Q27" s="15"/>
      <c r="R27" s="45">
        <f t="shared" si="24"/>
        <v>25.554557333939695</v>
      </c>
      <c r="S27" s="35">
        <f t="shared" si="25"/>
        <v>1.3357706957342836E-2</v>
      </c>
      <c r="T27" s="35">
        <f t="shared" si="26"/>
        <v>6.6788534786714187E-3</v>
      </c>
      <c r="U27" s="8"/>
      <c r="V27" s="24">
        <f t="shared" si="27"/>
        <v>8.415355383125986</v>
      </c>
      <c r="W27" s="45">
        <f t="shared" si="28"/>
        <v>1.8253255238528354</v>
      </c>
      <c r="X27" s="8">
        <f t="shared" si="29"/>
        <v>4.4568472966066368</v>
      </c>
      <c r="Y27" s="8">
        <f t="shared" si="33"/>
        <v>17.139201950813707</v>
      </c>
      <c r="Z27" s="34">
        <f t="shared" si="30"/>
        <v>19.112390788631682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.7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7">
        <f t="shared" si="20"/>
        <v>0.75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3.3501251897514836E-2</v>
      </c>
      <c r="O28" s="24">
        <f t="shared" si="23"/>
        <v>1.0050375569254451</v>
      </c>
      <c r="P28" s="8"/>
      <c r="Q28" s="15"/>
      <c r="R28" s="45">
        <f t="shared" si="24"/>
        <v>14.070525796956231</v>
      </c>
      <c r="S28" s="35">
        <f t="shared" si="25"/>
        <v>1.8890650341279687E-2</v>
      </c>
      <c r="T28" s="35">
        <f t="shared" si="26"/>
        <v>9.4453251706398435E-3</v>
      </c>
      <c r="U28" s="8"/>
      <c r="V28" s="24">
        <f t="shared" si="27"/>
        <v>11.901109715006204</v>
      </c>
      <c r="W28" s="45">
        <f t="shared" si="28"/>
        <v>1.0050375569254451</v>
      </c>
      <c r="X28" s="8">
        <f t="shared" si="29"/>
        <v>3.4436556775772398</v>
      </c>
      <c r="Y28" s="8">
        <f t="shared" si="33"/>
        <v>2.1694160819500272</v>
      </c>
      <c r="Z28" s="34">
        <f t="shared" si="30"/>
        <v>13.619620752555713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.7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7">
        <f t="shared" si="20"/>
        <v>0.47107438016528924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5.2497731871605146E-3</v>
      </c>
      <c r="O29" s="24">
        <f t="shared" si="23"/>
        <v>0.15749319561481545</v>
      </c>
      <c r="P29" s="8"/>
      <c r="Q29" s="15"/>
      <c r="R29" s="45">
        <f t="shared" si="24"/>
        <v>2.2049047386074161</v>
      </c>
      <c r="S29" s="35">
        <f t="shared" si="25"/>
        <v>2.6715413914685671E-2</v>
      </c>
      <c r="T29" s="35">
        <f t="shared" si="26"/>
        <v>1.3357706957342836E-2</v>
      </c>
      <c r="U29" s="8"/>
      <c r="V29" s="24">
        <f t="shared" si="27"/>
        <v>16.830710766251972</v>
      </c>
      <c r="W29" s="45">
        <f t="shared" si="28"/>
        <v>0.15749319561481545</v>
      </c>
      <c r="X29" s="8">
        <f t="shared" si="29"/>
        <v>2.6879507610572184</v>
      </c>
      <c r="Y29" s="8">
        <f t="shared" si="33"/>
        <v>-14.625806027644556</v>
      </c>
      <c r="Z29" s="34">
        <f t="shared" si="30"/>
        <v>2.7342796527817743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.7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7">
        <f t="shared" si="20"/>
        <v>8.8842975206611566E-2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24">
        <f t="shared" si="23"/>
        <v>0</v>
      </c>
      <c r="P30" s="8"/>
      <c r="Q30" s="15"/>
      <c r="R30" s="45">
        <f t="shared" si="24"/>
        <v>0</v>
      </c>
      <c r="S30" s="35">
        <f t="shared" si="25"/>
        <v>3.7781300682559374E-2</v>
      </c>
      <c r="T30" s="35">
        <f t="shared" si="26"/>
        <v>1.8890650341279687E-2</v>
      </c>
      <c r="U30" s="8"/>
      <c r="V30" s="24">
        <f t="shared" si="27"/>
        <v>23.802219430012407</v>
      </c>
      <c r="W30" s="45">
        <f t="shared" si="28"/>
        <v>0</v>
      </c>
      <c r="X30" s="8">
        <f t="shared" si="29"/>
        <v>2.1183142679167029</v>
      </c>
      <c r="Y30" s="8">
        <f t="shared" si="33"/>
        <v>-23.802219430012407</v>
      </c>
      <c r="Z30" s="34">
        <f t="shared" si="30"/>
        <v>0</v>
      </c>
      <c r="AA30" s="8"/>
      <c r="AB30" s="30" t="s">
        <v>116</v>
      </c>
      <c r="AC30" s="30"/>
      <c r="AD30" s="30">
        <v>1</v>
      </c>
      <c r="AE30" s="27" t="s">
        <v>132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.7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7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24">
        <f t="shared" si="23"/>
        <v>0</v>
      </c>
      <c r="P31" s="8"/>
      <c r="Q31" s="15"/>
      <c r="R31" s="45">
        <f t="shared" si="24"/>
        <v>0</v>
      </c>
      <c r="S31" s="35">
        <f t="shared" si="25"/>
        <v>5.3430827829371343E-2</v>
      </c>
      <c r="T31" s="35">
        <f t="shared" si="26"/>
        <v>2.6715413914685671E-2</v>
      </c>
      <c r="U31" s="8"/>
      <c r="V31" s="24">
        <f t="shared" si="27"/>
        <v>33.661421532503944</v>
      </c>
      <c r="W31" s="45">
        <f t="shared" si="28"/>
        <v>0</v>
      </c>
      <c r="X31" s="8">
        <f t="shared" si="29"/>
        <v>1.6846198912095649</v>
      </c>
      <c r="Y31" s="8">
        <f t="shared" si="33"/>
        <v>-33.661421532503944</v>
      </c>
      <c r="Z31" s="34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.7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7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25">
        <f t="shared" si="23"/>
        <v>0</v>
      </c>
      <c r="P32" s="13"/>
      <c r="Q32" s="16"/>
      <c r="R32" s="45">
        <f t="shared" si="24"/>
        <v>0</v>
      </c>
      <c r="S32" s="35">
        <f t="shared" si="25"/>
        <v>7.5562601365118748E-2</v>
      </c>
      <c r="T32" s="35">
        <f t="shared" si="26"/>
        <v>3.7781300682559374E-2</v>
      </c>
      <c r="U32" s="13"/>
      <c r="V32" s="24">
        <f t="shared" si="27"/>
        <v>47.604438860024814</v>
      </c>
      <c r="W32" s="45">
        <f t="shared" si="28"/>
        <v>0</v>
      </c>
      <c r="X32" s="8">
        <f t="shared" si="29"/>
        <v>1.3512835339507625</v>
      </c>
      <c r="Y32" s="13">
        <f t="shared" si="33"/>
        <v>-47.604438860024814</v>
      </c>
      <c r="Z32" s="34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56" t="s">
        <v>189</v>
      </c>
      <c r="D33" s="49"/>
      <c r="E33" s="49"/>
      <c r="G33" s="49" t="s">
        <v>126</v>
      </c>
      <c r="H33" s="49" t="s">
        <v>126</v>
      </c>
      <c r="I33" s="49" t="s">
        <v>190</v>
      </c>
      <c r="J33" s="27" t="s">
        <v>78</v>
      </c>
      <c r="L33" s="27" t="s">
        <v>78</v>
      </c>
      <c r="M33" s="27" t="s">
        <v>117</v>
      </c>
      <c r="N33" s="27" t="s">
        <v>80</v>
      </c>
      <c r="O33" s="31" t="s">
        <v>86</v>
      </c>
      <c r="P33" s="28" t="s">
        <v>124</v>
      </c>
      <c r="Q33" s="15"/>
      <c r="R33" s="31" t="s">
        <v>84</v>
      </c>
      <c r="S33" s="27" t="s">
        <v>80</v>
      </c>
      <c r="T33" s="27" t="s">
        <v>80</v>
      </c>
      <c r="U33" s="27" t="s">
        <v>79</v>
      </c>
      <c r="V33" s="31" t="s">
        <v>84</v>
      </c>
      <c r="W33" s="31" t="s">
        <v>86</v>
      </c>
      <c r="X33" s="27" t="s">
        <v>123</v>
      </c>
      <c r="Y33" s="31" t="s">
        <v>84</v>
      </c>
      <c r="Z33" s="31" t="s">
        <v>128</v>
      </c>
      <c r="AA33" s="8"/>
      <c r="AF33" s="51" t="s">
        <v>130</v>
      </c>
      <c r="AG33" s="51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A34" s="4"/>
      <c r="AB34" s="4"/>
      <c r="AC34" s="4"/>
      <c r="AD34" s="4"/>
      <c r="AF34" s="52" t="s">
        <v>131</v>
      </c>
      <c r="AG34" s="52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2" t="s">
        <v>143</v>
      </c>
      <c r="AB35" s="2" t="s">
        <v>191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51" spans="24:48">
      <c r="X51" s="2" t="s">
        <v>148</v>
      </c>
      <c r="Y51" s="2"/>
      <c r="Z51" s="2"/>
    </row>
    <row r="52" spans="24:48">
      <c r="X52" s="53" t="s">
        <v>138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24:48">
      <c r="X53" s="54" t="s">
        <v>140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24:48">
      <c r="X54" s="54" t="s">
        <v>141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24:48">
      <c r="X55" s="54" t="s">
        <v>142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24:48">
      <c r="X56" s="54" t="s">
        <v>137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24:48">
      <c r="X57" s="54" t="s">
        <v>139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24:48"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24:48"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5"/>
      <c r="AK59" s="55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4:48"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5"/>
      <c r="AK60" s="55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" sqref="E2"/>
    </sheetView>
  </sheetViews>
  <sheetFormatPr defaultRowHeight="15"/>
  <sheetData>
    <row r="1" spans="1:5">
      <c r="A1" t="s">
        <v>10</v>
      </c>
      <c r="B1" t="s">
        <v>7</v>
      </c>
      <c r="D1" t="s">
        <v>192</v>
      </c>
      <c r="E1">
        <v>-86</v>
      </c>
    </row>
    <row r="2" spans="1:5">
      <c r="A2">
        <v>1</v>
      </c>
      <c r="B2">
        <f>A2*$E$2+$E$1</f>
        <v>14</v>
      </c>
      <c r="D2" t="s">
        <v>193</v>
      </c>
      <c r="E2">
        <v>100</v>
      </c>
    </row>
    <row r="3" spans="1:5">
      <c r="A3">
        <v>1.5</v>
      </c>
      <c r="B3" s="27">
        <f t="shared" ref="B3:B7" si="0">A3*$E$2+$E$1</f>
        <v>64</v>
      </c>
    </row>
    <row r="4" spans="1:5">
      <c r="A4">
        <v>2</v>
      </c>
      <c r="B4" s="27">
        <f t="shared" si="0"/>
        <v>114</v>
      </c>
    </row>
    <row r="5" spans="1:5">
      <c r="A5">
        <v>2.5</v>
      </c>
      <c r="B5" s="27">
        <f t="shared" si="0"/>
        <v>164</v>
      </c>
    </row>
    <row r="6" spans="1:5">
      <c r="A6">
        <v>3</v>
      </c>
      <c r="B6" s="27">
        <f t="shared" si="0"/>
        <v>214</v>
      </c>
    </row>
    <row r="7" spans="1:5">
      <c r="A7">
        <v>3.5</v>
      </c>
      <c r="B7" s="27">
        <f t="shared" si="0"/>
        <v>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8"/>
  <sheetViews>
    <sheetView topLeftCell="E1" workbookViewId="0">
      <selection activeCell="P2" sqref="P2:P13"/>
    </sheetView>
  </sheetViews>
  <sheetFormatPr defaultRowHeight="15"/>
  <cols>
    <col min="6" max="7" width="0" hidden="1" customWidth="1"/>
    <col min="11" max="11" width="9.140625" style="27"/>
    <col min="14" max="14" width="9.140625" style="27"/>
    <col min="18" max="18" width="12.7109375" bestFit="1" customWidth="1"/>
    <col min="26" max="26" width="11.7109375" customWidth="1"/>
  </cols>
  <sheetData>
    <row r="1" spans="1:29">
      <c r="A1" t="s">
        <v>19</v>
      </c>
      <c r="B1" t="s">
        <v>20</v>
      </c>
      <c r="C1" t="s">
        <v>21</v>
      </c>
      <c r="D1" t="s">
        <v>18</v>
      </c>
      <c r="E1" t="s">
        <v>16</v>
      </c>
      <c r="F1" t="s">
        <v>29</v>
      </c>
      <c r="G1" t="s">
        <v>30</v>
      </c>
      <c r="H1" t="s">
        <v>31</v>
      </c>
      <c r="I1" t="s">
        <v>11</v>
      </c>
      <c r="J1" t="s">
        <v>6</v>
      </c>
      <c r="K1" s="27" t="s">
        <v>37</v>
      </c>
      <c r="L1" s="4" t="s">
        <v>34</v>
      </c>
      <c r="M1" t="s">
        <v>63</v>
      </c>
      <c r="N1" s="27" t="s">
        <v>152</v>
      </c>
      <c r="O1" t="s">
        <v>150</v>
      </c>
      <c r="P1" s="27" t="s">
        <v>151</v>
      </c>
      <c r="Q1" t="s">
        <v>17</v>
      </c>
      <c r="R1" t="s">
        <v>14</v>
      </c>
      <c r="S1" t="s">
        <v>153</v>
      </c>
      <c r="T1" s="27" t="s">
        <v>154</v>
      </c>
      <c r="U1" t="s">
        <v>25</v>
      </c>
      <c r="V1" t="s">
        <v>24</v>
      </c>
      <c r="W1" t="s">
        <v>36</v>
      </c>
      <c r="X1" t="s">
        <v>28</v>
      </c>
      <c r="Z1" s="31" t="s">
        <v>3</v>
      </c>
      <c r="AA1" s="31">
        <v>0</v>
      </c>
    </row>
    <row r="2" spans="1:29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AA$2)/2</f>
        <v>8.5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AA$8 * H2^ AA$9)</f>
        <v>0.99116670419529562</v>
      </c>
      <c r="J2">
        <f t="shared" ref="J2:J13" si="2">MAX(0,(($AA$3-D2)*(D2-$AA$1))/((($AA$3-$AA$1)/2)^2))</f>
        <v>0</v>
      </c>
      <c r="K2" s="27">
        <f t="shared" ref="K2:K13" si="3">IF(D2&gt;AA$2,1,MAX(0,((AA$3-D2)*(D2-AA$1))/(((AA$3-AA$1)/2)^2)))</f>
        <v>0</v>
      </c>
      <c r="L2">
        <f t="shared" ref="L2:L13" si="4">AA$10*(AA$7*I2*AA$11*12)/1000000000</f>
        <v>2.1725371888189602</v>
      </c>
      <c r="M2">
        <f>K2*L2</f>
        <v>0</v>
      </c>
      <c r="N2" s="27">
        <f>J2*L2</f>
        <v>0</v>
      </c>
      <c r="O2" s="27">
        <f t="shared" ref="O2:O13" si="5" xml:space="preserve"> AA$12*AA$13* M2 * AA$14</f>
        <v>0</v>
      </c>
      <c r="P2" s="27">
        <f t="shared" ref="P2:P13" si="6" xml:space="preserve"> AA$12*AA$13* N2 * AA$14</f>
        <v>0</v>
      </c>
      <c r="Q2">
        <f t="shared" ref="Q2:Q13" si="7">AA$18^((D2-AA$2)/10)</f>
        <v>0.21763764082403106</v>
      </c>
      <c r="R2">
        <f t="shared" ref="R2:R13" si="8">AA$17*Q2</f>
        <v>2.1763764082403107E-2</v>
      </c>
      <c r="S2">
        <f>O2+V2</f>
        <v>0.95407940233607225</v>
      </c>
      <c r="T2" s="27">
        <f>P2+V2</f>
        <v>0.95407940233607225</v>
      </c>
      <c r="U2">
        <f>AA$17*Q2*AA$10*86400*12/1000000000*AA$7</f>
        <v>9.5407940233607227E-2</v>
      </c>
      <c r="V2">
        <f>AA$12*U2*AA$14</f>
        <v>0.95407940233607225</v>
      </c>
      <c r="W2">
        <f t="shared" ref="W2:W13" si="9">AA$16/H2</f>
        <v>25.932841941192954</v>
      </c>
      <c r="X2">
        <f t="shared" ref="X2:X13" si="10">T2*(44/12)/W2</f>
        <v>0.13489810140484756</v>
      </c>
      <c r="Z2" s="31" t="s">
        <v>4</v>
      </c>
      <c r="AA2" s="31">
        <v>22</v>
      </c>
    </row>
    <row r="3" spans="1:29">
      <c r="A3">
        <v>-10</v>
      </c>
      <c r="B3">
        <v>10</v>
      </c>
      <c r="C3">
        <f t="shared" ref="C3:C10" si="11">(A3+B3)/2</f>
        <v>0</v>
      </c>
      <c r="D3">
        <f t="shared" ref="D3:D13" si="12">(C3+B3)/2</f>
        <v>5</v>
      </c>
      <c r="E3">
        <f t="shared" si="0"/>
        <v>11</v>
      </c>
      <c r="F3">
        <f t="shared" ref="F3:F13" si="13">0.61078 * EXP(17.26939 * D3 / (D3 + 237.3))</f>
        <v>0.87227141748882542</v>
      </c>
      <c r="G3">
        <f t="shared" ref="G3:G13" si="14">0.61078 * EXP(17.26939 * A3 / (A3 + 237.3))</f>
        <v>0.28570929427727804</v>
      </c>
      <c r="H3">
        <f t="shared" ref="H3:H13" si="15">F3-G3</f>
        <v>0.58656212321154744</v>
      </c>
      <c r="I3">
        <f t="shared" si="1"/>
        <v>0.98279724378067812</v>
      </c>
      <c r="J3">
        <f t="shared" si="2"/>
        <v>0.40289256198347106</v>
      </c>
      <c r="K3" s="27">
        <f t="shared" si="3"/>
        <v>0.40289256198347106</v>
      </c>
      <c r="L3" s="27">
        <f t="shared" si="4"/>
        <v>2.1541921779099553</v>
      </c>
      <c r="M3" s="27">
        <f t="shared" ref="M3:M13" si="16">K3*L3</f>
        <v>0.86790800556289516</v>
      </c>
      <c r="N3" s="27">
        <f t="shared" ref="N3:N13" si="17">J3*L3</f>
        <v>0.86790800556289516</v>
      </c>
      <c r="O3" s="27">
        <f t="shared" si="5"/>
        <v>8.6790800556289511</v>
      </c>
      <c r="P3" s="27">
        <f t="shared" si="6"/>
        <v>8.6790800556289511</v>
      </c>
      <c r="Q3" s="27">
        <f t="shared" si="7"/>
        <v>0.30778610333622908</v>
      </c>
      <c r="R3" s="27">
        <f t="shared" si="8"/>
        <v>3.0778610333622908E-2</v>
      </c>
      <c r="S3" s="27">
        <f t="shared" ref="S3:S13" si="18">O3+V3</f>
        <v>10.028352085993442</v>
      </c>
      <c r="T3" s="27">
        <f t="shared" ref="T3:T13" si="19">P3+V3</f>
        <v>10.028352085993442</v>
      </c>
      <c r="U3" s="27">
        <f t="shared" ref="U3:U13" si="20">AA$17*Q3*AA$10*86400*12/1000000000*AA$7</f>
        <v>0.13492720303644898</v>
      </c>
      <c r="V3" s="27">
        <f t="shared" ref="V3:V13" si="21">AA$12*U3*AA$14</f>
        <v>1.3492720303644898</v>
      </c>
      <c r="W3">
        <f t="shared" si="9"/>
        <v>18.582856902386187</v>
      </c>
      <c r="X3">
        <f t="shared" si="10"/>
        <v>1.9787390339634829</v>
      </c>
      <c r="Z3" s="31" t="s">
        <v>5</v>
      </c>
      <c r="AA3" s="29">
        <f>AA2+(AA2-AA1)</f>
        <v>44</v>
      </c>
    </row>
    <row r="4" spans="1:29">
      <c r="A4">
        <v>-5</v>
      </c>
      <c r="B4">
        <v>15</v>
      </c>
      <c r="C4">
        <f t="shared" si="11"/>
        <v>5</v>
      </c>
      <c r="D4">
        <f t="shared" si="12"/>
        <v>10</v>
      </c>
      <c r="E4">
        <f t="shared" si="0"/>
        <v>13.5</v>
      </c>
      <c r="F4">
        <f t="shared" si="13"/>
        <v>1.2278921229539039</v>
      </c>
      <c r="G4">
        <f t="shared" si="14"/>
        <v>0.42116823077156701</v>
      </c>
      <c r="H4">
        <f t="shared" si="15"/>
        <v>0.80672389218233698</v>
      </c>
      <c r="I4">
        <f t="shared" si="1"/>
        <v>0.96745982808910902</v>
      </c>
      <c r="J4">
        <f t="shared" si="2"/>
        <v>0.7024793388429752</v>
      </c>
      <c r="K4" s="27">
        <f t="shared" si="3"/>
        <v>0.7024793388429752</v>
      </c>
      <c r="L4" s="27">
        <f t="shared" si="4"/>
        <v>2.1205741136335114</v>
      </c>
      <c r="M4" s="27">
        <f t="shared" si="16"/>
        <v>1.4896595013127973</v>
      </c>
      <c r="N4" s="27">
        <f t="shared" si="17"/>
        <v>1.4896595013127973</v>
      </c>
      <c r="O4" s="27">
        <f t="shared" si="5"/>
        <v>14.896595013127973</v>
      </c>
      <c r="P4" s="27">
        <f t="shared" si="6"/>
        <v>14.896595013127973</v>
      </c>
      <c r="Q4" s="27">
        <f t="shared" si="7"/>
        <v>0.43527528164806206</v>
      </c>
      <c r="R4" s="27">
        <f t="shared" si="8"/>
        <v>4.3527528164806206E-2</v>
      </c>
      <c r="S4" s="27">
        <f t="shared" si="18"/>
        <v>16.804753817800119</v>
      </c>
      <c r="T4" s="27">
        <f t="shared" si="19"/>
        <v>16.804753817800119</v>
      </c>
      <c r="U4" s="27">
        <f t="shared" si="20"/>
        <v>0.19081588046721443</v>
      </c>
      <c r="V4" s="27">
        <f t="shared" si="21"/>
        <v>1.9081588046721443</v>
      </c>
      <c r="W4">
        <f t="shared" si="9"/>
        <v>13.511438183036192</v>
      </c>
      <c r="X4">
        <f t="shared" si="10"/>
        <v>4.560390228675189</v>
      </c>
      <c r="Z4" s="31" t="s">
        <v>8</v>
      </c>
      <c r="AA4" s="31">
        <v>-46</v>
      </c>
    </row>
    <row r="5" spans="1:29">
      <c r="A5">
        <v>0</v>
      </c>
      <c r="B5">
        <v>20</v>
      </c>
      <c r="C5">
        <f t="shared" si="11"/>
        <v>10</v>
      </c>
      <c r="D5">
        <f t="shared" si="12"/>
        <v>15</v>
      </c>
      <c r="E5">
        <f t="shared" si="0"/>
        <v>16</v>
      </c>
      <c r="F5">
        <f t="shared" si="13"/>
        <v>1.7052285488209411</v>
      </c>
      <c r="G5">
        <f t="shared" si="14"/>
        <v>0.61077999999999999</v>
      </c>
      <c r="H5">
        <f t="shared" si="15"/>
        <v>1.094448548820941</v>
      </c>
      <c r="I5">
        <f t="shared" si="1"/>
        <v>0.94010911869918679</v>
      </c>
      <c r="J5">
        <f t="shared" si="2"/>
        <v>0.89876033057851235</v>
      </c>
      <c r="K5" s="27">
        <f t="shared" si="3"/>
        <v>0.89876033057851235</v>
      </c>
      <c r="L5" s="27">
        <f t="shared" si="4"/>
        <v>2.0606241243545345</v>
      </c>
      <c r="M5" s="27">
        <f t="shared" si="16"/>
        <v>1.8520072192029389</v>
      </c>
      <c r="N5" s="27">
        <f t="shared" si="17"/>
        <v>1.8520072192029389</v>
      </c>
      <c r="O5" s="27">
        <f t="shared" si="5"/>
        <v>18.520072192029389</v>
      </c>
      <c r="P5" s="27">
        <f t="shared" si="6"/>
        <v>18.520072192029389</v>
      </c>
      <c r="Q5" s="27">
        <f t="shared" si="7"/>
        <v>0.61557220667245816</v>
      </c>
      <c r="R5" s="27">
        <f t="shared" si="8"/>
        <v>6.1557220667245817E-2</v>
      </c>
      <c r="S5" s="27">
        <f t="shared" si="18"/>
        <v>21.21861625275837</v>
      </c>
      <c r="T5" s="27">
        <f t="shared" si="19"/>
        <v>21.21861625275837</v>
      </c>
      <c r="U5" s="27">
        <f t="shared" si="20"/>
        <v>0.26985440607289796</v>
      </c>
      <c r="V5" s="27">
        <f t="shared" si="21"/>
        <v>2.6985440607289797</v>
      </c>
      <c r="W5">
        <f t="shared" si="9"/>
        <v>9.9593535134590532</v>
      </c>
      <c r="X5">
        <f t="shared" si="10"/>
        <v>7.8119119701534592</v>
      </c>
      <c r="Z5" s="31" t="s">
        <v>9</v>
      </c>
      <c r="AA5" s="31">
        <v>71.900000000000006</v>
      </c>
    </row>
    <row r="6" spans="1:29">
      <c r="A6">
        <v>5</v>
      </c>
      <c r="B6">
        <v>25</v>
      </c>
      <c r="C6">
        <f t="shared" si="11"/>
        <v>15</v>
      </c>
      <c r="D6">
        <f t="shared" si="12"/>
        <v>20</v>
      </c>
      <c r="E6">
        <f t="shared" si="0"/>
        <v>18.5</v>
      </c>
      <c r="F6">
        <f t="shared" si="13"/>
        <v>2.3380938419374377</v>
      </c>
      <c r="G6">
        <f t="shared" si="14"/>
        <v>0.87227141748882542</v>
      </c>
      <c r="H6">
        <f t="shared" si="15"/>
        <v>1.4658224244486124</v>
      </c>
      <c r="I6">
        <f t="shared" si="1"/>
        <v>0.89256823099917959</v>
      </c>
      <c r="J6">
        <f t="shared" si="2"/>
        <v>0.99173553719008267</v>
      </c>
      <c r="K6" s="27">
        <f t="shared" si="3"/>
        <v>0.99173553719008267</v>
      </c>
      <c r="L6" s="27">
        <f t="shared" si="4"/>
        <v>1.9564193058506831</v>
      </c>
      <c r="M6" s="27">
        <f t="shared" si="16"/>
        <v>1.940250551256876</v>
      </c>
      <c r="N6" s="27">
        <f t="shared" si="17"/>
        <v>1.940250551256876</v>
      </c>
      <c r="O6" s="27">
        <f t="shared" si="5"/>
        <v>19.402505512568759</v>
      </c>
      <c r="P6" s="27">
        <f t="shared" si="6"/>
        <v>19.402505512568759</v>
      </c>
      <c r="Q6" s="27">
        <f t="shared" si="7"/>
        <v>0.87055056329612412</v>
      </c>
      <c r="R6" s="27">
        <f t="shared" si="8"/>
        <v>8.7055056329612412E-2</v>
      </c>
      <c r="S6" s="27">
        <f t="shared" si="18"/>
        <v>23.218823121913047</v>
      </c>
      <c r="T6" s="27">
        <f t="shared" si="19"/>
        <v>23.218823121913047</v>
      </c>
      <c r="U6" s="27">
        <f t="shared" si="20"/>
        <v>0.38163176093442885</v>
      </c>
      <c r="V6" s="27">
        <f t="shared" si="21"/>
        <v>3.8163176093442885</v>
      </c>
      <c r="W6">
        <f t="shared" si="9"/>
        <v>7.4360985465890748</v>
      </c>
      <c r="X6">
        <f t="shared" si="10"/>
        <v>11.44897209833232</v>
      </c>
      <c r="Z6" s="31" t="s">
        <v>10</v>
      </c>
      <c r="AA6" s="31">
        <v>2.6</v>
      </c>
    </row>
    <row r="7" spans="1:29">
      <c r="A7">
        <v>10</v>
      </c>
      <c r="B7">
        <v>30</v>
      </c>
      <c r="C7">
        <f t="shared" si="11"/>
        <v>20</v>
      </c>
      <c r="D7">
        <f t="shared" si="12"/>
        <v>25</v>
      </c>
      <c r="E7">
        <f t="shared" si="0"/>
        <v>21</v>
      </c>
      <c r="F7">
        <f t="shared" si="13"/>
        <v>3.1674898302368564</v>
      </c>
      <c r="G7">
        <f t="shared" si="14"/>
        <v>1.2278921229539039</v>
      </c>
      <c r="H7">
        <f t="shared" si="15"/>
        <v>1.9395977072829524</v>
      </c>
      <c r="I7">
        <f t="shared" si="1"/>
        <v>0.81189803669513572</v>
      </c>
      <c r="J7">
        <f t="shared" si="2"/>
        <v>0.98140495867768596</v>
      </c>
      <c r="K7" s="27">
        <f t="shared" si="3"/>
        <v>1</v>
      </c>
      <c r="L7" s="27">
        <f t="shared" si="4"/>
        <v>1.7795983973062672</v>
      </c>
      <c r="M7" s="27">
        <f t="shared" si="16"/>
        <v>1.7795983973062672</v>
      </c>
      <c r="N7" s="27">
        <f t="shared" si="17"/>
        <v>1.7465066915712333</v>
      </c>
      <c r="O7" s="27">
        <f t="shared" si="5"/>
        <v>17.795983973062672</v>
      </c>
      <c r="P7" s="27">
        <f t="shared" si="6"/>
        <v>17.465066915712335</v>
      </c>
      <c r="Q7" s="27">
        <f t="shared" si="7"/>
        <v>1.2311444133449163</v>
      </c>
      <c r="R7" s="27">
        <f t="shared" si="8"/>
        <v>0.12311444133449163</v>
      </c>
      <c r="S7" s="27">
        <f t="shared" si="18"/>
        <v>23.19307209452063</v>
      </c>
      <c r="T7" s="27">
        <f t="shared" si="19"/>
        <v>22.862155037170293</v>
      </c>
      <c r="U7" s="27">
        <f t="shared" si="20"/>
        <v>0.53970881214579591</v>
      </c>
      <c r="V7" s="27">
        <f t="shared" si="21"/>
        <v>5.3970881214579594</v>
      </c>
      <c r="W7">
        <f t="shared" si="9"/>
        <v>5.6197220480679224</v>
      </c>
      <c r="X7">
        <f t="shared" si="10"/>
        <v>14.91673450856489</v>
      </c>
      <c r="Z7" s="31" t="s">
        <v>7</v>
      </c>
      <c r="AA7" s="29">
        <f>AA4+AA5*AA6</f>
        <v>140.94000000000003</v>
      </c>
    </row>
    <row r="8" spans="1:29">
      <c r="A8">
        <v>15</v>
      </c>
      <c r="B8">
        <v>35</v>
      </c>
      <c r="C8">
        <f t="shared" si="11"/>
        <v>25</v>
      </c>
      <c r="D8">
        <f t="shared" si="12"/>
        <v>30</v>
      </c>
      <c r="E8">
        <f t="shared" si="0"/>
        <v>23.5</v>
      </c>
      <c r="F8">
        <f t="shared" si="13"/>
        <v>4.2426356531114431</v>
      </c>
      <c r="G8">
        <f t="shared" si="14"/>
        <v>1.7052285488209411</v>
      </c>
      <c r="H8">
        <f t="shared" si="15"/>
        <v>2.537407104290502</v>
      </c>
      <c r="I8">
        <f t="shared" si="1"/>
        <v>0.67807825935480448</v>
      </c>
      <c r="J8">
        <f t="shared" si="2"/>
        <v>0.86776859504132231</v>
      </c>
      <c r="K8" s="27">
        <f t="shared" si="3"/>
        <v>1</v>
      </c>
      <c r="L8" s="27">
        <f t="shared" si="4"/>
        <v>1.4862789772321459</v>
      </c>
      <c r="M8" s="27">
        <f t="shared" si="16"/>
        <v>1.4862789772321459</v>
      </c>
      <c r="N8" s="27">
        <f t="shared" si="17"/>
        <v>1.2897462199121927</v>
      </c>
      <c r="O8" s="27">
        <f t="shared" si="5"/>
        <v>14.862789772321459</v>
      </c>
      <c r="P8" s="27">
        <f t="shared" si="6"/>
        <v>12.897462199121927</v>
      </c>
      <c r="Q8" s="27">
        <f t="shared" si="7"/>
        <v>1.7411011265922482</v>
      </c>
      <c r="R8" s="27">
        <f t="shared" si="8"/>
        <v>0.17411011265922482</v>
      </c>
      <c r="S8" s="27">
        <f t="shared" si="18"/>
        <v>22.495424991010037</v>
      </c>
      <c r="T8" s="27">
        <f t="shared" si="19"/>
        <v>20.530097417810502</v>
      </c>
      <c r="U8" s="27">
        <f t="shared" si="20"/>
        <v>0.76326352186885771</v>
      </c>
      <c r="V8" s="27">
        <f t="shared" si="21"/>
        <v>7.6326352186885771</v>
      </c>
      <c r="W8">
        <f t="shared" si="9"/>
        <v>4.29572376524413</v>
      </c>
      <c r="X8">
        <f t="shared" si="10"/>
        <v>17.523711481254221</v>
      </c>
      <c r="Z8" s="31" t="s">
        <v>32</v>
      </c>
      <c r="AA8" s="31">
        <v>0.05</v>
      </c>
    </row>
    <row r="9" spans="1:29">
      <c r="A9">
        <v>20</v>
      </c>
      <c r="B9">
        <v>40</v>
      </c>
      <c r="C9">
        <f t="shared" si="11"/>
        <v>30</v>
      </c>
      <c r="D9">
        <f t="shared" si="12"/>
        <v>35</v>
      </c>
      <c r="E9">
        <f t="shared" si="0"/>
        <v>26</v>
      </c>
      <c r="F9">
        <f t="shared" si="13"/>
        <v>5.6220563085635584</v>
      </c>
      <c r="G9">
        <f t="shared" si="14"/>
        <v>2.3380938419374377</v>
      </c>
      <c r="H9">
        <f t="shared" si="15"/>
        <v>3.2839624666261207</v>
      </c>
      <c r="I9">
        <f t="shared" si="1"/>
        <v>0.46077952588954418</v>
      </c>
      <c r="J9">
        <f t="shared" si="2"/>
        <v>0.65082644628099173</v>
      </c>
      <c r="K9" s="27">
        <f t="shared" si="3"/>
        <v>1</v>
      </c>
      <c r="L9" s="27">
        <f t="shared" si="4"/>
        <v>1.0099821267242231</v>
      </c>
      <c r="M9" s="27">
        <f t="shared" si="16"/>
        <v>1.0099821267242231</v>
      </c>
      <c r="N9" s="27">
        <f t="shared" si="17"/>
        <v>0.65732307834324433</v>
      </c>
      <c r="O9" s="27">
        <f t="shared" si="5"/>
        <v>10.099821267242231</v>
      </c>
      <c r="P9" s="27">
        <f t="shared" si="6"/>
        <v>6.573230783432443</v>
      </c>
      <c r="Q9" s="27">
        <f t="shared" si="7"/>
        <v>2.4622888266898326</v>
      </c>
      <c r="R9" s="27">
        <f t="shared" si="8"/>
        <v>0.24622888266898327</v>
      </c>
      <c r="S9" s="27">
        <f t="shared" si="18"/>
        <v>20.893997510158151</v>
      </c>
      <c r="T9" s="27">
        <f t="shared" si="19"/>
        <v>17.36740702634836</v>
      </c>
      <c r="U9" s="27">
        <f t="shared" si="20"/>
        <v>1.0794176242915918</v>
      </c>
      <c r="V9" s="27">
        <f t="shared" si="21"/>
        <v>10.794176242915919</v>
      </c>
      <c r="W9">
        <f t="shared" si="9"/>
        <v>3.3191609559406592</v>
      </c>
      <c r="X9">
        <f t="shared" si="10"/>
        <v>19.185719907908702</v>
      </c>
      <c r="Z9" s="31" t="s">
        <v>33</v>
      </c>
      <c r="AA9" s="31">
        <v>2</v>
      </c>
    </row>
    <row r="10" spans="1:29">
      <c r="A10">
        <v>25</v>
      </c>
      <c r="B10">
        <v>45</v>
      </c>
      <c r="C10">
        <f t="shared" si="11"/>
        <v>35</v>
      </c>
      <c r="D10">
        <f t="shared" si="12"/>
        <v>40</v>
      </c>
      <c r="E10">
        <f t="shared" si="0"/>
        <v>28.5</v>
      </c>
      <c r="F10">
        <f t="shared" si="13"/>
        <v>7.3747231460360023</v>
      </c>
      <c r="G10">
        <f t="shared" si="14"/>
        <v>3.1674898302368564</v>
      </c>
      <c r="H10">
        <f t="shared" si="15"/>
        <v>4.2072333157991455</v>
      </c>
      <c r="I10">
        <f t="shared" si="1"/>
        <v>0.11495939132148625</v>
      </c>
      <c r="J10">
        <f t="shared" si="2"/>
        <v>0.33057851239669422</v>
      </c>
      <c r="K10" s="27">
        <f t="shared" si="3"/>
        <v>1</v>
      </c>
      <c r="L10" s="27">
        <f t="shared" si="4"/>
        <v>0.25197936108304753</v>
      </c>
      <c r="M10" s="27">
        <f t="shared" si="16"/>
        <v>0.25197936108304753</v>
      </c>
      <c r="N10" s="27">
        <f t="shared" si="17"/>
        <v>8.3298962341503316E-2</v>
      </c>
      <c r="O10" s="27">
        <f t="shared" si="5"/>
        <v>2.519793610830475</v>
      </c>
      <c r="P10" s="27">
        <f t="shared" si="6"/>
        <v>0.83298962341503313</v>
      </c>
      <c r="Q10" s="27">
        <f t="shared" si="7"/>
        <v>3.4822022531844965</v>
      </c>
      <c r="R10" s="27">
        <f t="shared" si="8"/>
        <v>0.34822022531844965</v>
      </c>
      <c r="S10" s="27">
        <f t="shared" si="18"/>
        <v>17.78506404820763</v>
      </c>
      <c r="T10" s="27">
        <f t="shared" si="19"/>
        <v>16.098260060792189</v>
      </c>
      <c r="U10" s="27">
        <f t="shared" si="20"/>
        <v>1.5265270437377154</v>
      </c>
      <c r="V10" s="27">
        <f t="shared" si="21"/>
        <v>15.265270437377154</v>
      </c>
      <c r="W10">
        <f t="shared" si="9"/>
        <v>2.5907762136860701</v>
      </c>
      <c r="X10">
        <f t="shared" si="10"/>
        <v>22.783501424948021</v>
      </c>
      <c r="Z10" s="31" t="s">
        <v>12</v>
      </c>
      <c r="AA10" s="31">
        <v>30</v>
      </c>
      <c r="AC10" t="s">
        <v>155</v>
      </c>
    </row>
    <row r="11" spans="1:29">
      <c r="A11">
        <v>30</v>
      </c>
      <c r="B11">
        <v>50</v>
      </c>
      <c r="C11">
        <f t="shared" ref="C11:C13" si="22">(A11+B11)/2</f>
        <v>40</v>
      </c>
      <c r="D11">
        <f t="shared" si="12"/>
        <v>45</v>
      </c>
      <c r="E11">
        <f t="shared" si="0"/>
        <v>31</v>
      </c>
      <c r="F11">
        <f t="shared" si="13"/>
        <v>9.5812372781996284</v>
      </c>
      <c r="G11">
        <f t="shared" si="14"/>
        <v>4.2426356531114431</v>
      </c>
      <c r="H11">
        <f t="shared" si="15"/>
        <v>5.3386016250881854</v>
      </c>
      <c r="I11">
        <f t="shared" si="1"/>
        <v>0</v>
      </c>
      <c r="J11">
        <f t="shared" si="2"/>
        <v>0</v>
      </c>
      <c r="K11" s="27">
        <f t="shared" si="3"/>
        <v>1</v>
      </c>
      <c r="L11" s="27">
        <f t="shared" si="4"/>
        <v>0</v>
      </c>
      <c r="M11" s="27">
        <f t="shared" si="16"/>
        <v>0</v>
      </c>
      <c r="N11" s="27">
        <f t="shared" si="17"/>
        <v>0</v>
      </c>
      <c r="O11" s="27">
        <f t="shared" si="5"/>
        <v>0</v>
      </c>
      <c r="P11" s="27">
        <f t="shared" si="6"/>
        <v>0</v>
      </c>
      <c r="Q11" s="27">
        <f t="shared" si="7"/>
        <v>4.9245776533796644</v>
      </c>
      <c r="R11" s="27">
        <f t="shared" si="8"/>
        <v>0.49245776533796648</v>
      </c>
      <c r="S11" s="27">
        <f t="shared" si="18"/>
        <v>21.588352485831837</v>
      </c>
      <c r="T11" s="27">
        <f t="shared" si="19"/>
        <v>21.588352485831837</v>
      </c>
      <c r="U11" s="27">
        <f t="shared" si="20"/>
        <v>2.1588352485831837</v>
      </c>
      <c r="V11" s="27">
        <f t="shared" si="21"/>
        <v>21.588352485831837</v>
      </c>
      <c r="W11">
        <f t="shared" si="9"/>
        <v>2.0417331663738723</v>
      </c>
      <c r="X11">
        <f t="shared" si="10"/>
        <v>38.769655972545031</v>
      </c>
      <c r="Z11" s="31" t="s">
        <v>13</v>
      </c>
      <c r="AA11" s="29">
        <f>AB11*60*60</f>
        <v>43200</v>
      </c>
      <c r="AB11">
        <v>12</v>
      </c>
      <c r="AC11" t="s">
        <v>120</v>
      </c>
    </row>
    <row r="12" spans="1:29">
      <c r="A12">
        <v>35</v>
      </c>
      <c r="B12">
        <v>55</v>
      </c>
      <c r="C12">
        <f t="shared" si="22"/>
        <v>45</v>
      </c>
      <c r="D12">
        <f t="shared" si="12"/>
        <v>50</v>
      </c>
      <c r="E12">
        <f t="shared" si="0"/>
        <v>33.5</v>
      </c>
      <c r="F12">
        <f t="shared" si="13"/>
        <v>12.335046017492973</v>
      </c>
      <c r="G12">
        <f t="shared" si="14"/>
        <v>5.6220563085635584</v>
      </c>
      <c r="H12">
        <f t="shared" si="15"/>
        <v>6.7129897089294142</v>
      </c>
      <c r="I12">
        <f t="shared" si="1"/>
        <v>0</v>
      </c>
      <c r="J12">
        <f t="shared" si="2"/>
        <v>0</v>
      </c>
      <c r="K12" s="27">
        <f t="shared" si="3"/>
        <v>1</v>
      </c>
      <c r="L12" s="27">
        <f t="shared" si="4"/>
        <v>0</v>
      </c>
      <c r="M12" s="27">
        <f t="shared" si="16"/>
        <v>0</v>
      </c>
      <c r="N12" s="27">
        <f t="shared" si="17"/>
        <v>0</v>
      </c>
      <c r="O12" s="27">
        <f t="shared" si="5"/>
        <v>0</v>
      </c>
      <c r="P12" s="27">
        <f t="shared" si="6"/>
        <v>0</v>
      </c>
      <c r="Q12" s="27">
        <f t="shared" si="7"/>
        <v>6.9644045063689921</v>
      </c>
      <c r="R12" s="27">
        <f t="shared" si="8"/>
        <v>0.6964404506368993</v>
      </c>
      <c r="S12" s="27">
        <f t="shared" si="18"/>
        <v>30.530540874754308</v>
      </c>
      <c r="T12" s="27">
        <f t="shared" si="19"/>
        <v>30.530540874754308</v>
      </c>
      <c r="U12" s="27">
        <f t="shared" si="20"/>
        <v>3.0530540874754308</v>
      </c>
      <c r="V12" s="27">
        <f t="shared" si="21"/>
        <v>30.530540874754308</v>
      </c>
      <c r="W12">
        <f t="shared" si="9"/>
        <v>1.6237176686717028</v>
      </c>
      <c r="X12">
        <f t="shared" si="10"/>
        <v>68.943831000092331</v>
      </c>
      <c r="Z12" s="31" t="s">
        <v>22</v>
      </c>
      <c r="AA12" s="31">
        <v>1</v>
      </c>
    </row>
    <row r="13" spans="1:29">
      <c r="A13">
        <v>40</v>
      </c>
      <c r="B13">
        <v>60</v>
      </c>
      <c r="C13">
        <f t="shared" si="22"/>
        <v>50</v>
      </c>
      <c r="D13">
        <f t="shared" si="12"/>
        <v>55</v>
      </c>
      <c r="E13">
        <f t="shared" si="0"/>
        <v>36</v>
      </c>
      <c r="F13">
        <f t="shared" si="13"/>
        <v>15.743681776119971</v>
      </c>
      <c r="G13">
        <f t="shared" si="14"/>
        <v>7.3747231460360023</v>
      </c>
      <c r="H13">
        <f t="shared" si="15"/>
        <v>8.3689586300839682</v>
      </c>
      <c r="I13">
        <f t="shared" si="1"/>
        <v>0</v>
      </c>
      <c r="J13">
        <f t="shared" si="2"/>
        <v>0</v>
      </c>
      <c r="K13" s="27">
        <f t="shared" si="3"/>
        <v>1</v>
      </c>
      <c r="L13" s="27">
        <f t="shared" si="4"/>
        <v>0</v>
      </c>
      <c r="M13" s="27">
        <f t="shared" si="16"/>
        <v>0</v>
      </c>
      <c r="N13" s="27">
        <f t="shared" si="17"/>
        <v>0</v>
      </c>
      <c r="O13" s="27">
        <f t="shared" si="5"/>
        <v>0</v>
      </c>
      <c r="P13" s="27">
        <f t="shared" si="6"/>
        <v>0</v>
      </c>
      <c r="Q13" s="27">
        <f t="shared" si="7"/>
        <v>9.8491553067593287</v>
      </c>
      <c r="R13" s="27">
        <f t="shared" si="8"/>
        <v>0.98491553067593296</v>
      </c>
      <c r="S13" s="27">
        <f t="shared" si="18"/>
        <v>43.176704971663675</v>
      </c>
      <c r="T13" s="27">
        <f t="shared" si="19"/>
        <v>43.176704971663675</v>
      </c>
      <c r="U13" s="27">
        <f t="shared" si="20"/>
        <v>4.3176704971663673</v>
      </c>
      <c r="V13" s="27">
        <f t="shared" si="21"/>
        <v>43.176704971663675</v>
      </c>
      <c r="W13">
        <f t="shared" si="9"/>
        <v>1.3024320565784224</v>
      </c>
      <c r="X13">
        <f t="shared" si="10"/>
        <v>121.55304692975949</v>
      </c>
      <c r="Z13" s="31" t="s">
        <v>23</v>
      </c>
      <c r="AA13" s="31">
        <v>1</v>
      </c>
    </row>
    <row r="14" spans="1:29">
      <c r="Z14" s="31" t="s">
        <v>26</v>
      </c>
      <c r="AA14" s="31">
        <v>10</v>
      </c>
    </row>
    <row r="15" spans="1:29">
      <c r="Z15" s="31" t="s">
        <v>27</v>
      </c>
      <c r="AA15" s="31">
        <v>5</v>
      </c>
    </row>
    <row r="16" spans="1:29">
      <c r="Z16" s="31" t="s">
        <v>35</v>
      </c>
      <c r="AA16" s="31">
        <v>10.9</v>
      </c>
    </row>
    <row r="17" spans="19:27">
      <c r="Z17" s="31" t="s">
        <v>15</v>
      </c>
      <c r="AA17" s="31">
        <v>0.1</v>
      </c>
    </row>
    <row r="18" spans="19:27">
      <c r="S18" s="2" t="s">
        <v>188</v>
      </c>
      <c r="T18" s="2"/>
      <c r="Z18" s="31" t="s">
        <v>149</v>
      </c>
      <c r="AA18" s="31">
        <v>2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2"/>
  <sheetViews>
    <sheetView topLeftCell="A4" workbookViewId="0">
      <selection activeCell="S4" sqref="S4"/>
    </sheetView>
  </sheetViews>
  <sheetFormatPr defaultRowHeight="15"/>
  <cols>
    <col min="8" max="17" width="9.140625" style="4"/>
    <col min="18" max="18" width="12.5703125" customWidth="1"/>
    <col min="22" max="22" width="9.140625" style="4"/>
    <col min="25" max="25" width="10.42578125" style="4" customWidth="1"/>
    <col min="27" max="27" width="8.140625" customWidth="1"/>
  </cols>
  <sheetData>
    <row r="1" spans="1:21">
      <c r="A1" t="s">
        <v>185</v>
      </c>
      <c r="B1" s="4" t="s">
        <v>39</v>
      </c>
      <c r="C1" s="4" t="s">
        <v>53</v>
      </c>
      <c r="D1" s="4" t="s">
        <v>40</v>
      </c>
      <c r="E1" s="4" t="s">
        <v>44</v>
      </c>
      <c r="F1" s="4" t="s">
        <v>41</v>
      </c>
      <c r="G1" s="4" t="s">
        <v>42</v>
      </c>
      <c r="H1" s="4" t="s">
        <v>43</v>
      </c>
      <c r="J1" s="4" t="s">
        <v>45</v>
      </c>
      <c r="L1" s="4" t="s">
        <v>7</v>
      </c>
      <c r="M1" s="4" t="s">
        <v>11</v>
      </c>
      <c r="N1" s="4" t="s">
        <v>47</v>
      </c>
      <c r="O1" s="4" t="s">
        <v>186</v>
      </c>
      <c r="R1" s="32" t="s">
        <v>156</v>
      </c>
      <c r="S1" s="31"/>
      <c r="T1" s="31"/>
      <c r="U1" s="31"/>
    </row>
    <row r="2" spans="1:21">
      <c r="A2">
        <v>300</v>
      </c>
      <c r="B2" s="5">
        <f t="shared" ref="B2:B16" si="0" xml:space="preserve"> (-0.075 * $S$3) + 0.875</f>
        <v>0.57499999999999996</v>
      </c>
      <c r="C2" s="5">
        <f xml:space="preserve"> 350 * B2</f>
        <v>201.24999999999997</v>
      </c>
      <c r="D2" s="5">
        <f xml:space="preserve"> A2 * B2</f>
        <v>172.5</v>
      </c>
      <c r="E2" s="5">
        <f>1.22*((C2-68)/(C2+136))</f>
        <v>0.48203113417346172</v>
      </c>
      <c r="F2" s="5">
        <f>1.22*((D2-68)/(D2+136))</f>
        <v>0.41325769854132899</v>
      </c>
      <c r="G2" s="5">
        <f xml:space="preserve"> 1 + ((F2 - E2) / E2)</f>
        <v>0.85732573944614909</v>
      </c>
      <c r="H2" s="5">
        <f xml:space="preserve"> G2 / ((A2 - A2*B2) / (350 - C2))</f>
        <v>1.0002133626871741</v>
      </c>
      <c r="I2" s="5"/>
      <c r="J2" s="5">
        <f t="shared" ref="J2:J16" si="1">($S$7/$S$6)*(1+1-H2)</f>
        <v>5.735618077215686</v>
      </c>
      <c r="K2" s="5"/>
      <c r="L2" s="5">
        <f t="shared" ref="L2:L16" si="2" xml:space="preserve"> G2*($S$4 +$S$5 * $S$3)</f>
        <v>207.12989865018963</v>
      </c>
      <c r="M2" s="4">
        <f t="shared" ref="M2:M16" si="3">MAX(0,1-$S$8*($S$6^$S$9))</f>
        <v>0.81950000000000001</v>
      </c>
      <c r="N2" s="4">
        <f t="shared" ref="N2:N16" si="4">$S$10*(L2*M2*$S$11*$S$15/1000000000)</f>
        <v>2.8598292543496546</v>
      </c>
      <c r="O2" s="4">
        <f t="shared" ref="O2:O16" si="5">N2/J2/G2*$S$16</f>
        <v>25.589788315481776</v>
      </c>
      <c r="R2" s="31"/>
      <c r="S2" s="31"/>
      <c r="T2" s="31"/>
      <c r="U2" s="31"/>
    </row>
    <row r="3" spans="1:21">
      <c r="A3">
        <v>350</v>
      </c>
      <c r="B3" s="5">
        <f t="shared" si="0"/>
        <v>0.57499999999999996</v>
      </c>
      <c r="C3" s="5">
        <f t="shared" ref="C3:C16" si="6" xml:space="preserve"> 350 * B3</f>
        <v>201.24999999999997</v>
      </c>
      <c r="D3" s="5">
        <f t="shared" ref="D3:D16" si="7" xml:space="preserve"> A3 * B3</f>
        <v>201.24999999999997</v>
      </c>
      <c r="E3" s="5">
        <f t="shared" ref="E3:E16" si="8">1.22*((C3-68)/(C3+136))</f>
        <v>0.48203113417346172</v>
      </c>
      <c r="F3" s="5">
        <f t="shared" ref="F3:F16" si="9">1.22*((D3-68)/(D3+136))</f>
        <v>0.48203113417346172</v>
      </c>
      <c r="G3" s="5">
        <f t="shared" ref="G3:G16" si="10" xml:space="preserve"> 1 + ((F3 - E3) / E3)</f>
        <v>1</v>
      </c>
      <c r="H3" s="5">
        <f t="shared" ref="H3:H16" si="11" xml:space="preserve"> G3 / ((A3 - A3*B3) / (350 - C3))</f>
        <v>1</v>
      </c>
      <c r="I3" s="5"/>
      <c r="J3" s="5">
        <f t="shared" si="1"/>
        <v>5.7368421052631584</v>
      </c>
      <c r="K3" s="5"/>
      <c r="L3" s="5">
        <f t="shared" si="2"/>
        <v>241.60000000000002</v>
      </c>
      <c r="M3" s="4">
        <f t="shared" si="3"/>
        <v>0.81950000000000001</v>
      </c>
      <c r="N3" s="4">
        <f t="shared" si="4"/>
        <v>3.3357557376</v>
      </c>
      <c r="O3" s="4">
        <f t="shared" si="5"/>
        <v>25.584328409482566</v>
      </c>
      <c r="R3" s="31" t="s">
        <v>10</v>
      </c>
      <c r="S3" s="31">
        <v>4</v>
      </c>
      <c r="T3" s="31" t="s">
        <v>52</v>
      </c>
      <c r="U3" s="31"/>
    </row>
    <row r="4" spans="1:21">
      <c r="A4">
        <v>400</v>
      </c>
      <c r="B4" s="5">
        <f t="shared" si="0"/>
        <v>0.57499999999999996</v>
      </c>
      <c r="C4" s="5">
        <f t="shared" si="6"/>
        <v>201.24999999999997</v>
      </c>
      <c r="D4" s="5">
        <f t="shared" si="7"/>
        <v>229.99999999999997</v>
      </c>
      <c r="E4" s="5">
        <f t="shared" si="8"/>
        <v>0.48203113417346172</v>
      </c>
      <c r="F4" s="5">
        <f t="shared" si="9"/>
        <v>0.53999999999999992</v>
      </c>
      <c r="G4" s="5">
        <f t="shared" si="10"/>
        <v>1.1202595884723034</v>
      </c>
      <c r="H4" s="5">
        <f t="shared" si="11"/>
        <v>0.9802271399132656</v>
      </c>
      <c r="I4" s="5"/>
      <c r="J4" s="5">
        <f t="shared" si="1"/>
        <v>5.8502758815502141</v>
      </c>
      <c r="K4" s="5"/>
      <c r="L4" s="5">
        <f t="shared" si="2"/>
        <v>270.65471657490855</v>
      </c>
      <c r="M4" s="4">
        <f t="shared" si="3"/>
        <v>0.81950000000000001</v>
      </c>
      <c r="N4" s="4">
        <f t="shared" si="4"/>
        <v>3.736912349847902</v>
      </c>
      <c r="O4" s="4">
        <f t="shared" si="5"/>
        <v>25.088261720660576</v>
      </c>
      <c r="R4" s="31" t="s">
        <v>8</v>
      </c>
      <c r="S4" s="31">
        <v>-46</v>
      </c>
      <c r="T4" s="31"/>
      <c r="U4" s="31"/>
    </row>
    <row r="5" spans="1:21">
      <c r="A5">
        <v>450</v>
      </c>
      <c r="B5" s="5">
        <f t="shared" si="0"/>
        <v>0.57499999999999996</v>
      </c>
      <c r="C5" s="5">
        <f t="shared" si="6"/>
        <v>201.24999999999997</v>
      </c>
      <c r="D5" s="5">
        <f t="shared" si="7"/>
        <v>258.75</v>
      </c>
      <c r="E5" s="5">
        <f t="shared" si="8"/>
        <v>0.48203113417346172</v>
      </c>
      <c r="F5" s="5">
        <f t="shared" si="9"/>
        <v>0.58952501583280559</v>
      </c>
      <c r="G5" s="5">
        <f t="shared" si="10"/>
        <v>1.2230019474647909</v>
      </c>
      <c r="H5" s="5">
        <f t="shared" si="11"/>
        <v>0.95122373691705986</v>
      </c>
      <c r="I5" s="5"/>
      <c r="J5" s="5">
        <f t="shared" si="1"/>
        <v>6.0166638250547617</v>
      </c>
      <c r="K5" s="5"/>
      <c r="L5" s="5">
        <f t="shared" si="2"/>
        <v>295.47727050749347</v>
      </c>
      <c r="M5" s="4">
        <f t="shared" si="3"/>
        <v>0.81950000000000001</v>
      </c>
      <c r="N5" s="4">
        <f t="shared" si="4"/>
        <v>4.0796357633516491</v>
      </c>
      <c r="O5" s="4">
        <f t="shared" si="5"/>
        <v>24.394457912573184</v>
      </c>
      <c r="R5" s="31" t="s">
        <v>9</v>
      </c>
      <c r="S5" s="31">
        <v>71.900000000000006</v>
      </c>
      <c r="T5" s="31"/>
      <c r="U5" s="31"/>
    </row>
    <row r="6" spans="1:21">
      <c r="A6">
        <v>500</v>
      </c>
      <c r="B6" s="5">
        <f t="shared" si="0"/>
        <v>0.57499999999999996</v>
      </c>
      <c r="C6" s="5">
        <f t="shared" si="6"/>
        <v>201.24999999999997</v>
      </c>
      <c r="D6" s="5">
        <f t="shared" si="7"/>
        <v>287.5</v>
      </c>
      <c r="E6" s="5">
        <f t="shared" si="8"/>
        <v>0.48203113417346172</v>
      </c>
      <c r="F6" s="5">
        <f t="shared" si="9"/>
        <v>0.63232585596221957</v>
      </c>
      <c r="G6" s="5">
        <f t="shared" si="10"/>
        <v>1.3117946355196912</v>
      </c>
      <c r="H6" s="5">
        <f t="shared" si="11"/>
        <v>0.91825624486378399</v>
      </c>
      <c r="I6" s="5"/>
      <c r="J6" s="5">
        <f t="shared" si="1"/>
        <v>6.2057931215709248</v>
      </c>
      <c r="K6" s="5"/>
      <c r="L6" s="5">
        <f t="shared" si="2"/>
        <v>316.92958394155744</v>
      </c>
      <c r="M6" s="4">
        <f t="shared" si="3"/>
        <v>0.81950000000000001</v>
      </c>
      <c r="N6" s="4">
        <f t="shared" si="4"/>
        <v>4.375826481987712</v>
      </c>
      <c r="O6" s="4">
        <f t="shared" si="5"/>
        <v>23.651006338613826</v>
      </c>
      <c r="R6" s="31" t="s">
        <v>31</v>
      </c>
      <c r="S6" s="31">
        <v>1.9</v>
      </c>
      <c r="T6" s="31"/>
      <c r="U6" s="31"/>
    </row>
    <row r="7" spans="1:21">
      <c r="A7">
        <v>550</v>
      </c>
      <c r="B7" s="5">
        <f t="shared" si="0"/>
        <v>0.57499999999999996</v>
      </c>
      <c r="C7" s="5">
        <f t="shared" si="6"/>
        <v>201.24999999999997</v>
      </c>
      <c r="D7" s="5">
        <f t="shared" si="7"/>
        <v>316.25</v>
      </c>
      <c r="E7" s="5">
        <f t="shared" si="8"/>
        <v>0.48203113417346172</v>
      </c>
      <c r="F7" s="5">
        <f t="shared" si="9"/>
        <v>0.66968490878938647</v>
      </c>
      <c r="G7" s="5">
        <f t="shared" si="10"/>
        <v>1.3892980376416857</v>
      </c>
      <c r="H7" s="5">
        <f t="shared" si="11"/>
        <v>0.88409875122652737</v>
      </c>
      <c r="I7" s="5"/>
      <c r="J7" s="5">
        <f t="shared" si="1"/>
        <v>6.4017492692793958</v>
      </c>
      <c r="K7" s="5"/>
      <c r="L7" s="5">
        <f t="shared" si="2"/>
        <v>335.65440589423127</v>
      </c>
      <c r="M7" s="4">
        <f t="shared" si="3"/>
        <v>0.81950000000000001</v>
      </c>
      <c r="N7" s="4">
        <f t="shared" si="4"/>
        <v>4.6343589002996737</v>
      </c>
      <c r="O7" s="4">
        <f t="shared" si="5"/>
        <v>22.927054197316497</v>
      </c>
      <c r="R7" s="31" t="s">
        <v>46</v>
      </c>
      <c r="S7" s="31">
        <v>10.9</v>
      </c>
      <c r="T7" s="31"/>
      <c r="U7" s="31"/>
    </row>
    <row r="8" spans="1:21">
      <c r="A8">
        <v>600</v>
      </c>
      <c r="B8" s="5">
        <f t="shared" si="0"/>
        <v>0.57499999999999996</v>
      </c>
      <c r="C8" s="5">
        <f t="shared" si="6"/>
        <v>201.24999999999997</v>
      </c>
      <c r="D8" s="5">
        <f t="shared" si="7"/>
        <v>345</v>
      </c>
      <c r="E8" s="5">
        <f t="shared" si="8"/>
        <v>0.48203113417346172</v>
      </c>
      <c r="F8" s="5">
        <f t="shared" si="9"/>
        <v>0.70257796257796257</v>
      </c>
      <c r="G8" s="5">
        <f t="shared" si="10"/>
        <v>1.4575364800505517</v>
      </c>
      <c r="H8" s="5">
        <f t="shared" si="11"/>
        <v>0.85022961336282199</v>
      </c>
      <c r="I8" s="5"/>
      <c r="J8" s="5">
        <f t="shared" si="1"/>
        <v>6.5960511654448641</v>
      </c>
      <c r="K8" s="5"/>
      <c r="L8" s="5">
        <f t="shared" si="2"/>
        <v>352.14081358021332</v>
      </c>
      <c r="M8" s="4">
        <f t="shared" si="3"/>
        <v>0.81950000000000001</v>
      </c>
      <c r="N8" s="4">
        <f t="shared" si="4"/>
        <v>4.8619856760899358</v>
      </c>
      <c r="O8" s="4">
        <f t="shared" si="5"/>
        <v>22.25168495103707</v>
      </c>
      <c r="R8" s="31" t="s">
        <v>32</v>
      </c>
      <c r="S8" s="31">
        <v>0.05</v>
      </c>
      <c r="T8" s="31"/>
      <c r="U8" s="31"/>
    </row>
    <row r="9" spans="1:21">
      <c r="A9">
        <v>650</v>
      </c>
      <c r="B9" s="5">
        <f t="shared" si="0"/>
        <v>0.57499999999999996</v>
      </c>
      <c r="C9" s="5">
        <f t="shared" si="6"/>
        <v>201.24999999999997</v>
      </c>
      <c r="D9" s="5">
        <f t="shared" si="7"/>
        <v>373.74999999999994</v>
      </c>
      <c r="E9" s="5">
        <f t="shared" si="8"/>
        <v>0.48203113417346172</v>
      </c>
      <c r="F9" s="5">
        <f t="shared" si="9"/>
        <v>0.7317606669936243</v>
      </c>
      <c r="G9" s="5">
        <f t="shared" si="10"/>
        <v>1.5180775993824001</v>
      </c>
      <c r="H9" s="5">
        <f t="shared" si="11"/>
        <v>0.81742639966744612</v>
      </c>
      <c r="I9" s="5"/>
      <c r="J9" s="5">
        <f t="shared" si="1"/>
        <v>6.7842380229604418</v>
      </c>
      <c r="K9" s="5"/>
      <c r="L9" s="5">
        <f t="shared" si="2"/>
        <v>366.76754801078789</v>
      </c>
      <c r="M9" s="4">
        <f t="shared" si="3"/>
        <v>0.81950000000000001</v>
      </c>
      <c r="N9" s="4">
        <f t="shared" si="4"/>
        <v>5.0639360622618765</v>
      </c>
      <c r="O9" s="4">
        <f t="shared" si="5"/>
        <v>21.634449138969408</v>
      </c>
      <c r="R9" s="31" t="s">
        <v>33</v>
      </c>
      <c r="S9" s="31">
        <v>2</v>
      </c>
      <c r="T9" s="31"/>
      <c r="U9" s="31"/>
    </row>
    <row r="10" spans="1:21">
      <c r="A10">
        <v>700</v>
      </c>
      <c r="B10" s="5">
        <f t="shared" si="0"/>
        <v>0.57499999999999996</v>
      </c>
      <c r="C10" s="5">
        <f t="shared" si="6"/>
        <v>201.24999999999997</v>
      </c>
      <c r="D10" s="5">
        <f t="shared" si="7"/>
        <v>402.49999999999994</v>
      </c>
      <c r="E10" s="5">
        <f t="shared" si="8"/>
        <v>0.48203113417346172</v>
      </c>
      <c r="F10" s="5">
        <f t="shared" si="9"/>
        <v>0.75782729805013915</v>
      </c>
      <c r="G10" s="5">
        <f t="shared" si="10"/>
        <v>1.5721542537902344</v>
      </c>
      <c r="H10" s="5">
        <f t="shared" si="11"/>
        <v>0.78607712689511722</v>
      </c>
      <c r="I10" s="5"/>
      <c r="J10" s="5">
        <f t="shared" si="1"/>
        <v>6.964083850970118</v>
      </c>
      <c r="K10" s="5"/>
      <c r="L10" s="5">
        <f t="shared" si="2"/>
        <v>379.83246771572067</v>
      </c>
      <c r="M10" s="4">
        <f t="shared" si="3"/>
        <v>0.81950000000000001</v>
      </c>
      <c r="N10" s="4">
        <f t="shared" si="4"/>
        <v>5.2443225724730214</v>
      </c>
      <c r="O10" s="4">
        <f t="shared" si="5"/>
        <v>21.075744576790822</v>
      </c>
      <c r="R10" s="31" t="s">
        <v>48</v>
      </c>
      <c r="S10" s="31">
        <v>30</v>
      </c>
      <c r="T10" s="31" t="s">
        <v>50</v>
      </c>
      <c r="U10" s="31"/>
    </row>
    <row r="11" spans="1:21">
      <c r="A11">
        <v>750</v>
      </c>
      <c r="B11" s="5">
        <f t="shared" si="0"/>
        <v>0.57499999999999996</v>
      </c>
      <c r="C11" s="5">
        <f t="shared" si="6"/>
        <v>201.24999999999997</v>
      </c>
      <c r="D11" s="5">
        <f t="shared" si="7"/>
        <v>431.24999999999994</v>
      </c>
      <c r="E11" s="5">
        <f t="shared" si="8"/>
        <v>0.48203113417346172</v>
      </c>
      <c r="F11" s="5">
        <f t="shared" si="9"/>
        <v>0.78125165271044505</v>
      </c>
      <c r="G11" s="5">
        <f t="shared" si="10"/>
        <v>1.6207493610346486</v>
      </c>
      <c r="H11" s="5">
        <f t="shared" si="11"/>
        <v>0.75634970181616934</v>
      </c>
      <c r="I11" s="5"/>
      <c r="J11" s="5">
        <f t="shared" si="1"/>
        <v>7.1346253948440816</v>
      </c>
      <c r="K11" s="5"/>
      <c r="L11" s="5">
        <f t="shared" si="2"/>
        <v>391.57304562597113</v>
      </c>
      <c r="M11" s="4">
        <f t="shared" si="3"/>
        <v>0.81950000000000001</v>
      </c>
      <c r="N11" s="4">
        <f t="shared" si="4"/>
        <v>5.4064239802828631</v>
      </c>
      <c r="O11" s="4">
        <f t="shared" si="5"/>
        <v>20.571963394247351</v>
      </c>
      <c r="R11" s="31" t="s">
        <v>187</v>
      </c>
      <c r="S11" s="29">
        <f>T11*60*60</f>
        <v>46800</v>
      </c>
      <c r="T11" s="31">
        <v>13</v>
      </c>
      <c r="U11" s="31" t="s">
        <v>120</v>
      </c>
    </row>
    <row r="12" spans="1:21">
      <c r="A12">
        <v>800</v>
      </c>
      <c r="B12" s="5">
        <f t="shared" si="0"/>
        <v>0.57499999999999996</v>
      </c>
      <c r="C12" s="5">
        <f t="shared" si="6"/>
        <v>201.24999999999997</v>
      </c>
      <c r="D12" s="5">
        <f t="shared" si="7"/>
        <v>459.99999999999994</v>
      </c>
      <c r="E12" s="5">
        <f t="shared" si="8"/>
        <v>0.48203113417346172</v>
      </c>
      <c r="F12" s="5">
        <f t="shared" si="9"/>
        <v>0.8024161073825502</v>
      </c>
      <c r="G12" s="5">
        <f t="shared" si="10"/>
        <v>1.6646561819257841</v>
      </c>
      <c r="H12" s="5">
        <f t="shared" si="11"/>
        <v>0.72828707959253058</v>
      </c>
      <c r="I12" s="5"/>
      <c r="J12" s="5">
        <f t="shared" si="1"/>
        <v>7.2956162276007452</v>
      </c>
      <c r="K12" s="5"/>
      <c r="L12" s="5">
        <f t="shared" si="2"/>
        <v>402.18093355326948</v>
      </c>
      <c r="M12" s="4">
        <f t="shared" si="3"/>
        <v>0.81950000000000001</v>
      </c>
      <c r="N12" s="4">
        <f t="shared" si="4"/>
        <v>5.5528864099902444</v>
      </c>
      <c r="O12" s="4">
        <f t="shared" si="5"/>
        <v>20.118006193791835</v>
      </c>
      <c r="R12" s="31"/>
      <c r="S12" s="31"/>
      <c r="T12" s="31"/>
      <c r="U12" s="31"/>
    </row>
    <row r="13" spans="1:21">
      <c r="A13">
        <v>850</v>
      </c>
      <c r="B13" s="5">
        <f t="shared" si="0"/>
        <v>0.57499999999999996</v>
      </c>
      <c r="C13" s="5">
        <f t="shared" si="6"/>
        <v>201.24999999999997</v>
      </c>
      <c r="D13" s="5">
        <f t="shared" si="7"/>
        <v>488.74999999999994</v>
      </c>
      <c r="E13" s="5">
        <f t="shared" si="8"/>
        <v>0.48203113417346172</v>
      </c>
      <c r="F13" s="5">
        <f t="shared" si="9"/>
        <v>0.82163265306122435</v>
      </c>
      <c r="G13" s="5">
        <f t="shared" si="10"/>
        <v>1.7045219588773597</v>
      </c>
      <c r="H13" s="5">
        <f t="shared" si="11"/>
        <v>0.7018619830671482</v>
      </c>
      <c r="I13" s="5"/>
      <c r="J13" s="5">
        <f t="shared" si="1"/>
        <v>7.4472128339832029</v>
      </c>
      <c r="K13" s="5"/>
      <c r="L13" s="5">
        <f t="shared" si="2"/>
        <v>411.81250526477015</v>
      </c>
      <c r="M13" s="4">
        <f t="shared" si="3"/>
        <v>0.81950000000000001</v>
      </c>
      <c r="N13" s="4">
        <f t="shared" si="4"/>
        <v>5.6858689041903441</v>
      </c>
      <c r="O13" s="4">
        <f t="shared" si="5"/>
        <v>19.708480974874615</v>
      </c>
      <c r="R13" s="31"/>
      <c r="S13" s="31"/>
      <c r="T13" s="31"/>
      <c r="U13" s="31"/>
    </row>
    <row r="14" spans="1:21">
      <c r="A14">
        <v>900</v>
      </c>
      <c r="B14" s="5">
        <f t="shared" si="0"/>
        <v>0.57499999999999996</v>
      </c>
      <c r="C14" s="5">
        <f t="shared" si="6"/>
        <v>201.24999999999997</v>
      </c>
      <c r="D14" s="5">
        <f t="shared" si="7"/>
        <v>517.5</v>
      </c>
      <c r="E14" s="5">
        <f t="shared" si="8"/>
        <v>0.48203113417346172</v>
      </c>
      <c r="F14" s="5">
        <f t="shared" si="9"/>
        <v>0.83915837796480486</v>
      </c>
      <c r="G14" s="5">
        <f t="shared" si="10"/>
        <v>1.7408800354850706</v>
      </c>
      <c r="H14" s="5">
        <f t="shared" si="11"/>
        <v>0.67700890268863878</v>
      </c>
      <c r="I14" s="5"/>
      <c r="J14" s="5">
        <f t="shared" si="1"/>
        <v>7.5897910319441255</v>
      </c>
      <c r="K14" s="5"/>
      <c r="L14" s="5">
        <f t="shared" si="2"/>
        <v>420.5966165731931</v>
      </c>
      <c r="M14" s="4">
        <f t="shared" si="3"/>
        <v>0.81950000000000001</v>
      </c>
      <c r="N14" s="4">
        <f t="shared" si="4"/>
        <v>5.8071505668426173</v>
      </c>
      <c r="O14" s="4">
        <f t="shared" si="5"/>
        <v>19.338246841929728</v>
      </c>
      <c r="R14" s="32" t="s">
        <v>38</v>
      </c>
      <c r="S14" s="31"/>
      <c r="T14" s="31"/>
      <c r="U14" s="31"/>
    </row>
    <row r="15" spans="1:21">
      <c r="A15">
        <v>950</v>
      </c>
      <c r="B15" s="5">
        <f t="shared" si="0"/>
        <v>0.57499999999999996</v>
      </c>
      <c r="C15" s="5">
        <f t="shared" si="6"/>
        <v>201.24999999999997</v>
      </c>
      <c r="D15" s="5">
        <f t="shared" si="7"/>
        <v>546.25</v>
      </c>
      <c r="E15" s="5">
        <f t="shared" si="8"/>
        <v>0.48203113417346172</v>
      </c>
      <c r="F15" s="5">
        <f t="shared" si="9"/>
        <v>0.85520703554415534</v>
      </c>
      <c r="G15" s="5">
        <f t="shared" si="10"/>
        <v>1.7741738549950263</v>
      </c>
      <c r="H15" s="5">
        <f t="shared" si="11"/>
        <v>0.65364299920869395</v>
      </c>
      <c r="I15" s="5"/>
      <c r="J15" s="5">
        <f t="shared" si="1"/>
        <v>7.7238375308553877</v>
      </c>
      <c r="K15" s="5"/>
      <c r="L15" s="5">
        <f t="shared" si="2"/>
        <v>428.64040336679841</v>
      </c>
      <c r="M15" s="4">
        <f t="shared" si="3"/>
        <v>0.81950000000000001</v>
      </c>
      <c r="N15" s="4">
        <f t="shared" si="4"/>
        <v>5.9182106162995698</v>
      </c>
      <c r="O15" s="4">
        <f t="shared" si="5"/>
        <v>19.002633324181971</v>
      </c>
      <c r="R15" s="31" t="s">
        <v>49</v>
      </c>
      <c r="S15" s="31">
        <v>12</v>
      </c>
      <c r="T15" s="31" t="s">
        <v>51</v>
      </c>
      <c r="U15" s="31"/>
    </row>
    <row r="16" spans="1:21">
      <c r="A16">
        <v>1000</v>
      </c>
      <c r="B16" s="5">
        <f t="shared" si="0"/>
        <v>0.57499999999999996</v>
      </c>
      <c r="C16" s="5">
        <f t="shared" si="6"/>
        <v>201.24999999999997</v>
      </c>
      <c r="D16" s="5">
        <f t="shared" si="7"/>
        <v>575</v>
      </c>
      <c r="E16" s="5">
        <f t="shared" si="8"/>
        <v>0.48203113417346172</v>
      </c>
      <c r="F16" s="5">
        <f t="shared" si="9"/>
        <v>0.86995780590717287</v>
      </c>
      <c r="G16" s="5">
        <f t="shared" si="10"/>
        <v>1.8047751363589586</v>
      </c>
      <c r="H16" s="5">
        <f t="shared" si="11"/>
        <v>0.63167129772563557</v>
      </c>
      <c r="I16" s="5"/>
      <c r="J16" s="5">
        <f t="shared" si="1"/>
        <v>7.8498857130476702</v>
      </c>
      <c r="K16" s="5"/>
      <c r="L16" s="5">
        <f t="shared" si="2"/>
        <v>436.03367294432445</v>
      </c>
      <c r="M16" s="4">
        <f t="shared" si="3"/>
        <v>0.81950000000000001</v>
      </c>
      <c r="N16" s="4">
        <f t="shared" si="4"/>
        <v>6.0202890161872196</v>
      </c>
      <c r="O16" s="4">
        <f t="shared" si="5"/>
        <v>18.697501826101899</v>
      </c>
      <c r="R16" s="31" t="s">
        <v>54</v>
      </c>
      <c r="S16" s="31">
        <v>44</v>
      </c>
      <c r="T16" s="31" t="s">
        <v>55</v>
      </c>
      <c r="U16" s="31"/>
    </row>
    <row r="17" spans="2:7">
      <c r="B17" s="4"/>
      <c r="C17" s="4"/>
      <c r="D17" s="4"/>
      <c r="E17" s="4"/>
      <c r="F17" s="4"/>
      <c r="G17" s="4"/>
    </row>
    <row r="18" spans="2:7">
      <c r="B18" s="4"/>
      <c r="C18" s="4"/>
      <c r="D18" s="4"/>
      <c r="E18" s="4"/>
      <c r="F18" s="4"/>
      <c r="G18" s="4"/>
    </row>
    <row r="19" spans="2:7">
      <c r="B19" s="4"/>
      <c r="C19" s="4"/>
      <c r="D19" s="4"/>
      <c r="E19" s="4"/>
      <c r="F19" s="4"/>
      <c r="G19" s="4"/>
    </row>
    <row r="20" spans="2:7">
      <c r="B20" s="4"/>
      <c r="C20" s="4"/>
      <c r="D20" s="4"/>
      <c r="E20" s="4"/>
      <c r="F20" s="4"/>
      <c r="G20" s="4"/>
    </row>
    <row r="21" spans="2:7">
      <c r="B21" s="4"/>
      <c r="C21" s="4"/>
      <c r="D21" s="4"/>
      <c r="E21" s="4"/>
      <c r="F21" s="4"/>
      <c r="G21" s="4"/>
    </row>
    <row r="22" spans="2:7">
      <c r="B22" s="4"/>
      <c r="C22" s="4"/>
      <c r="D22" s="4"/>
      <c r="E22" s="4"/>
      <c r="F22" s="4"/>
      <c r="G22" s="4"/>
    </row>
    <row r="23" spans="2:7">
      <c r="B23" s="4"/>
      <c r="C23" s="4"/>
      <c r="D23" s="4"/>
      <c r="E23" s="4"/>
      <c r="F23" s="4"/>
      <c r="G23" s="4"/>
    </row>
    <row r="24" spans="2:7">
      <c r="B24" s="4"/>
      <c r="C24" s="4"/>
      <c r="D24" s="4"/>
      <c r="E24" s="4"/>
      <c r="F24" s="4"/>
      <c r="G24" s="4"/>
    </row>
    <row r="25" spans="2:7">
      <c r="B25" s="4"/>
      <c r="C25" s="4"/>
      <c r="D25" s="4"/>
      <c r="E25" s="4"/>
      <c r="F25" s="4"/>
      <c r="G25" s="4"/>
    </row>
    <row r="26" spans="2:7">
      <c r="B26" s="4"/>
      <c r="C26" s="4"/>
      <c r="D26" s="4"/>
      <c r="E26" s="4"/>
      <c r="F26" s="4"/>
      <c r="G26" s="4"/>
    </row>
    <row r="27" spans="2:7">
      <c r="B27" s="4"/>
      <c r="C27" s="4"/>
      <c r="D27" s="4"/>
      <c r="E27" s="4"/>
      <c r="F27" s="4"/>
      <c r="G27" s="4"/>
    </row>
    <row r="28" spans="2:7">
      <c r="B28" s="4"/>
      <c r="C28" s="4"/>
      <c r="D28" s="4"/>
      <c r="E28" s="4"/>
      <c r="F28" s="4"/>
      <c r="G28" s="4"/>
    </row>
    <row r="29" spans="2:7">
      <c r="B29" s="4"/>
      <c r="C29" s="4"/>
      <c r="D29" s="4"/>
      <c r="E29" s="4"/>
      <c r="F29" s="4"/>
      <c r="G29" s="4"/>
    </row>
    <row r="30" spans="2:7">
      <c r="B30" s="4"/>
      <c r="C30" s="4"/>
      <c r="D30" s="4"/>
      <c r="E30" s="4"/>
      <c r="F30" s="4"/>
      <c r="G30" s="4"/>
    </row>
    <row r="31" spans="2:7">
      <c r="B31" s="4"/>
      <c r="C31" s="4"/>
      <c r="D31" s="4"/>
      <c r="E31" s="4"/>
      <c r="F31" s="4"/>
      <c r="G31" s="4"/>
    </row>
    <row r="32" spans="2:7">
      <c r="B32" s="4"/>
      <c r="C32" s="4"/>
      <c r="D32" s="4"/>
      <c r="E32" s="4"/>
      <c r="F32" s="4"/>
      <c r="G32" s="4"/>
    </row>
  </sheetData>
  <phoneticPr fontId="6" type="noConversion"/>
  <hyperlinks>
    <hyperlink ref="E1" r:id="rId1" display="A@ref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K6" sqref="K6"/>
    </sheetView>
  </sheetViews>
  <sheetFormatPr defaultRowHeight="15"/>
  <cols>
    <col min="2" max="2" width="9.140625" style="27"/>
    <col min="10" max="10" width="12" customWidth="1"/>
  </cols>
  <sheetData>
    <row r="2" spans="1:11">
      <c r="A2" t="s">
        <v>162</v>
      </c>
      <c r="B2" s="27" t="s">
        <v>161</v>
      </c>
      <c r="G2" s="27"/>
    </row>
    <row r="3" spans="1:11">
      <c r="A3" t="s">
        <v>158</v>
      </c>
      <c r="B3" s="27" t="s">
        <v>158</v>
      </c>
      <c r="C3" t="s">
        <v>166</v>
      </c>
      <c r="D3" t="s">
        <v>165</v>
      </c>
      <c r="F3" t="s">
        <v>163</v>
      </c>
      <c r="G3" s="27" t="s">
        <v>164</v>
      </c>
    </row>
    <row r="4" spans="1:11">
      <c r="A4">
        <f>1 - (C4* C4)</f>
        <v>1</v>
      </c>
      <c r="B4" s="27">
        <f>1 - (D4* D4)</f>
        <v>1</v>
      </c>
      <c r="C4">
        <f t="shared" ref="C4:C14" si="0">D4^$K$4</f>
        <v>0</v>
      </c>
      <c r="D4">
        <v>0</v>
      </c>
      <c r="F4">
        <f>1-(A4^$K$5)</f>
        <v>0</v>
      </c>
      <c r="G4" s="27">
        <f>1-(B4^$K$5)</f>
        <v>0</v>
      </c>
      <c r="J4" s="31" t="s">
        <v>159</v>
      </c>
      <c r="K4" s="31">
        <v>2.6</v>
      </c>
    </row>
    <row r="5" spans="1:11">
      <c r="A5" s="27">
        <f t="shared" ref="A5:A14" si="1">1 - (C5* C5)</f>
        <v>0.99999369042655517</v>
      </c>
      <c r="B5" s="27">
        <f t="shared" ref="B5:B14" si="2">1 - (D5* D5)</f>
        <v>0.99</v>
      </c>
      <c r="C5">
        <f t="shared" si="0"/>
        <v>2.5118864315095799E-3</v>
      </c>
      <c r="D5">
        <v>0.1</v>
      </c>
      <c r="F5" s="27">
        <f t="shared" ref="F5:F14" si="3">1-(A5^$K$5)</f>
        <v>6.3095734448292973E-6</v>
      </c>
      <c r="G5" s="27">
        <f t="shared" ref="G5:G14" si="4">1-(B5^$K$5)</f>
        <v>1.0000000000000009E-2</v>
      </c>
      <c r="J5" s="31" t="s">
        <v>160</v>
      </c>
      <c r="K5" s="31">
        <v>1</v>
      </c>
    </row>
    <row r="6" spans="1:11">
      <c r="A6" s="27">
        <f t="shared" si="1"/>
        <v>0.99976807050762317</v>
      </c>
      <c r="B6" s="27">
        <f t="shared" si="2"/>
        <v>0.96</v>
      </c>
      <c r="C6">
        <f t="shared" si="0"/>
        <v>1.5229231509727031E-2</v>
      </c>
      <c r="D6">
        <v>0.2</v>
      </c>
      <c r="F6" s="27">
        <f t="shared" si="3"/>
        <v>2.3192949237682559E-4</v>
      </c>
      <c r="G6" s="27">
        <f t="shared" si="4"/>
        <v>4.0000000000000036E-2</v>
      </c>
    </row>
    <row r="7" spans="1:11">
      <c r="A7" s="27">
        <f t="shared" si="1"/>
        <v>0.99809001250200025</v>
      </c>
      <c r="B7" s="27">
        <f t="shared" si="2"/>
        <v>0.91</v>
      </c>
      <c r="C7">
        <f t="shared" si="0"/>
        <v>4.370340373471833E-2</v>
      </c>
      <c r="D7">
        <v>0.3</v>
      </c>
      <c r="F7" s="27">
        <f t="shared" si="3"/>
        <v>1.9099874979997544E-3</v>
      </c>
      <c r="G7" s="27">
        <f t="shared" si="4"/>
        <v>8.9999999999999969E-2</v>
      </c>
    </row>
    <row r="8" spans="1:11">
      <c r="A8" s="27">
        <f t="shared" si="1"/>
        <v>0.99147465515620481</v>
      </c>
      <c r="B8" s="27">
        <f t="shared" si="2"/>
        <v>0.84</v>
      </c>
      <c r="C8">
        <f t="shared" si="0"/>
        <v>9.233279397806167E-2</v>
      </c>
      <c r="D8">
        <v>0.4</v>
      </c>
      <c r="F8" s="27">
        <f t="shared" si="3"/>
        <v>8.5253448437951906E-3</v>
      </c>
      <c r="G8" s="27">
        <f t="shared" si="4"/>
        <v>0.16000000000000003</v>
      </c>
    </row>
    <row r="9" spans="1:11">
      <c r="A9" s="27">
        <f t="shared" si="1"/>
        <v>0.97279529489699612</v>
      </c>
      <c r="B9" s="27">
        <f t="shared" si="2"/>
        <v>0.75</v>
      </c>
      <c r="C9">
        <f t="shared" si="0"/>
        <v>0.16493848884661177</v>
      </c>
      <c r="D9">
        <v>0.5</v>
      </c>
      <c r="F9" s="27">
        <f t="shared" si="3"/>
        <v>2.7204705103003879E-2</v>
      </c>
      <c r="G9" s="27">
        <f t="shared" si="4"/>
        <v>0.25</v>
      </c>
    </row>
    <row r="10" spans="1:11">
      <c r="A10" s="27">
        <f t="shared" si="1"/>
        <v>0.92979201609544748</v>
      </c>
      <c r="B10" s="27">
        <f t="shared" si="2"/>
        <v>0.64</v>
      </c>
      <c r="C10">
        <f t="shared" si="0"/>
        <v>0.26496789221441996</v>
      </c>
      <c r="D10">
        <v>0.6</v>
      </c>
      <c r="F10" s="27">
        <f t="shared" si="3"/>
        <v>7.0207983904552518E-2</v>
      </c>
      <c r="G10" s="27">
        <f t="shared" si="4"/>
        <v>0.36</v>
      </c>
    </row>
    <row r="11" spans="1:11">
      <c r="A11" s="27">
        <f t="shared" si="1"/>
        <v>0.84350163377001075</v>
      </c>
      <c r="B11" s="27">
        <f t="shared" si="2"/>
        <v>0.51</v>
      </c>
      <c r="C11">
        <f t="shared" si="0"/>
        <v>0.39559874396917555</v>
      </c>
      <c r="D11">
        <v>0.7</v>
      </c>
      <c r="F11" s="27">
        <f t="shared" si="3"/>
        <v>0.15649836622998925</v>
      </c>
      <c r="G11" s="27">
        <f t="shared" si="4"/>
        <v>0.49</v>
      </c>
    </row>
    <row r="12" spans="1:11">
      <c r="A12" s="27">
        <f t="shared" si="1"/>
        <v>0.68662241286880055</v>
      </c>
      <c r="B12" s="27">
        <f t="shared" si="2"/>
        <v>0.35999999999999988</v>
      </c>
      <c r="C12">
        <f t="shared" si="0"/>
        <v>0.55980138185895845</v>
      </c>
      <c r="D12">
        <v>0.8</v>
      </c>
      <c r="F12" s="27">
        <f t="shared" si="3"/>
        <v>0.31337758713119945</v>
      </c>
      <c r="G12" s="27">
        <f t="shared" si="4"/>
        <v>0.64000000000000012</v>
      </c>
    </row>
    <row r="13" spans="1:11">
      <c r="A13" s="27">
        <f t="shared" si="1"/>
        <v>0.42182268350946683</v>
      </c>
      <c r="B13" s="27">
        <f t="shared" si="2"/>
        <v>0.18999999999999995</v>
      </c>
      <c r="C13">
        <f t="shared" si="0"/>
        <v>0.7603797186212512</v>
      </c>
      <c r="D13">
        <v>0.9</v>
      </c>
      <c r="F13" s="27">
        <f t="shared" si="3"/>
        <v>0.57817731649053317</v>
      </c>
      <c r="G13" s="27">
        <f t="shared" si="4"/>
        <v>0.81</v>
      </c>
    </row>
    <row r="14" spans="1:11">
      <c r="A14" s="27">
        <f t="shared" si="1"/>
        <v>0</v>
      </c>
      <c r="B14" s="27">
        <f t="shared" si="2"/>
        <v>0</v>
      </c>
      <c r="C14">
        <f t="shared" si="0"/>
        <v>1</v>
      </c>
      <c r="D14">
        <v>1</v>
      </c>
      <c r="F14" s="27">
        <f t="shared" si="3"/>
        <v>1</v>
      </c>
      <c r="G14" s="27">
        <f t="shared" si="4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R20" sqref="R20"/>
    </sheetView>
  </sheetViews>
  <sheetFormatPr defaultRowHeight="15"/>
  <cols>
    <col min="1" max="1" width="12.42578125" style="27" customWidth="1"/>
    <col min="2" max="2" width="9.140625" style="27"/>
    <col min="3" max="3" width="10.28515625" style="27" customWidth="1"/>
    <col min="4" max="4" width="11" style="27" customWidth="1"/>
    <col min="5" max="5" width="11.5703125" style="27" customWidth="1"/>
    <col min="6" max="6" width="12.42578125" style="27" customWidth="1"/>
    <col min="7" max="7" width="13.28515625" style="27" customWidth="1"/>
    <col min="8" max="8" width="9.140625" style="27"/>
    <col min="9" max="9" width="10.140625" style="27" customWidth="1"/>
    <col min="10" max="16384" width="9.140625" style="27"/>
  </cols>
  <sheetData>
    <row r="1" spans="1:13">
      <c r="A1" s="32" t="s">
        <v>176</v>
      </c>
      <c r="B1" s="31"/>
    </row>
    <row r="2" spans="1:13">
      <c r="A2" s="31" t="s">
        <v>10</v>
      </c>
      <c r="B2" s="31">
        <v>2.5</v>
      </c>
    </row>
    <row r="3" spans="1:13">
      <c r="A3" s="31" t="s">
        <v>4</v>
      </c>
      <c r="B3" s="31">
        <v>25</v>
      </c>
    </row>
    <row r="4" spans="1:13">
      <c r="A4" s="31" t="s">
        <v>167</v>
      </c>
      <c r="B4" s="31">
        <v>0.1</v>
      </c>
    </row>
    <row r="5" spans="1:13">
      <c r="A5" s="31" t="s">
        <v>8</v>
      </c>
      <c r="B5" s="31">
        <v>-46</v>
      </c>
    </row>
    <row r="6" spans="1:13">
      <c r="A6" s="31" t="s">
        <v>9</v>
      </c>
      <c r="B6" s="31">
        <v>72</v>
      </c>
    </row>
    <row r="7" spans="1:13">
      <c r="A7" s="32" t="s">
        <v>177</v>
      </c>
      <c r="B7" s="31"/>
    </row>
    <row r="8" spans="1:13">
      <c r="A8" s="31" t="s">
        <v>7</v>
      </c>
      <c r="B8" s="29">
        <f>B5+B6*B2</f>
        <v>134</v>
      </c>
    </row>
    <row r="10" spans="1:13">
      <c r="A10" s="27" t="s">
        <v>168</v>
      </c>
      <c r="B10" s="27" t="s">
        <v>21</v>
      </c>
      <c r="C10" s="27" t="s">
        <v>169</v>
      </c>
      <c r="D10" s="27" t="s">
        <v>178</v>
      </c>
      <c r="E10" s="27" t="s">
        <v>179</v>
      </c>
      <c r="F10" s="27" t="s">
        <v>170</v>
      </c>
      <c r="G10" s="27" t="s">
        <v>171</v>
      </c>
      <c r="H10" s="27" t="s">
        <v>172</v>
      </c>
      <c r="I10" s="27" t="s">
        <v>173</v>
      </c>
      <c r="J10" s="27" t="s">
        <v>174</v>
      </c>
      <c r="K10" s="27" t="s">
        <v>175</v>
      </c>
      <c r="L10" s="27" t="s">
        <v>180</v>
      </c>
      <c r="M10" s="27" t="s">
        <v>181</v>
      </c>
    </row>
    <row r="11" spans="1:13">
      <c r="A11" s="27">
        <f>$B$3</f>
        <v>25</v>
      </c>
      <c r="B11" s="27">
        <v>0</v>
      </c>
      <c r="C11" s="27">
        <f>(B11+A11)/2</f>
        <v>12.5</v>
      </c>
      <c r="D11" s="27">
        <f>$B$4</f>
        <v>0.1</v>
      </c>
      <c r="E11" s="27">
        <f>0.14-0.002*B11</f>
        <v>0.14000000000000001</v>
      </c>
      <c r="F11" s="27">
        <f>$B$8*D11</f>
        <v>13.4</v>
      </c>
      <c r="G11" s="27">
        <f t="shared" ref="G11:G20" si="0">$B$8*(0.14-0.002*B11)</f>
        <v>18.760000000000002</v>
      </c>
      <c r="H11" s="27">
        <f>2^((B11-A11)/10)</f>
        <v>0.17677669529663687</v>
      </c>
      <c r="I11" s="27">
        <f>(3.22-0.046*C11)^((B11-A11)/10)</f>
        <v>8.7889260244402412E-2</v>
      </c>
      <c r="J11" s="27">
        <f>F11*H11</f>
        <v>2.368807716974934</v>
      </c>
      <c r="K11" s="27">
        <f>G11*I11</f>
        <v>1.6488025221849893</v>
      </c>
      <c r="L11" s="27">
        <f>3.22-0.046*C11</f>
        <v>2.6450000000000005</v>
      </c>
      <c r="M11" s="27">
        <v>2</v>
      </c>
    </row>
    <row r="12" spans="1:13">
      <c r="A12" s="27">
        <f t="shared" ref="A12:A20" si="1">$B$3</f>
        <v>25</v>
      </c>
      <c r="B12" s="27">
        <v>5</v>
      </c>
      <c r="C12" s="27">
        <f t="shared" ref="C12:C20" si="2">(B12+A12)/2</f>
        <v>15</v>
      </c>
      <c r="D12" s="27">
        <f t="shared" ref="D12:D20" si="3">$B$4</f>
        <v>0.1</v>
      </c>
      <c r="E12" s="27">
        <f t="shared" ref="E12:E20" si="4">0.14-0.002*B12</f>
        <v>0.13</v>
      </c>
      <c r="F12" s="27">
        <f t="shared" ref="F12:F20" si="5">$B$8*D12</f>
        <v>13.4</v>
      </c>
      <c r="G12" s="27">
        <f t="shared" si="0"/>
        <v>17.420000000000002</v>
      </c>
      <c r="H12" s="27">
        <f t="shared" ref="H12:H20" si="6">2^((B12-A12)/10)</f>
        <v>0.25</v>
      </c>
      <c r="I12" s="27">
        <f t="shared" ref="I12:I20" si="7">(3.22-0.046*C12)^((B12-A12)/10)</f>
        <v>0.15622803043322031</v>
      </c>
      <c r="J12" s="27">
        <f t="shared" ref="J12:K20" si="8">F12*H12</f>
        <v>3.35</v>
      </c>
      <c r="K12" s="27">
        <f t="shared" si="8"/>
        <v>2.7214922901466982</v>
      </c>
      <c r="L12" s="27">
        <f t="shared" ref="L12:L20" si="9">3.22-0.046*C12</f>
        <v>2.5300000000000002</v>
      </c>
      <c r="M12" s="27">
        <v>2</v>
      </c>
    </row>
    <row r="13" spans="1:13">
      <c r="A13" s="27">
        <f t="shared" si="1"/>
        <v>25</v>
      </c>
      <c r="B13" s="27">
        <v>10</v>
      </c>
      <c r="C13" s="27">
        <f t="shared" si="2"/>
        <v>17.5</v>
      </c>
      <c r="D13" s="27">
        <f t="shared" si="3"/>
        <v>0.1</v>
      </c>
      <c r="E13" s="27">
        <f t="shared" si="4"/>
        <v>0.12000000000000001</v>
      </c>
      <c r="F13" s="27">
        <f t="shared" si="5"/>
        <v>13.4</v>
      </c>
      <c r="G13" s="27">
        <f t="shared" si="0"/>
        <v>16.080000000000002</v>
      </c>
      <c r="H13" s="27">
        <f t="shared" si="6"/>
        <v>0.35355339059327379</v>
      </c>
      <c r="I13" s="27">
        <f t="shared" si="7"/>
        <v>0.26645525966367983</v>
      </c>
      <c r="J13" s="27">
        <f t="shared" si="8"/>
        <v>4.7376154339498688</v>
      </c>
      <c r="K13" s="27">
        <f t="shared" si="8"/>
        <v>4.2846005753919725</v>
      </c>
      <c r="L13" s="27">
        <f t="shared" si="9"/>
        <v>2.415</v>
      </c>
      <c r="M13" s="27">
        <v>2</v>
      </c>
    </row>
    <row r="14" spans="1:13">
      <c r="A14" s="27">
        <f t="shared" si="1"/>
        <v>25</v>
      </c>
      <c r="B14" s="27">
        <v>15</v>
      </c>
      <c r="C14" s="27">
        <f t="shared" si="2"/>
        <v>20</v>
      </c>
      <c r="D14" s="27">
        <f t="shared" si="3"/>
        <v>0.1</v>
      </c>
      <c r="E14" s="27">
        <f t="shared" si="4"/>
        <v>0.11000000000000001</v>
      </c>
      <c r="F14" s="27">
        <f t="shared" si="5"/>
        <v>13.4</v>
      </c>
      <c r="G14" s="27">
        <f t="shared" si="0"/>
        <v>14.740000000000002</v>
      </c>
      <c r="H14" s="27">
        <f t="shared" si="6"/>
        <v>0.5</v>
      </c>
      <c r="I14" s="27">
        <f t="shared" si="7"/>
        <v>0.43478260869565211</v>
      </c>
      <c r="J14" s="27">
        <f t="shared" si="8"/>
        <v>6.7</v>
      </c>
      <c r="K14" s="27">
        <f t="shared" si="8"/>
        <v>6.4086956521739129</v>
      </c>
      <c r="L14" s="27">
        <f t="shared" si="9"/>
        <v>2.3000000000000003</v>
      </c>
      <c r="M14" s="27">
        <v>2</v>
      </c>
    </row>
    <row r="15" spans="1:13">
      <c r="A15" s="27">
        <f t="shared" si="1"/>
        <v>25</v>
      </c>
      <c r="B15" s="27">
        <v>20</v>
      </c>
      <c r="C15" s="27">
        <f t="shared" si="2"/>
        <v>22.5</v>
      </c>
      <c r="D15" s="27">
        <f t="shared" si="3"/>
        <v>0.1</v>
      </c>
      <c r="E15" s="27">
        <f t="shared" si="4"/>
        <v>0.1</v>
      </c>
      <c r="F15" s="27">
        <f t="shared" si="5"/>
        <v>13.4</v>
      </c>
      <c r="G15" s="27">
        <f t="shared" si="0"/>
        <v>13.4</v>
      </c>
      <c r="H15" s="27">
        <f t="shared" si="6"/>
        <v>0.70710678118654746</v>
      </c>
      <c r="I15" s="27">
        <f t="shared" si="7"/>
        <v>0.67651009149173824</v>
      </c>
      <c r="J15" s="27">
        <f t="shared" si="8"/>
        <v>9.4752308678997359</v>
      </c>
      <c r="K15" s="27">
        <f t="shared" si="8"/>
        <v>9.0652352259892925</v>
      </c>
      <c r="L15" s="27">
        <f t="shared" si="9"/>
        <v>2.1850000000000005</v>
      </c>
      <c r="M15" s="27">
        <v>2</v>
      </c>
    </row>
    <row r="16" spans="1:13">
      <c r="A16" s="27">
        <f t="shared" si="1"/>
        <v>25</v>
      </c>
      <c r="B16" s="27">
        <v>25</v>
      </c>
      <c r="C16" s="27">
        <f t="shared" si="2"/>
        <v>25</v>
      </c>
      <c r="D16" s="27">
        <f t="shared" si="3"/>
        <v>0.1</v>
      </c>
      <c r="E16" s="27">
        <f t="shared" si="4"/>
        <v>9.0000000000000011E-2</v>
      </c>
      <c r="F16" s="27">
        <f t="shared" si="5"/>
        <v>13.4</v>
      </c>
      <c r="G16" s="27">
        <f t="shared" si="0"/>
        <v>12.060000000000002</v>
      </c>
      <c r="H16" s="27">
        <f t="shared" si="6"/>
        <v>1</v>
      </c>
      <c r="I16" s="27">
        <f t="shared" si="7"/>
        <v>1</v>
      </c>
      <c r="J16" s="27">
        <f t="shared" si="8"/>
        <v>13.4</v>
      </c>
      <c r="K16" s="27">
        <f t="shared" si="8"/>
        <v>12.060000000000002</v>
      </c>
      <c r="L16" s="27">
        <f t="shared" si="9"/>
        <v>2.0700000000000003</v>
      </c>
      <c r="M16" s="27">
        <v>2</v>
      </c>
    </row>
    <row r="17" spans="1:13">
      <c r="A17" s="27">
        <f t="shared" si="1"/>
        <v>25</v>
      </c>
      <c r="B17" s="27">
        <v>30</v>
      </c>
      <c r="C17" s="27">
        <f t="shared" si="2"/>
        <v>27.5</v>
      </c>
      <c r="D17" s="27">
        <f t="shared" si="3"/>
        <v>0.1</v>
      </c>
      <c r="E17" s="27">
        <f t="shared" si="4"/>
        <v>8.0000000000000016E-2</v>
      </c>
      <c r="F17" s="27">
        <f t="shared" si="5"/>
        <v>13.4</v>
      </c>
      <c r="G17" s="27">
        <f t="shared" si="0"/>
        <v>10.720000000000002</v>
      </c>
      <c r="H17" s="27">
        <f t="shared" si="6"/>
        <v>1.4142135623730951</v>
      </c>
      <c r="I17" s="27">
        <f t="shared" si="7"/>
        <v>1.3982131454109563</v>
      </c>
      <c r="J17" s="27">
        <f t="shared" si="8"/>
        <v>18.950461735799475</v>
      </c>
      <c r="K17" s="27">
        <f t="shared" si="8"/>
        <v>14.988844918805455</v>
      </c>
      <c r="L17" s="27">
        <f t="shared" si="9"/>
        <v>1.9550000000000003</v>
      </c>
      <c r="M17" s="27">
        <v>2</v>
      </c>
    </row>
    <row r="18" spans="1:13">
      <c r="A18" s="27">
        <f t="shared" si="1"/>
        <v>25</v>
      </c>
      <c r="B18" s="27">
        <v>35</v>
      </c>
      <c r="C18" s="27">
        <f t="shared" si="2"/>
        <v>30</v>
      </c>
      <c r="D18" s="27">
        <f t="shared" si="3"/>
        <v>0.1</v>
      </c>
      <c r="E18" s="27">
        <f t="shared" si="4"/>
        <v>7.0000000000000007E-2</v>
      </c>
      <c r="F18" s="27">
        <f t="shared" si="5"/>
        <v>13.4</v>
      </c>
      <c r="G18" s="27">
        <f t="shared" si="0"/>
        <v>9.3800000000000008</v>
      </c>
      <c r="H18" s="27">
        <f t="shared" si="6"/>
        <v>2</v>
      </c>
      <c r="I18" s="27">
        <f t="shared" si="7"/>
        <v>1.8400000000000003</v>
      </c>
      <c r="J18" s="27">
        <f t="shared" si="8"/>
        <v>26.8</v>
      </c>
      <c r="K18" s="27">
        <f t="shared" si="8"/>
        <v>17.259200000000003</v>
      </c>
      <c r="L18" s="27">
        <f t="shared" si="9"/>
        <v>1.8400000000000003</v>
      </c>
      <c r="M18" s="27">
        <v>2</v>
      </c>
    </row>
    <row r="19" spans="1:13">
      <c r="A19" s="27">
        <f t="shared" si="1"/>
        <v>25</v>
      </c>
      <c r="B19" s="27">
        <v>40</v>
      </c>
      <c r="C19" s="27">
        <f t="shared" si="2"/>
        <v>32.5</v>
      </c>
      <c r="D19" s="27">
        <f t="shared" si="3"/>
        <v>0.1</v>
      </c>
      <c r="E19" s="27">
        <f t="shared" si="4"/>
        <v>6.0000000000000012E-2</v>
      </c>
      <c r="F19" s="27">
        <f t="shared" si="5"/>
        <v>13.4</v>
      </c>
      <c r="G19" s="27">
        <f t="shared" si="0"/>
        <v>8.0400000000000009</v>
      </c>
      <c r="H19" s="27">
        <f t="shared" si="6"/>
        <v>2.8284271247461898</v>
      </c>
      <c r="I19" s="27">
        <f t="shared" si="7"/>
        <v>2.2656021550572381</v>
      </c>
      <c r="J19" s="27">
        <f t="shared" si="8"/>
        <v>37.900923471598944</v>
      </c>
      <c r="K19" s="27">
        <f t="shared" si="8"/>
        <v>18.215441326660198</v>
      </c>
      <c r="L19" s="27">
        <f t="shared" si="9"/>
        <v>1.7250000000000003</v>
      </c>
      <c r="M19" s="27">
        <v>2</v>
      </c>
    </row>
    <row r="20" spans="1:13">
      <c r="A20" s="27">
        <f t="shared" si="1"/>
        <v>25</v>
      </c>
      <c r="B20" s="27">
        <v>45</v>
      </c>
      <c r="C20" s="27">
        <f t="shared" si="2"/>
        <v>35</v>
      </c>
      <c r="D20" s="27">
        <f t="shared" si="3"/>
        <v>0.1</v>
      </c>
      <c r="E20" s="27">
        <f t="shared" si="4"/>
        <v>5.0000000000000017E-2</v>
      </c>
      <c r="F20" s="27">
        <f t="shared" si="5"/>
        <v>13.4</v>
      </c>
      <c r="G20" s="27">
        <f t="shared" si="0"/>
        <v>6.700000000000002</v>
      </c>
      <c r="H20" s="27">
        <f t="shared" si="6"/>
        <v>4</v>
      </c>
      <c r="I20" s="27">
        <f t="shared" si="7"/>
        <v>2.5921000000000012</v>
      </c>
      <c r="J20" s="27">
        <f t="shared" si="8"/>
        <v>53.6</v>
      </c>
      <c r="K20" s="27">
        <f t="shared" si="8"/>
        <v>17.367070000000012</v>
      </c>
      <c r="L20" s="27">
        <f t="shared" si="9"/>
        <v>1.6100000000000003</v>
      </c>
      <c r="M20" s="27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"/>
  <sheetViews>
    <sheetView workbookViewId="0">
      <selection activeCell="B1" sqref="B1"/>
    </sheetView>
  </sheetViews>
  <sheetFormatPr defaultRowHeight="15"/>
  <cols>
    <col min="2" max="2" width="12.42578125" customWidth="1"/>
    <col min="3" max="3" width="11.5703125" customWidth="1"/>
    <col min="5" max="5" width="12.28515625" customWidth="1"/>
  </cols>
  <sheetData>
    <row r="1" spans="1:6">
      <c r="A1" t="s">
        <v>0</v>
      </c>
      <c r="B1" t="s">
        <v>182</v>
      </c>
      <c r="C1" t="s">
        <v>183</v>
      </c>
      <c r="E1" s="31" t="s">
        <v>184</v>
      </c>
      <c r="F1" s="31">
        <v>200</v>
      </c>
    </row>
    <row r="2" spans="1:6">
      <c r="A2">
        <v>0</v>
      </c>
      <c r="B2">
        <f t="shared" ref="B2:B12" si="0">MAX(1-((A2/$F$2)^$F$3),0)</f>
        <v>1</v>
      </c>
      <c r="C2">
        <f t="shared" ref="C2:C12" si="1">$F$1*B2</f>
        <v>200</v>
      </c>
      <c r="E2" s="31" t="s">
        <v>2</v>
      </c>
      <c r="F2" s="31">
        <v>80</v>
      </c>
    </row>
    <row r="3" spans="1:6">
      <c r="A3">
        <v>10</v>
      </c>
      <c r="B3">
        <f t="shared" si="0"/>
        <v>0.998046875</v>
      </c>
      <c r="C3" s="27">
        <f t="shared" si="1"/>
        <v>199.609375</v>
      </c>
      <c r="E3" s="31" t="s">
        <v>1</v>
      </c>
      <c r="F3" s="31">
        <v>3</v>
      </c>
    </row>
    <row r="4" spans="1:6" ht="15.75">
      <c r="A4">
        <v>20</v>
      </c>
      <c r="B4">
        <f t="shared" si="0"/>
        <v>0.984375</v>
      </c>
      <c r="C4" s="27">
        <f t="shared" si="1"/>
        <v>196.875</v>
      </c>
      <c r="E4" s="1"/>
    </row>
    <row r="5" spans="1:6">
      <c r="A5">
        <v>30</v>
      </c>
      <c r="B5">
        <f t="shared" si="0"/>
        <v>0.947265625</v>
      </c>
      <c r="C5" s="27">
        <f t="shared" si="1"/>
        <v>189.453125</v>
      </c>
    </row>
    <row r="6" spans="1:6">
      <c r="A6">
        <v>40</v>
      </c>
      <c r="B6">
        <f t="shared" si="0"/>
        <v>0.875</v>
      </c>
      <c r="C6" s="27">
        <f t="shared" si="1"/>
        <v>175</v>
      </c>
    </row>
    <row r="7" spans="1:6">
      <c r="A7">
        <v>50</v>
      </c>
      <c r="B7">
        <f t="shared" si="0"/>
        <v>0.755859375</v>
      </c>
      <c r="C7" s="27">
        <f t="shared" si="1"/>
        <v>151.171875</v>
      </c>
    </row>
    <row r="8" spans="1:6">
      <c r="A8">
        <v>60</v>
      </c>
      <c r="B8">
        <f t="shared" si="0"/>
        <v>0.578125</v>
      </c>
      <c r="C8" s="27">
        <f t="shared" si="1"/>
        <v>115.625</v>
      </c>
    </row>
    <row r="9" spans="1:6">
      <c r="A9">
        <v>70</v>
      </c>
      <c r="B9">
        <f t="shared" si="0"/>
        <v>0.330078125</v>
      </c>
      <c r="C9" s="27">
        <f t="shared" si="1"/>
        <v>66.015625</v>
      </c>
    </row>
    <row r="10" spans="1:6">
      <c r="A10">
        <v>80</v>
      </c>
      <c r="B10">
        <f t="shared" si="0"/>
        <v>0</v>
      </c>
      <c r="C10" s="27">
        <f t="shared" si="1"/>
        <v>0</v>
      </c>
    </row>
    <row r="11" spans="1:6">
      <c r="A11">
        <v>90</v>
      </c>
      <c r="B11">
        <f t="shared" si="0"/>
        <v>0</v>
      </c>
      <c r="C11" s="27">
        <f t="shared" si="1"/>
        <v>0</v>
      </c>
    </row>
    <row r="12" spans="1:6">
      <c r="A12">
        <v>100</v>
      </c>
      <c r="B12">
        <f t="shared" si="0"/>
        <v>0</v>
      </c>
      <c r="C12" s="27">
        <f t="shared" si="1"/>
        <v>0</v>
      </c>
    </row>
    <row r="13" spans="1:6">
      <c r="C13" s="27"/>
    </row>
    <row r="14" spans="1:6">
      <c r="C14" s="27"/>
    </row>
    <row r="15" spans="1:6">
      <c r="C15" s="27"/>
    </row>
    <row r="16" spans="1:6">
      <c r="C16" s="27"/>
    </row>
    <row r="17" spans="3:3">
      <c r="C17" s="27"/>
    </row>
    <row r="18" spans="3:3">
      <c r="C18" s="27"/>
    </row>
    <row r="19" spans="3:3">
      <c r="C19" s="27"/>
    </row>
    <row r="20" spans="3:3">
      <c r="C20" s="27"/>
    </row>
    <row r="21" spans="3:3">
      <c r="C21" s="27"/>
    </row>
    <row r="22" spans="3:3">
      <c r="C22" s="27"/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PnET-Succ v. PnET-II</vt:lpstr>
      <vt:lpstr>Amax A&amp;B worksheet</vt:lpstr>
      <vt:lpstr>DTemp</vt:lpstr>
      <vt:lpstr>CO2 effects</vt:lpstr>
      <vt:lpstr>Pest</vt:lpstr>
      <vt:lpstr>Wythers</vt:lpstr>
      <vt:lpstr>Ozone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Eric Gustafson</cp:lastModifiedBy>
  <cp:lastPrinted>2016-05-12T20:31:54Z</cp:lastPrinted>
  <dcterms:created xsi:type="dcterms:W3CDTF">2016-03-04T15:50:18Z</dcterms:created>
  <dcterms:modified xsi:type="dcterms:W3CDTF">2016-10-31T18:17:25Z</dcterms:modified>
</cp:coreProperties>
</file>