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ml.chartshapes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omments4.xml" ContentType="application/vnd.openxmlformats-officedocument.spreadsheetml.comments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Extension-PnET-Succession\deploy\docs\"/>
    </mc:Choice>
  </mc:AlternateContent>
  <xr:revisionPtr revIDLastSave="0" documentId="13_ncr:1_{C4BFBC01-E2C4-49F3-AAEF-848EA069449D}" xr6:coauthVersionLast="45" xr6:coauthVersionMax="45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Wythers" sheetId="11" r:id="rId5"/>
    <sheet name="fRad" sheetId="19" r:id="rId6"/>
    <sheet name="fWater" sheetId="18" r:id="rId7"/>
    <sheet name="fAge" sheetId="13" r:id="rId8"/>
    <sheet name="FrActWd" sheetId="16" r:id="rId9"/>
    <sheet name="EstMod" sheetId="21" r:id="rId10"/>
    <sheet name="AdjFolN" sheetId="15" r:id="rId11"/>
    <sheet name="AdjFracFol" sheetId="17" r:id="rId12"/>
    <sheet name="CO2HalfSatEff" sheetId="14" r:id="rId13"/>
  </sheets>
  <definedNames>
    <definedName name="Amax" localSheetId="11">#REF!</definedName>
    <definedName name="Amax" localSheetId="9">#REF!</definedName>
    <definedName name="Amax" localSheetId="7">#REF!</definedName>
    <definedName name="Amax" localSheetId="0">'PnET-Succ v. PnET-II'!$AD$11</definedName>
    <definedName name="Amax">#REF!</definedName>
    <definedName name="Amax_pnet_ii" localSheetId="11">#REF!</definedName>
    <definedName name="Amax_pnet_ii" localSheetId="9">#REF!</definedName>
    <definedName name="Amax_pnet_ii" localSheetId="7">#REF!</definedName>
    <definedName name="Amax_pnet_ii" localSheetId="0">'PnET-Succ v. PnET-II'!$AA$21</definedName>
    <definedName name="Amax_pnet_ii">#REF!</definedName>
    <definedName name="Amax_temp1" localSheetId="11">#REF!</definedName>
    <definedName name="Amax_temp1" localSheetId="9">#REF!</definedName>
    <definedName name="Amax_temp1" localSheetId="7">#REF!</definedName>
    <definedName name="Amax_temp1" localSheetId="0">'PnET-Succ v. PnET-II'!$AQ$21</definedName>
    <definedName name="Amax_temp1">#REF!</definedName>
    <definedName name="AMaxFrac" localSheetId="11">#REF!</definedName>
    <definedName name="AMaxFrac" localSheetId="9">#REF!</definedName>
    <definedName name="AMaxFrac" localSheetId="7">#REF!</definedName>
    <definedName name="AMaxFrac" localSheetId="0">'PnET-Succ v. PnET-II'!$AD$30</definedName>
    <definedName name="AMaxFrac">#REF!</definedName>
    <definedName name="BaseFolResp" localSheetId="11">#REF!</definedName>
    <definedName name="BaseFolResp" localSheetId="9">#REF!</definedName>
    <definedName name="BaseFolResp" localSheetId="7">#REF!</definedName>
    <definedName name="BaseFolResp" localSheetId="0">'PnET-Succ v. PnET-II'!#REF!</definedName>
    <definedName name="BaseFolResp">#REF!</definedName>
    <definedName name="BaseFolResp_pnet_ii" localSheetId="11">#REF!</definedName>
    <definedName name="BaseFolResp_pnet_ii" localSheetId="9">#REF!</definedName>
    <definedName name="BaseFolResp_pnet_ii" localSheetId="7">#REF!</definedName>
    <definedName name="BaseFolResp_pnet_ii" localSheetId="0">'PnET-Succ v. PnET-II'!$U$21</definedName>
    <definedName name="BaseFolResp_pnet_ii">#REF!</definedName>
    <definedName name="BaseFolRespFrac" localSheetId="11">#REF!</definedName>
    <definedName name="BaseFolRespFrac" localSheetId="9">#REF!</definedName>
    <definedName name="BaseFolRespFrac" localSheetId="7">#REF!</definedName>
    <definedName name="BaseFolRespFrac" localSheetId="0">'PnET-Succ v. PnET-II'!$AD$23</definedName>
    <definedName name="BaseFolRespFrac">#REF!</definedName>
    <definedName name="BaseFolRespFrac_PnET_II" localSheetId="11">#REF!</definedName>
    <definedName name="BaseFolRespFrac_PnET_II" localSheetId="9">#REF!</definedName>
    <definedName name="BaseFolRespFrac_PnET_II" localSheetId="7">#REF!</definedName>
    <definedName name="BaseFolRespFrac_PnET_II" localSheetId="0">'PnET-Succ v. PnET-II'!$AE$19</definedName>
    <definedName name="BaseFolRespFrac_PnET_II">#REF!</definedName>
    <definedName name="Billion" localSheetId="11">#REF!</definedName>
    <definedName name="Billion" localSheetId="9">#REF!</definedName>
    <definedName name="Billion" localSheetId="7">#REF!</definedName>
    <definedName name="Billion" localSheetId="0">'PnET-Succ v. PnET-II'!$AD$4</definedName>
    <definedName name="Billion">#REF!</definedName>
    <definedName name="biomass" localSheetId="11">#REF!</definedName>
    <definedName name="biomass" localSheetId="9">#REF!</definedName>
    <definedName name="biomass" localSheetId="7">#REF!</definedName>
    <definedName name="biomass" localSheetId="0">'PnET-Succ v. PnET-II'!#REF!</definedName>
    <definedName name="biomass">#REF!</definedName>
    <definedName name="CanopyGrossPsn" localSheetId="11">#REF!</definedName>
    <definedName name="CanopyGrossPsn" localSheetId="9">#REF!</definedName>
    <definedName name="CanopyGrossPsn" localSheetId="7">#REF!</definedName>
    <definedName name="CanopyGrossPsn" localSheetId="0">'PnET-Succ v. PnET-II'!$AD$34</definedName>
    <definedName name="CanopyGrossPsn">#REF!</definedName>
    <definedName name="CanopyGrossPsnAct_pnet_ii" localSheetId="11">#REF!</definedName>
    <definedName name="CanopyGrossPsnAct_pnet_ii" localSheetId="9">#REF!</definedName>
    <definedName name="CanopyGrossPsnAct_pnet_ii" localSheetId="7">#REF!</definedName>
    <definedName name="CanopyGrossPsnAct_pnet_ii" localSheetId="0">'PnET-Succ v. PnET-II'!$X$21</definedName>
    <definedName name="CanopyGrossPsnAct_pnet_ii">#REF!</definedName>
    <definedName name="CanopyGrossPsnMG" localSheetId="11">#REF!</definedName>
    <definedName name="CanopyGrossPsnMG" localSheetId="9">#REF!</definedName>
    <definedName name="CanopyGrossPsnMG" localSheetId="7">#REF!</definedName>
    <definedName name="CanopyGrossPsnMG" localSheetId="0">'PnET-Succ v. PnET-II'!$AD$35</definedName>
    <definedName name="CanopyGrossPsnMG">#REF!</definedName>
    <definedName name="DayLength" localSheetId="11">#REF!</definedName>
    <definedName name="DayLength" localSheetId="9">#REF!</definedName>
    <definedName name="DayLength" localSheetId="7">#REF!</definedName>
    <definedName name="DayLength" localSheetId="0">'PnET-Succ v. PnET-II'!$AD$6</definedName>
    <definedName name="DayLength">#REF!</definedName>
    <definedName name="DayResp_pnet_ii" localSheetId="11">#REF!</definedName>
    <definedName name="DayResp_pnet_ii" localSheetId="9">#REF!</definedName>
    <definedName name="DayResp_pnet_ii" localSheetId="7">#REF!</definedName>
    <definedName name="DayResp_pnet_ii" localSheetId="0">'PnET-Succ v. PnET-II'!$S$21</definedName>
    <definedName name="DayResp_pnet_ii">#REF!</definedName>
    <definedName name="dayspan" localSheetId="11">#REF!</definedName>
    <definedName name="dayspan" localSheetId="9">#REF!</definedName>
    <definedName name="dayspan" localSheetId="7">#REF!</definedName>
    <definedName name="dayspan" localSheetId="0">'PnET-Succ v. PnET-II'!$AD$8</definedName>
    <definedName name="dayspan">#REF!</definedName>
    <definedName name="DelAmax" localSheetId="11">#REF!</definedName>
    <definedName name="DelAmax" localSheetId="9">#REF!</definedName>
    <definedName name="DelAmax" localSheetId="7">#REF!</definedName>
    <definedName name="DelAmax" localSheetId="0">'PnET-Succ v. PnET-II'!$AD$16</definedName>
    <definedName name="DelAmax">#REF!</definedName>
    <definedName name="Delgs" localSheetId="11">#REF!</definedName>
    <definedName name="Delgs" localSheetId="9">#REF!</definedName>
    <definedName name="Delgs" localSheetId="7">#REF!</definedName>
    <definedName name="Delgs" localSheetId="0">'PnET-Succ v. PnET-II'!$AD$24</definedName>
    <definedName name="Delgs">#REF!</definedName>
    <definedName name="Dtemp_pnet_ii" localSheetId="11">#REF!</definedName>
    <definedName name="Dtemp_pnet_ii" localSheetId="9">#REF!</definedName>
    <definedName name="Dtemp_pnet_ii" localSheetId="7">#REF!</definedName>
    <definedName name="Dtemp_pnet_ii" localSheetId="0">'PnET-Succ v. PnET-II'!$J$21</definedName>
    <definedName name="Dtemp_pnet_ii">#REF!</definedName>
    <definedName name="Dtemp_pnet_suc" localSheetId="11">#REF!</definedName>
    <definedName name="Dtemp_pnet_suc" localSheetId="9">#REF!</definedName>
    <definedName name="Dtemp_pnet_suc" localSheetId="7">#REF!</definedName>
    <definedName name="Dtemp_pnet_suc" localSheetId="0">'PnET-Succ v. PnET-II'!$J$2</definedName>
    <definedName name="Dtemp_pnet_suc">#REF!</definedName>
    <definedName name="DVPD_pnet_ii" localSheetId="11">#REF!</definedName>
    <definedName name="DVPD_pnet_ii" localSheetId="9">#REF!</definedName>
    <definedName name="DVPD_pnet_ii" localSheetId="7">#REF!</definedName>
    <definedName name="DVPD_pnet_ii" localSheetId="0">'PnET-Succ v. PnET-II'!$L$21</definedName>
    <definedName name="DVPD_pnet_ii">#REF!</definedName>
    <definedName name="DVPD_pnet_suc" localSheetId="11">#REF!</definedName>
    <definedName name="DVPD_pnet_suc" localSheetId="9">#REF!</definedName>
    <definedName name="DVPD_pnet_suc" localSheetId="7">#REF!</definedName>
    <definedName name="DVPD_pnet_suc" localSheetId="0">'PnET-Succ v. PnET-II'!$L$2</definedName>
    <definedName name="DVPD_pnet_suc">#REF!</definedName>
    <definedName name="DVPD1" localSheetId="11">#REF!</definedName>
    <definedName name="DVPD1" localSheetId="9">#REF!</definedName>
    <definedName name="DVPD1" localSheetId="7">#REF!</definedName>
    <definedName name="DVPD1" localSheetId="0">'PnET-Succ v. PnET-II'!$AD$20</definedName>
    <definedName name="DVPD1">#REF!</definedName>
    <definedName name="DVPD2" localSheetId="11">#REF!</definedName>
    <definedName name="DVPD2" localSheetId="9">#REF!</definedName>
    <definedName name="DVPD2" localSheetId="7">#REF!</definedName>
    <definedName name="DVPD2" localSheetId="0">'PnET-Succ v. PnET-II'!$AD$21</definedName>
    <definedName name="DVPD2">#REF!</definedName>
    <definedName name="emean_PnET_II" localSheetId="11">#REF!</definedName>
    <definedName name="emean_PnET_II" localSheetId="9">#REF!</definedName>
    <definedName name="emean_PnET_II" localSheetId="7">#REF!</definedName>
    <definedName name="emean_PnET_II" localSheetId="0">'PnET-Succ v. PnET-II'!$H$21</definedName>
    <definedName name="emean_PnET_II">#REF!</definedName>
    <definedName name="emean_PnET_Succession" localSheetId="11">#REF!</definedName>
    <definedName name="emean_PnET_Succession" localSheetId="9">#REF!</definedName>
    <definedName name="emean_PnET_Succession" localSheetId="7">#REF!</definedName>
    <definedName name="emean_PnET_Succession" localSheetId="0">'PnET-Succ v. PnET-II'!$H$2</definedName>
    <definedName name="emean_PnET_Succession">#REF!</definedName>
    <definedName name="es_PnET_II" localSheetId="11">#REF!</definedName>
    <definedName name="es_PnET_II" localSheetId="9">#REF!</definedName>
    <definedName name="es_PnET_II" localSheetId="7">#REF!</definedName>
    <definedName name="es_PnET_II" localSheetId="0">'PnET-Succ v. PnET-II'!$G$21</definedName>
    <definedName name="es_PnET_II">#REF!</definedName>
    <definedName name="es_PnET_Succession" localSheetId="11">#REF!</definedName>
    <definedName name="es_PnET_Succession" localSheetId="9">#REF!</definedName>
    <definedName name="es_PnET_Succession" localSheetId="7">#REF!</definedName>
    <definedName name="es_PnET_Succession" localSheetId="0">'PnET-Succ v. PnET-II'!$G$2</definedName>
    <definedName name="es_PnET_Succession">#REF!</definedName>
    <definedName name="fAge" localSheetId="11">#REF!</definedName>
    <definedName name="fAge" localSheetId="9">#REF!</definedName>
    <definedName name="fAge" localSheetId="7">#REF!</definedName>
    <definedName name="fAge" localSheetId="0">'PnET-Succ v. PnET-II'!$AD$14</definedName>
    <definedName name="fAge">#REF!</definedName>
    <definedName name="Fol" localSheetId="11">#REF!</definedName>
    <definedName name="Fol" localSheetId="9">#REF!</definedName>
    <definedName name="Fol" localSheetId="7">#REF!</definedName>
    <definedName name="Fol" localSheetId="0">'PnET-Succ v. PnET-II'!$AD$10</definedName>
    <definedName name="Fol">#REF!</definedName>
    <definedName name="FolResp_pnet_suc" localSheetId="11">#REF!</definedName>
    <definedName name="FolResp_pnet_suc" localSheetId="9">#REF!</definedName>
    <definedName name="FolResp_pnet_suc" localSheetId="7">#REF!</definedName>
    <definedName name="FolResp_pnet_suc" localSheetId="0">'PnET-Succ v. PnET-II'!$V$2</definedName>
    <definedName name="FolResp_pnet_suc">#REF!</definedName>
    <definedName name="fRad" localSheetId="11">#REF!</definedName>
    <definedName name="fRad" localSheetId="9">#REF!</definedName>
    <definedName name="fRad" localSheetId="7">#REF!</definedName>
    <definedName name="fRad" localSheetId="0">'PnET-Succ v. PnET-II'!$AD$12</definedName>
    <definedName name="fRad">#REF!</definedName>
    <definedName name="FTempPsn_pnet_suc" localSheetId="11">#REF!</definedName>
    <definedName name="FTempPsn_pnet_suc" localSheetId="9">#REF!</definedName>
    <definedName name="FTempPsn_pnet_suc" localSheetId="7">#REF!</definedName>
    <definedName name="FTempPsn_pnet_suc" localSheetId="0">'PnET-Succ v. PnET-II'!$K$2</definedName>
    <definedName name="FTempPsn_pnet_suc">#REF!</definedName>
    <definedName name="FTempPSNRefNetPsn_pnet_suc" localSheetId="11">#REF!</definedName>
    <definedName name="FTempPSNRefNetPsn_pnet_suc" localSheetId="9">#REF!</definedName>
    <definedName name="FTempPSNRefNetPsn_pnet_suc" localSheetId="7">#REF!</definedName>
    <definedName name="FTempPSNRefNetPsn_pnet_suc" localSheetId="0">'PnET-Succ v. PnET-II'!$O$2</definedName>
    <definedName name="FTempPSNRefNetPsn_pnet_suc">#REF!</definedName>
    <definedName name="FTempRespDay_pnet_suc" localSheetId="11">#REF!</definedName>
    <definedName name="FTempRespDay_pnet_suc" localSheetId="9">#REF!</definedName>
    <definedName name="FTempRespDay_pnet_suc" localSheetId="7">#REF!</definedName>
    <definedName name="FTempRespDay_pnet_suc" localSheetId="0">'PnET-Succ v. PnET-II'!$S$2</definedName>
    <definedName name="FTempRespDay_pnet_suc">#REF!</definedName>
    <definedName name="FTempRespDayRefResp_pnet_suc" localSheetId="11">#REF!</definedName>
    <definedName name="FTempRespDayRefResp_pnet_suc" localSheetId="9">#REF!</definedName>
    <definedName name="FTempRespDayRefResp_pnet_suc" localSheetId="7">#REF!</definedName>
    <definedName name="FTempRespDayRefResp_pnet_suc" localSheetId="0">'PnET-Succ v. PnET-II'!$U$2</definedName>
    <definedName name="FTempRespDayRefResp_pnet_suc">#REF!</definedName>
    <definedName name="fWater" localSheetId="11">#REF!</definedName>
    <definedName name="fWater" localSheetId="9">#REF!</definedName>
    <definedName name="fWater" localSheetId="7">#REF!</definedName>
    <definedName name="fWater" localSheetId="0">'PnET-Succ v. PnET-II'!$AD$13</definedName>
    <definedName name="fWater">#REF!</definedName>
    <definedName name="GrossAmax_pnet_ii" localSheetId="11">#REF!</definedName>
    <definedName name="GrossAmax_pnet_ii" localSheetId="9">#REF!</definedName>
    <definedName name="GrossAmax_pnet_ii" localSheetId="7">#REF!</definedName>
    <definedName name="GrossAmax_pnet_ii" localSheetId="0">'PnET-Succ v. PnET-II'!$O$21</definedName>
    <definedName name="GrossAmax_pnet_ii">#REF!</definedName>
    <definedName name="GrossAmax_temp1_pnet_ii" localSheetId="11">#REF!</definedName>
    <definedName name="GrossAmax_temp1_pnet_ii" localSheetId="9">#REF!</definedName>
    <definedName name="GrossAmax_temp1_pnet_ii" localSheetId="7">#REF!</definedName>
    <definedName name="GrossAmax_temp1_pnet_ii" localSheetId="0">'PnET-Succ v. PnET-II'!$M$21</definedName>
    <definedName name="GrossAmax_temp1_pnet_ii">#REF!</definedName>
    <definedName name="GrossAmax_temp2_pnet_ii" localSheetId="11">#REF!</definedName>
    <definedName name="GrossAmax_temp2_pnet_ii" localSheetId="9">#REF!</definedName>
    <definedName name="GrossAmax_temp2_pnet_ii" localSheetId="7">#REF!</definedName>
    <definedName name="GrossAmax_temp2_pnet_ii" localSheetId="0">'PnET-Succ v. PnET-II'!$N$21</definedName>
    <definedName name="GrossAmax_temp2_pnet_ii">#REF!</definedName>
    <definedName name="GrossPsn_pnet_suc" localSheetId="11">#REF!</definedName>
    <definedName name="GrossPsn_pnet_suc" localSheetId="9">#REF!</definedName>
    <definedName name="GrossPsn_pnet_suc" localSheetId="7">#REF!</definedName>
    <definedName name="GrossPsn_pnet_suc" localSheetId="0">'PnET-Succ v. PnET-II'!$W$2</definedName>
    <definedName name="GrossPsn_pnet_suc">#REF!</definedName>
    <definedName name="IMAX" localSheetId="11">#REF!</definedName>
    <definedName name="IMAX" localSheetId="9">#REF!</definedName>
    <definedName name="IMAX" localSheetId="7">#REF!</definedName>
    <definedName name="IMAX" localSheetId="0">'PnET-Succ v. PnET-II'!$AD$9</definedName>
    <definedName name="IMAX">#REF!</definedName>
    <definedName name="index" localSheetId="11">#REF!</definedName>
    <definedName name="index" localSheetId="9">#REF!</definedName>
    <definedName name="index" localSheetId="7">#REF!</definedName>
    <definedName name="index" localSheetId="0">'PnET-Succ v. PnET-II'!#REF!</definedName>
    <definedName name="index">#REF!</definedName>
    <definedName name="LAI" localSheetId="11">#REF!</definedName>
    <definedName name="LAI" localSheetId="9">#REF!</definedName>
    <definedName name="LAI" localSheetId="7">#REF!</definedName>
    <definedName name="LAI" localSheetId="0">'PnET-Succ v. PnET-II'!$AD$31</definedName>
    <definedName name="LAI">#REF!</definedName>
    <definedName name="LAI_pnet_ii" localSheetId="11">#REF!</definedName>
    <definedName name="LAI_pnet_ii" localSheetId="9">#REF!</definedName>
    <definedName name="LAI_pnet_ii" localSheetId="7">#REF!</definedName>
    <definedName name="LAI_pnet_ii" localSheetId="0">'PnET-Succ v. PnET-II'!$P$21</definedName>
    <definedName name="LAI_pnet_ii">#REF!</definedName>
    <definedName name="LAI_pnet_suc" localSheetId="11">#REF!</definedName>
    <definedName name="LAI_pnet_suc" localSheetId="9">#REF!</definedName>
    <definedName name="LAI_pnet_suc" localSheetId="7">#REF!</definedName>
    <definedName name="LAI_pnet_suc" localSheetId="0">'PnET-Succ v. PnET-II'!$P$2</definedName>
    <definedName name="LAI_pnet_suc">#REF!</definedName>
    <definedName name="LayerGrossPsn_pnet_ii" localSheetId="11">#REF!</definedName>
    <definedName name="LayerGrossPsn_pnet_ii" localSheetId="9">#REF!</definedName>
    <definedName name="LayerGrossPsn_pnet_ii" localSheetId="7">#REF!</definedName>
    <definedName name="LayerGrossPsn_pnet_ii" localSheetId="0">'PnET-Succ v. PnET-II'!$R$21</definedName>
    <definedName name="LayerGrossPsn_pnet_ii">#REF!</definedName>
    <definedName name="LayerGrossPsnRate_pnet_ii" localSheetId="11">#REF!</definedName>
    <definedName name="LayerGrossPsnRate_pnet_ii" localSheetId="9">#REF!</definedName>
    <definedName name="LayerGrossPsnRate_pnet_ii" localSheetId="7">#REF!</definedName>
    <definedName name="LayerGrossPsnRate_pnet_ii" localSheetId="0">'PnET-Succ v. PnET-II'!$W$21</definedName>
    <definedName name="LayerGrossPsnRate_pnet_ii">#REF!</definedName>
    <definedName name="LayerLAI" localSheetId="11">#REF!</definedName>
    <definedName name="LayerLAI" localSheetId="9">#REF!</definedName>
    <definedName name="LayerLAI" localSheetId="7">#REF!</definedName>
    <definedName name="LayerLAI" localSheetId="0">'PnET-Succ v. PnET-II'!$AD$31</definedName>
    <definedName name="LayerLAI">#REF!</definedName>
    <definedName name="LayerNetPsn_pnet_ii" localSheetId="11">#REF!</definedName>
    <definedName name="LayerNetPsn_pnet_ii" localSheetId="9">#REF!</definedName>
    <definedName name="LayerNetPsn_pnet_ii" localSheetId="7">#REF!</definedName>
    <definedName name="LayerNetPsn_pnet_ii" localSheetId="0">'PnET-Succ v. PnET-II'!$Y$21</definedName>
    <definedName name="LayerNetPsn_pnet_ii">#REF!</definedName>
    <definedName name="LayerResp_pnet_ii" localSheetId="11">#REF!</definedName>
    <definedName name="LayerResp_pnet_ii" localSheetId="9">#REF!</definedName>
    <definedName name="LayerResp_pnet_ii" localSheetId="7">#REF!</definedName>
    <definedName name="LayerResp_pnet_ii" localSheetId="0">'PnET-Succ v. PnET-II'!$V$21</definedName>
    <definedName name="LayerResp_pnet_ii">#REF!</definedName>
    <definedName name="LayerSLW" localSheetId="11">#REF!</definedName>
    <definedName name="LayerSLW" localSheetId="9">#REF!</definedName>
    <definedName name="LayerSLW" localSheetId="7">#REF!</definedName>
    <definedName name="LayerSLW" localSheetId="0">'PnET-Succ v. PnET-II'!$AD$25</definedName>
    <definedName name="LayerSLW">#REF!</definedName>
    <definedName name="LightEff_pnet_ii" localSheetId="11">#REF!</definedName>
    <definedName name="LightEff_pnet_ii" localSheetId="9">#REF!</definedName>
    <definedName name="LightEff_pnet_ii" localSheetId="7">#REF!</definedName>
    <definedName name="LightEff_pnet_ii" localSheetId="0">'PnET-Succ v. PnET-II'!#REF!</definedName>
    <definedName name="LightEff_pnet_ii">#REF!</definedName>
    <definedName name="MaintResp_pnet_suc" localSheetId="11">#REF!</definedName>
    <definedName name="MaintResp_pnet_suc" localSheetId="9">#REF!</definedName>
    <definedName name="MaintResp_pnet_suc" localSheetId="7">#REF!</definedName>
    <definedName name="MaintResp_pnet_suc" localSheetId="0">'PnET-Succ v. PnET-II'!$Q$2</definedName>
    <definedName name="MaintResp_pnet_suc">#REF!</definedName>
    <definedName name="MC" localSheetId="11">#REF!</definedName>
    <definedName name="MC" localSheetId="9">#REF!</definedName>
    <definedName name="MC" localSheetId="7">#REF!</definedName>
    <definedName name="MC" localSheetId="0">'PnET-Succ v. PnET-II'!$AD$3</definedName>
    <definedName name="MC">#REF!</definedName>
    <definedName name="MCO2_MC" localSheetId="11">#REF!</definedName>
    <definedName name="MCO2_MC" localSheetId="9">#REF!</definedName>
    <definedName name="MCO2_MC" localSheetId="7">#REF!</definedName>
    <definedName name="MCO2_MC" localSheetId="0">'PnET-Succ v. PnET-II'!$AD$2</definedName>
    <definedName name="MCO2_MC">#REF!</definedName>
    <definedName name="NetPsn_pnet_suc" localSheetId="11">#REF!</definedName>
    <definedName name="NetPsn_pnet_suc" localSheetId="9">#REF!</definedName>
    <definedName name="NetPsn_pnet_suc" localSheetId="7">#REF!</definedName>
    <definedName name="NetPsn_pnet_suc" localSheetId="0">'PnET-Succ v. PnET-II'!$R$2</definedName>
    <definedName name="NetPsn_pnet_suc">#REF!</definedName>
    <definedName name="NightLength" localSheetId="11">#REF!</definedName>
    <definedName name="NightLength" localSheetId="9">#REF!</definedName>
    <definedName name="NightLength" localSheetId="7">#REF!</definedName>
    <definedName name="NightLength" localSheetId="0">'PnET-Succ v. PnET-II'!$AD$7</definedName>
    <definedName name="NightLength">#REF!</definedName>
    <definedName name="NightResp" localSheetId="11">#REF!</definedName>
    <definedName name="NightResp" localSheetId="9">#REF!</definedName>
    <definedName name="NightResp" localSheetId="7">#REF!</definedName>
    <definedName name="NightResp" localSheetId="0">'PnET-Succ v. PnET-II'!$T$21</definedName>
    <definedName name="NightResp">#REF!</definedName>
    <definedName name="NSC" localSheetId="11">#REF!</definedName>
    <definedName name="NSC" localSheetId="9">#REF!</definedName>
    <definedName name="NSC" localSheetId="7">#REF!</definedName>
    <definedName name="NSC" localSheetId="0">'PnET-Succ v. PnET-II'!#REF!</definedName>
    <definedName name="NSC">#REF!</definedName>
    <definedName name="PotTransd_pnet_ii" localSheetId="11">#REF!</definedName>
    <definedName name="PotTransd_pnet_ii" localSheetId="9">#REF!</definedName>
    <definedName name="PotTransd_pnet_ii" localSheetId="7">#REF!</definedName>
    <definedName name="PotTransd_pnet_ii" localSheetId="0">'PnET-Succ v. PnET-II'!$Z$21</definedName>
    <definedName name="PotTransd_pnet_ii">#REF!</definedName>
    <definedName name="PsnTMax" localSheetId="11">#REF!</definedName>
    <definedName name="PsnTMax" localSheetId="9">#REF!</definedName>
    <definedName name="PsnTMax" localSheetId="7">#REF!</definedName>
    <definedName name="PsnTMax" localSheetId="0">'PnET-Succ v. PnET-II'!$AD$19</definedName>
    <definedName name="PsnTMax">#REF!</definedName>
    <definedName name="PsnTMin" localSheetId="11">#REF!</definedName>
    <definedName name="PsnTMin" localSheetId="9">#REF!</definedName>
    <definedName name="PsnTMin" localSheetId="7">#REF!</definedName>
    <definedName name="PsnTMin" localSheetId="0">'PnET-Succ v. PnET-II'!$AD$17</definedName>
    <definedName name="PsnTMin">#REF!</definedName>
    <definedName name="PsnTOpt" localSheetId="11">#REF!</definedName>
    <definedName name="PsnTOpt" localSheetId="9">#REF!</definedName>
    <definedName name="PsnTOpt" localSheetId="7">#REF!</definedName>
    <definedName name="PsnTOpt" localSheetId="0">'PnET-Succ v. PnET-II'!$AD$18</definedName>
    <definedName name="PsnTOpt">#REF!</definedName>
    <definedName name="Q10const" localSheetId="11">#REF!</definedName>
    <definedName name="Q10const" localSheetId="9">#REF!</definedName>
    <definedName name="Q10const" localSheetId="7">#REF!</definedName>
    <definedName name="Q10const" localSheetId="0">'PnET-Succ v. PnET-II'!#REF!</definedName>
    <definedName name="Q10const">#REF!</definedName>
    <definedName name="RefNetPsn_pnet_suc" localSheetId="11">#REF!</definedName>
    <definedName name="RefNetPsn_pnet_suc" localSheetId="9">#REF!</definedName>
    <definedName name="RefNetPsn_pnet_suc" localSheetId="7">#REF!</definedName>
    <definedName name="RefNetPsn_pnet_suc" localSheetId="0">'PnET-Succ v. PnET-II'!$N$2</definedName>
    <definedName name="RefNetPsn_pnet_suc">#REF!</definedName>
    <definedName name="RespQ10" localSheetId="11">#REF!</definedName>
    <definedName name="RespQ10" localSheetId="9">#REF!</definedName>
    <definedName name="RespQ10" localSheetId="7">#REF!</definedName>
    <definedName name="RespQ10" localSheetId="0">'PnET-Succ v. PnET-II'!$AD$22</definedName>
    <definedName name="RespQ10">#REF!</definedName>
    <definedName name="SLWDel" localSheetId="11">#REF!</definedName>
    <definedName name="SLWDel" localSheetId="9">#REF!</definedName>
    <definedName name="SLWDel" localSheetId="7">#REF!</definedName>
    <definedName name="SLWDel" localSheetId="0">'PnET-Succ v. PnET-II'!#REF!</definedName>
    <definedName name="SLWDel">#REF!</definedName>
    <definedName name="SLWLayer" localSheetId="11">#REF!</definedName>
    <definedName name="SLWLayer" localSheetId="9">#REF!</definedName>
    <definedName name="SLWLayer" localSheetId="7">#REF!</definedName>
    <definedName name="SLWLayer" localSheetId="0">'PnET-Succ v. PnET-II'!$AD$25</definedName>
    <definedName name="SLWLayer">#REF!</definedName>
    <definedName name="SLWmax" localSheetId="11">#REF!</definedName>
    <definedName name="SLWmax" localSheetId="9">#REF!</definedName>
    <definedName name="SLWmax" localSheetId="7">#REF!</definedName>
    <definedName name="SLWmax" localSheetId="0">'PnET-Succ v. PnET-II'!#REF!</definedName>
    <definedName name="SLWmax">#REF!</definedName>
    <definedName name="Tave" localSheetId="11">#REF!</definedName>
    <definedName name="Tave" localSheetId="9">#REF!</definedName>
    <definedName name="Tave" localSheetId="7">#REF!</definedName>
    <definedName name="Tave" localSheetId="0">'PnET-Succ v. PnET-II'!$D$2</definedName>
    <definedName name="Tave">#REF!</definedName>
    <definedName name="Tday" localSheetId="11">#REF!</definedName>
    <definedName name="Tday" localSheetId="9">#REF!</definedName>
    <definedName name="Tday" localSheetId="7">#REF!</definedName>
    <definedName name="Tday" localSheetId="0">'PnET-Succ v. PnET-II'!$E$2</definedName>
    <definedName name="Tday">#REF!</definedName>
    <definedName name="Tmax" localSheetId="11">#REF!</definedName>
    <definedName name="Tmax" localSheetId="9">#REF!</definedName>
    <definedName name="Tmax" localSheetId="7">#REF!</definedName>
    <definedName name="Tmax" localSheetId="0">'PnET-Succ v. PnET-II'!$C$2</definedName>
    <definedName name="Tmax">#REF!</definedName>
    <definedName name="Tmin" localSheetId="11">#REF!</definedName>
    <definedName name="Tmin" localSheetId="9">#REF!</definedName>
    <definedName name="Tmin" localSheetId="7">#REF!</definedName>
    <definedName name="Tmin" localSheetId="0">'PnET-Succ v. PnET-II'!$B$2</definedName>
    <definedName name="Tmin">#REF!</definedName>
    <definedName name="Tnight" localSheetId="11">#REF!</definedName>
    <definedName name="Tnight" localSheetId="9">#REF!</definedName>
    <definedName name="Tnight" localSheetId="7">#REF!</definedName>
    <definedName name="Tnight" localSheetId="0">'PnET-Succ v. PnET-II'!$F$2</definedName>
    <definedName name="Tnight">#REF!</definedName>
    <definedName name="Transpiration_pnet_suc" localSheetId="11">#REF!</definedName>
    <definedName name="Transpiration_pnet_suc" localSheetId="9">#REF!</definedName>
    <definedName name="Transpiration_pnet_suc" localSheetId="7">#REF!</definedName>
    <definedName name="Transpiration_pnet_suc" localSheetId="0">'PnET-Succ v. PnET-II'!$Z$2</definedName>
    <definedName name="Transpiration_pnet_suc">#REF!</definedName>
    <definedName name="VPD" localSheetId="11">#REF!</definedName>
    <definedName name="VPD" localSheetId="9">#REF!</definedName>
    <definedName name="VPD" localSheetId="7">#REF!</definedName>
    <definedName name="VPD" localSheetId="0">'PnET-Succ v. PnET-II'!$AD$5</definedName>
    <definedName name="VPD">#REF!</definedName>
    <definedName name="VPD_PnET_II" localSheetId="11">#REF!</definedName>
    <definedName name="VPD_PnET_II" localSheetId="9">#REF!</definedName>
    <definedName name="VPD_PnET_II" localSheetId="7">#REF!</definedName>
    <definedName name="VPD_PnET_II" localSheetId="0">'PnET-Succ v. PnET-II'!$I$21</definedName>
    <definedName name="VPD_PnET_II">#REF!</definedName>
    <definedName name="VPD_PnET_Succession" localSheetId="11">#REF!</definedName>
    <definedName name="VPD_PnET_Succession" localSheetId="9">#REF!</definedName>
    <definedName name="VPD_PnET_Succession" localSheetId="7">#REF!</definedName>
    <definedName name="VPD_PnET_Succession" localSheetId="0">'PnET-Succ v. PnET-II'!$I$2</definedName>
    <definedName name="VPD_PnET_Succession">#REF!</definedName>
    <definedName name="WoodMRespMo_pnet_ii" localSheetId="11">#REF!</definedName>
    <definedName name="WoodMRespMo_pnet_ii" localSheetId="9">#REF!</definedName>
    <definedName name="WoodMRespMo_pnet_ii" localSheetId="7">#REF!</definedName>
    <definedName name="WoodMRespMo_pnet_ii" localSheetId="0">'PnET-Succ v. PnET-II'!$Q$21</definedName>
    <definedName name="WoodMRespMo_pnet_ii">#REF!</definedName>
    <definedName name="WUE" localSheetId="11">#REF!</definedName>
    <definedName name="WUE" localSheetId="9">#REF!</definedName>
    <definedName name="WUE" localSheetId="7">#REF!</definedName>
    <definedName name="WUE" localSheetId="0">'PnET-Succ v. PnET-II'!$X$2</definedName>
    <definedName name="WUE">#REF!</definedName>
    <definedName name="WUE_PnET" localSheetId="11">#REF!</definedName>
    <definedName name="WUE_PnET" localSheetId="9">#REF!</definedName>
    <definedName name="WUE_PnET" localSheetId="7">#REF!</definedName>
    <definedName name="WUE_PnET" localSheetId="0">'PnET-Succ v. PnET-II'!$X$21</definedName>
    <definedName name="WUE_PnET">#REF!</definedName>
    <definedName name="WUEconst" localSheetId="11">#REF!</definedName>
    <definedName name="WUEconst" localSheetId="9">#REF!</definedName>
    <definedName name="WUEconst" localSheetId="7">#REF!</definedName>
    <definedName name="WUEconst" localSheetId="0">'PnET-Succ v. PnET-II'!$AD$15</definedName>
    <definedName name="WUEcon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8" l="1"/>
  <c r="H23" i="18"/>
  <c r="H22" i="18"/>
  <c r="K17" i="19" l="1"/>
  <c r="K18" i="19"/>
  <c r="K19" i="19"/>
  <c r="K20" i="19"/>
  <c r="K21" i="19"/>
  <c r="K22" i="19"/>
  <c r="K23" i="19"/>
  <c r="K16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M4" i="18" l="1"/>
  <c r="AD6" i="9" l="1"/>
  <c r="F3" i="15"/>
  <c r="G3" i="15" s="1"/>
  <c r="F2" i="17"/>
  <c r="G2" i="17" s="1"/>
  <c r="B4" i="14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C2" i="12"/>
  <c r="B2" i="12"/>
  <c r="AD19" i="9"/>
  <c r="Q3" i="21"/>
  <c r="E24" i="21" l="1"/>
  <c r="G24" i="21" s="1"/>
  <c r="I24" i="21" s="1"/>
  <c r="F24" i="21"/>
  <c r="E23" i="21"/>
  <c r="C23" i="21"/>
  <c r="D23" i="21" s="1"/>
  <c r="E22" i="21"/>
  <c r="G22" i="21" s="1"/>
  <c r="I22" i="21" s="1"/>
  <c r="C22" i="21"/>
  <c r="D22" i="21" s="1"/>
  <c r="F22" i="21"/>
  <c r="E21" i="21"/>
  <c r="H21" i="21"/>
  <c r="J21" i="21" s="1"/>
  <c r="E20" i="21"/>
  <c r="G20" i="21" s="1"/>
  <c r="I20" i="21" s="1"/>
  <c r="F20" i="21"/>
  <c r="E19" i="21"/>
  <c r="G19" i="21" s="1"/>
  <c r="I19" i="21" s="1"/>
  <c r="C19" i="21"/>
  <c r="D19" i="21" s="1"/>
  <c r="F19" i="21"/>
  <c r="E18" i="21"/>
  <c r="G18" i="21" s="1"/>
  <c r="I18" i="21" s="1"/>
  <c r="F18" i="21"/>
  <c r="H17" i="21"/>
  <c r="J17" i="21" s="1"/>
  <c r="E17" i="21"/>
  <c r="C17" i="21"/>
  <c r="D17" i="21" s="1"/>
  <c r="E16" i="21"/>
  <c r="G16" i="21" s="1"/>
  <c r="I16" i="21" s="1"/>
  <c r="F16" i="21"/>
  <c r="E15" i="21"/>
  <c r="G15" i="21" s="1"/>
  <c r="I15" i="21" s="1"/>
  <c r="F15" i="21"/>
  <c r="H14" i="21"/>
  <c r="J14" i="21" s="1"/>
  <c r="E14" i="21"/>
  <c r="G14" i="21" s="1"/>
  <c r="I14" i="21" s="1"/>
  <c r="F14" i="21"/>
  <c r="R3" i="21"/>
  <c r="E5" i="21"/>
  <c r="E6" i="21"/>
  <c r="E7" i="21"/>
  <c r="E8" i="21"/>
  <c r="E9" i="21"/>
  <c r="E10" i="21"/>
  <c r="E11" i="21"/>
  <c r="E12" i="21"/>
  <c r="E13" i="21"/>
  <c r="E3" i="21"/>
  <c r="E4" i="21"/>
  <c r="H18" i="21" l="1"/>
  <c r="J18" i="21" s="1"/>
  <c r="H22" i="21"/>
  <c r="J22" i="21" s="1"/>
  <c r="C24" i="21"/>
  <c r="D24" i="21" s="1"/>
  <c r="C15" i="21"/>
  <c r="D15" i="21" s="1"/>
  <c r="C18" i="21"/>
  <c r="D18" i="21" s="1"/>
  <c r="C14" i="21"/>
  <c r="D14" i="21" s="1"/>
  <c r="H15" i="21"/>
  <c r="J15" i="21" s="1"/>
  <c r="C16" i="21"/>
  <c r="D16" i="21" s="1"/>
  <c r="F17" i="21"/>
  <c r="G17" i="21" s="1"/>
  <c r="I17" i="21" s="1"/>
  <c r="H19" i="21"/>
  <c r="J19" i="21" s="1"/>
  <c r="C20" i="21"/>
  <c r="D20" i="21" s="1"/>
  <c r="F21" i="21"/>
  <c r="G21" i="21" s="1"/>
  <c r="I21" i="21" s="1"/>
  <c r="H23" i="21"/>
  <c r="J23" i="21" s="1"/>
  <c r="H16" i="21"/>
  <c r="J16" i="21" s="1"/>
  <c r="H20" i="21"/>
  <c r="J20" i="21" s="1"/>
  <c r="C21" i="21"/>
  <c r="D21" i="21" s="1"/>
  <c r="H24" i="21"/>
  <c r="J24" i="21" s="1"/>
  <c r="F23" i="21"/>
  <c r="G23" i="21" s="1"/>
  <c r="I23" i="21" s="1"/>
  <c r="B13" i="21"/>
  <c r="B3" i="13"/>
  <c r="B12" i="21"/>
  <c r="B11" i="21"/>
  <c r="B10" i="21"/>
  <c r="B9" i="21"/>
  <c r="B8" i="21"/>
  <c r="B7" i="21"/>
  <c r="B6" i="21"/>
  <c r="B5" i="21"/>
  <c r="B4" i="21"/>
  <c r="B3" i="21"/>
  <c r="C4" i="21" l="1"/>
  <c r="D4" i="21" s="1"/>
  <c r="F4" i="21"/>
  <c r="G4" i="21" s="1"/>
  <c r="I4" i="21" s="1"/>
  <c r="H4" i="21"/>
  <c r="F8" i="21"/>
  <c r="G8" i="21" s="1"/>
  <c r="I8" i="21" s="1"/>
  <c r="H8" i="21"/>
  <c r="J8" i="21" s="1"/>
  <c r="C12" i="21"/>
  <c r="D12" i="21" s="1"/>
  <c r="F12" i="21"/>
  <c r="G12" i="21" s="1"/>
  <c r="I12" i="21" s="1"/>
  <c r="H12" i="21"/>
  <c r="F5" i="21"/>
  <c r="G5" i="21" s="1"/>
  <c r="I5" i="21" s="1"/>
  <c r="H5" i="21"/>
  <c r="J5" i="21" s="1"/>
  <c r="F9" i="21"/>
  <c r="G9" i="21" s="1"/>
  <c r="I9" i="21" s="1"/>
  <c r="H9" i="21"/>
  <c r="J9" i="21" s="1"/>
  <c r="H6" i="21"/>
  <c r="J6" i="21" s="1"/>
  <c r="F6" i="21"/>
  <c r="G6" i="21" s="1"/>
  <c r="I6" i="21" s="1"/>
  <c r="C10" i="21"/>
  <c r="D10" i="21" s="1"/>
  <c r="H10" i="21"/>
  <c r="F10" i="21"/>
  <c r="G10" i="21" s="1"/>
  <c r="I10" i="21" s="1"/>
  <c r="C3" i="21"/>
  <c r="D3" i="21" s="1"/>
  <c r="H3" i="21"/>
  <c r="F3" i="21"/>
  <c r="G3" i="21" s="1"/>
  <c r="I3" i="21" s="1"/>
  <c r="J7" i="21"/>
  <c r="H7" i="21"/>
  <c r="F7" i="21"/>
  <c r="G7" i="21" s="1"/>
  <c r="I7" i="21" s="1"/>
  <c r="H11" i="21"/>
  <c r="J11" i="21" s="1"/>
  <c r="F11" i="21"/>
  <c r="G11" i="21" s="1"/>
  <c r="I11" i="21" s="1"/>
  <c r="F13" i="21"/>
  <c r="G13" i="21" s="1"/>
  <c r="I13" i="21" s="1"/>
  <c r="H13" i="21"/>
  <c r="J13" i="21" s="1"/>
  <c r="C9" i="21"/>
  <c r="D9" i="21" s="1"/>
  <c r="J12" i="21"/>
  <c r="J4" i="21"/>
  <c r="C11" i="21"/>
  <c r="D11" i="21" s="1"/>
  <c r="J10" i="21"/>
  <c r="J3" i="21"/>
  <c r="C7" i="21"/>
  <c r="D7" i="21" s="1"/>
  <c r="C6" i="21"/>
  <c r="D6" i="21" s="1"/>
  <c r="C5" i="21"/>
  <c r="D5" i="21" s="1"/>
  <c r="C13" i="21"/>
  <c r="D13" i="21" s="1"/>
  <c r="C8" i="21"/>
  <c r="D8" i="21" s="1"/>
  <c r="F3" i="17"/>
  <c r="F4" i="17"/>
  <c r="F4" i="15"/>
  <c r="G4" i="15" s="1"/>
  <c r="C4" i="14"/>
  <c r="G3" i="19" l="1"/>
  <c r="B7" i="19" l="1"/>
  <c r="B3" i="19"/>
  <c r="G8" i="19"/>
  <c r="B6" i="19"/>
  <c r="B5" i="19"/>
  <c r="B4" i="19"/>
  <c r="G4" i="14" l="1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C21" i="14"/>
  <c r="D21" i="14"/>
  <c r="E21" i="14"/>
  <c r="F21" i="14"/>
  <c r="C20" i="14"/>
  <c r="D20" i="14"/>
  <c r="E20" i="14"/>
  <c r="F20" i="14"/>
  <c r="C19" i="14"/>
  <c r="D19" i="14"/>
  <c r="E19" i="14"/>
  <c r="F19" i="14"/>
  <c r="C18" i="14"/>
  <c r="D18" i="14"/>
  <c r="E18" i="14"/>
  <c r="F18" i="14"/>
  <c r="G22" i="14" l="1"/>
  <c r="AB20" i="3"/>
  <c r="AB19" i="3"/>
  <c r="L5" i="18" l="1"/>
  <c r="L6" i="18" s="1"/>
  <c r="L7" i="18" s="1"/>
  <c r="L8" i="18" s="1"/>
  <c r="L9" i="18" s="1"/>
  <c r="L10" i="18" l="1"/>
  <c r="M9" i="18"/>
  <c r="L11" i="18" l="1"/>
  <c r="M10" i="18"/>
  <c r="M5" i="18"/>
  <c r="L12" i="18" l="1"/>
  <c r="M11" i="18"/>
  <c r="M6" i="18"/>
  <c r="B4" i="18"/>
  <c r="A6" i="18"/>
  <c r="A7" i="18" s="1"/>
  <c r="B7" i="18" s="1"/>
  <c r="A5" i="18"/>
  <c r="B5" i="18" s="1"/>
  <c r="B6" i="18" l="1"/>
  <c r="L13" i="18"/>
  <c r="M12" i="18"/>
  <c r="M7" i="18"/>
  <c r="M8" i="18"/>
  <c r="A8" i="18"/>
  <c r="B8" i="18" s="1"/>
  <c r="L14" i="18" l="1"/>
  <c r="M13" i="18"/>
  <c r="A9" i="18"/>
  <c r="B9" i="18" s="1"/>
  <c r="L15" i="18" l="1"/>
  <c r="M14" i="18"/>
  <c r="A10" i="18"/>
  <c r="B10" i="18" s="1"/>
  <c r="L16" i="18" l="1"/>
  <c r="M15" i="18"/>
  <c r="A11" i="18"/>
  <c r="B11" i="18" s="1"/>
  <c r="L17" i="18" l="1"/>
  <c r="M16" i="18"/>
  <c r="A12" i="18"/>
  <c r="B12" i="18" s="1"/>
  <c r="C7" i="14"/>
  <c r="L18" i="18" l="1"/>
  <c r="M17" i="18"/>
  <c r="A13" i="18"/>
  <c r="B13" i="18" s="1"/>
  <c r="L19" i="18" l="1"/>
  <c r="M18" i="18"/>
  <c r="A14" i="18"/>
  <c r="E7" i="14"/>
  <c r="F7" i="14"/>
  <c r="E8" i="14"/>
  <c r="F8" i="14"/>
  <c r="E9" i="14"/>
  <c r="F9" i="14"/>
  <c r="E10" i="14"/>
  <c r="F10" i="14"/>
  <c r="F22" i="14" s="1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D8" i="14"/>
  <c r="D9" i="14"/>
  <c r="D10" i="14"/>
  <c r="D22" i="14" s="1"/>
  <c r="D11" i="14"/>
  <c r="D12" i="14"/>
  <c r="D13" i="14"/>
  <c r="D14" i="14"/>
  <c r="D15" i="14"/>
  <c r="D16" i="14"/>
  <c r="D17" i="14"/>
  <c r="D7" i="14"/>
  <c r="E4" i="14"/>
  <c r="F4" i="14"/>
  <c r="D4" i="14"/>
  <c r="A15" i="18" l="1"/>
  <c r="B15" i="18" s="1"/>
  <c r="B14" i="18"/>
  <c r="L20" i="18"/>
  <c r="M19" i="18"/>
  <c r="E22" i="14"/>
  <c r="L21" i="18" l="1"/>
  <c r="M20" i="18"/>
  <c r="A16" i="18"/>
  <c r="B16" i="18" s="1"/>
  <c r="F5" i="15"/>
  <c r="G5" i="15" s="1"/>
  <c r="F6" i="15"/>
  <c r="G6" i="15" s="1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G3" i="17"/>
  <c r="G4" i="17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L22" i="18" l="1"/>
  <c r="M21" i="18"/>
  <c r="A17" i="18"/>
  <c r="M22" i="18" l="1"/>
  <c r="L23" i="18"/>
  <c r="A18" i="18"/>
  <c r="B17" i="18"/>
  <c r="C17" i="14"/>
  <c r="A3" i="16"/>
  <c r="B3" i="16" s="1"/>
  <c r="B2" i="16"/>
  <c r="C16" i="14"/>
  <c r="C15" i="14"/>
  <c r="C14" i="14"/>
  <c r="C13" i="14"/>
  <c r="C12" i="14"/>
  <c r="C11" i="14"/>
  <c r="C10" i="14"/>
  <c r="C9" i="14"/>
  <c r="C8" i="14"/>
  <c r="H3" i="8"/>
  <c r="L3" i="8" s="1"/>
  <c r="H4" i="8"/>
  <c r="L4" i="8" s="1"/>
  <c r="H5" i="8"/>
  <c r="L5" i="8" s="1"/>
  <c r="H6" i="8"/>
  <c r="L6" i="8" s="1"/>
  <c r="H7" i="8"/>
  <c r="L7" i="8" s="1"/>
  <c r="H8" i="8"/>
  <c r="L8" i="8" s="1"/>
  <c r="H9" i="8"/>
  <c r="L9" i="8" s="1"/>
  <c r="H10" i="8"/>
  <c r="L10" i="8" s="1"/>
  <c r="H11" i="8"/>
  <c r="L11" i="8" s="1"/>
  <c r="H12" i="8"/>
  <c r="L12" i="8" s="1"/>
  <c r="H13" i="8"/>
  <c r="L13" i="8" s="1"/>
  <c r="H14" i="8"/>
  <c r="L14" i="8" s="1"/>
  <c r="H15" i="8"/>
  <c r="L15" i="8" s="1"/>
  <c r="H16" i="8"/>
  <c r="L16" i="8" s="1"/>
  <c r="H2" i="8"/>
  <c r="L2" i="8" s="1"/>
  <c r="B4" i="13"/>
  <c r="B5" i="13"/>
  <c r="B6" i="13"/>
  <c r="B7" i="13"/>
  <c r="B8" i="13"/>
  <c r="B9" i="13"/>
  <c r="B10" i="13"/>
  <c r="B11" i="13"/>
  <c r="B12" i="13"/>
  <c r="B2" i="13"/>
  <c r="A13" i="13"/>
  <c r="B13" i="13" s="1"/>
  <c r="B7" i="11"/>
  <c r="E19" i="11"/>
  <c r="D19" i="11"/>
  <c r="A19" i="11"/>
  <c r="C19" i="11" s="1"/>
  <c r="E18" i="11"/>
  <c r="D18" i="11"/>
  <c r="F18" i="11" s="1"/>
  <c r="A18" i="11"/>
  <c r="C18" i="11"/>
  <c r="E17" i="11"/>
  <c r="D17" i="11"/>
  <c r="A17" i="11"/>
  <c r="H17" i="11" s="1"/>
  <c r="E16" i="11"/>
  <c r="D16" i="11"/>
  <c r="F16" i="11" s="1"/>
  <c r="A16" i="11"/>
  <c r="C16" i="11" s="1"/>
  <c r="H16" i="11"/>
  <c r="E15" i="11"/>
  <c r="D15" i="11"/>
  <c r="A15" i="11"/>
  <c r="C15" i="11" s="1"/>
  <c r="H15" i="11"/>
  <c r="E14" i="11"/>
  <c r="D14" i="11"/>
  <c r="A14" i="11"/>
  <c r="H14" i="11" s="1"/>
  <c r="E13" i="11"/>
  <c r="D13" i="11"/>
  <c r="A13" i="11"/>
  <c r="H13" i="11"/>
  <c r="E12" i="11"/>
  <c r="D12" i="11"/>
  <c r="A12" i="11"/>
  <c r="C12" i="11" s="1"/>
  <c r="E11" i="11"/>
  <c r="D11" i="11"/>
  <c r="A11" i="11"/>
  <c r="C11" i="11" s="1"/>
  <c r="E10" i="11"/>
  <c r="D10" i="11"/>
  <c r="A10" i="11"/>
  <c r="C10" i="11" s="1"/>
  <c r="F19" i="11"/>
  <c r="H12" i="11"/>
  <c r="I18" i="11"/>
  <c r="L18" i="11"/>
  <c r="G12" i="11"/>
  <c r="F13" i="11"/>
  <c r="J13" i="11" s="1"/>
  <c r="F17" i="11"/>
  <c r="G13" i="11"/>
  <c r="G17" i="11"/>
  <c r="H10" i="11"/>
  <c r="G11" i="11"/>
  <c r="F12" i="11"/>
  <c r="J12" i="11" s="1"/>
  <c r="G15" i="11"/>
  <c r="H18" i="11"/>
  <c r="G19" i="11"/>
  <c r="G16" i="11"/>
  <c r="F10" i="11"/>
  <c r="J10" i="11" s="1"/>
  <c r="C13" i="11"/>
  <c r="F14" i="11"/>
  <c r="C17" i="11"/>
  <c r="I17" i="11" s="1"/>
  <c r="K17" i="11" s="1"/>
  <c r="G10" i="11"/>
  <c r="F11" i="11"/>
  <c r="G14" i="11"/>
  <c r="F15" i="11"/>
  <c r="J15" i="11" s="1"/>
  <c r="G18" i="11"/>
  <c r="K18" i="11" s="1"/>
  <c r="L17" i="11"/>
  <c r="I13" i="11"/>
  <c r="K13" i="11" s="1"/>
  <c r="L13" i="11"/>
  <c r="M2" i="8"/>
  <c r="S11" i="8"/>
  <c r="AB11" i="3"/>
  <c r="H32" i="9"/>
  <c r="H31" i="9"/>
  <c r="H30" i="9"/>
  <c r="H29" i="9"/>
  <c r="H28" i="9"/>
  <c r="H27" i="9"/>
  <c r="H26" i="9"/>
  <c r="AD25" i="9"/>
  <c r="H25" i="9"/>
  <c r="H24" i="9"/>
  <c r="H23" i="9"/>
  <c r="H22" i="9"/>
  <c r="U21" i="9"/>
  <c r="Q21" i="9"/>
  <c r="H21" i="9"/>
  <c r="AD16" i="9"/>
  <c r="AD24" i="9" s="1"/>
  <c r="H13" i="9"/>
  <c r="E13" i="9"/>
  <c r="D13" i="9"/>
  <c r="S13" i="9" s="1"/>
  <c r="U13" i="9" s="1"/>
  <c r="H12" i="9"/>
  <c r="D12" i="9"/>
  <c r="S12" i="9" s="1"/>
  <c r="U12" i="9" s="1"/>
  <c r="V12" i="9" s="1"/>
  <c r="H11" i="9"/>
  <c r="F11" i="9"/>
  <c r="D11" i="9"/>
  <c r="S11" i="9" s="1"/>
  <c r="U11" i="9" s="1"/>
  <c r="V11" i="9" s="1"/>
  <c r="AD10" i="9"/>
  <c r="P21" i="9" s="1"/>
  <c r="H10" i="9"/>
  <c r="D10" i="9"/>
  <c r="S10" i="9" s="1"/>
  <c r="U10" i="9" s="1"/>
  <c r="V10" i="9" s="1"/>
  <c r="H9" i="9"/>
  <c r="D9" i="9"/>
  <c r="F9" i="9" s="1"/>
  <c r="T28" i="9" s="1"/>
  <c r="H8" i="9"/>
  <c r="D8" i="9"/>
  <c r="S8" i="9" s="1"/>
  <c r="H7" i="9"/>
  <c r="D7" i="9"/>
  <c r="S7" i="9" s="1"/>
  <c r="U7" i="9" s="1"/>
  <c r="F7" i="9"/>
  <c r="AD7" i="9"/>
  <c r="H6" i="9"/>
  <c r="D6" i="9"/>
  <c r="F6" i="9" s="1"/>
  <c r="E6" i="9"/>
  <c r="H5" i="9"/>
  <c r="D5" i="9"/>
  <c r="S5" i="9" s="1"/>
  <c r="F5" i="9"/>
  <c r="H4" i="9"/>
  <c r="D4" i="9"/>
  <c r="E4" i="9" s="1"/>
  <c r="H3" i="9"/>
  <c r="D3" i="9"/>
  <c r="F3" i="9" s="1"/>
  <c r="T22" i="9" s="1"/>
  <c r="Q2" i="9"/>
  <c r="H2" i="9"/>
  <c r="D2" i="9"/>
  <c r="S2" i="9" s="1"/>
  <c r="U2" i="9" s="1"/>
  <c r="V2" i="9" s="1"/>
  <c r="J6" i="9"/>
  <c r="T24" i="9"/>
  <c r="S25" i="9"/>
  <c r="E5" i="9"/>
  <c r="M21" i="9"/>
  <c r="G25" i="9"/>
  <c r="I25" i="9" s="1"/>
  <c r="L25" i="9" s="1"/>
  <c r="K6" i="9"/>
  <c r="G6" i="9"/>
  <c r="I6" i="9"/>
  <c r="X6" i="9" s="1"/>
  <c r="F10" i="9"/>
  <c r="E10" i="9"/>
  <c r="J29" i="9" s="1"/>
  <c r="F8" i="9"/>
  <c r="E8" i="9"/>
  <c r="K13" i="9"/>
  <c r="G13" i="9"/>
  <c r="I13" i="9" s="1"/>
  <c r="X13" i="9" s="1"/>
  <c r="J13" i="9"/>
  <c r="J32" i="9"/>
  <c r="M24" i="9"/>
  <c r="T29" i="9"/>
  <c r="M31" i="9"/>
  <c r="M27" i="9"/>
  <c r="G32" i="9"/>
  <c r="I32" i="9"/>
  <c r="X32" i="9" s="1"/>
  <c r="E7" i="9"/>
  <c r="E12" i="9"/>
  <c r="G31" i="9" s="1"/>
  <c r="I31" i="9" s="1"/>
  <c r="J25" i="9"/>
  <c r="J26" i="9"/>
  <c r="J27" i="9"/>
  <c r="X25" i="9"/>
  <c r="J7" i="9"/>
  <c r="G7" i="9"/>
  <c r="I7" i="9" s="1"/>
  <c r="X7" i="9" s="1"/>
  <c r="K7" i="9"/>
  <c r="G26" i="9"/>
  <c r="I26" i="9"/>
  <c r="X26" i="9" s="1"/>
  <c r="K8" i="9"/>
  <c r="G8" i="9"/>
  <c r="I8" i="9"/>
  <c r="X8" i="9" s="1"/>
  <c r="J8" i="9"/>
  <c r="G27" i="9"/>
  <c r="I27" i="9" s="1"/>
  <c r="X27" i="9" s="1"/>
  <c r="K4" i="9"/>
  <c r="J4" i="9"/>
  <c r="K12" i="9"/>
  <c r="G5" i="9"/>
  <c r="I5" i="9" s="1"/>
  <c r="L5" i="9" s="1"/>
  <c r="N5" i="9" s="1"/>
  <c r="G24" i="9"/>
  <c r="I24" i="9" s="1"/>
  <c r="X24" i="9" s="1"/>
  <c r="J5" i="9"/>
  <c r="S24" i="9"/>
  <c r="V24" i="9" s="1"/>
  <c r="G10" i="9"/>
  <c r="I10" i="9" s="1"/>
  <c r="X10" i="9" s="1"/>
  <c r="J10" i="9"/>
  <c r="L10" i="9"/>
  <c r="N10" i="9" s="1"/>
  <c r="L26" i="9"/>
  <c r="L24" i="9"/>
  <c r="L7" i="9"/>
  <c r="N7" i="9" s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C3" i="8" s="1"/>
  <c r="E3" i="8"/>
  <c r="B4" i="8"/>
  <c r="D4" i="8"/>
  <c r="F4" i="8" s="1"/>
  <c r="B5" i="8"/>
  <c r="C5" i="8" s="1"/>
  <c r="E5" i="8"/>
  <c r="B6" i="8"/>
  <c r="D6" i="8"/>
  <c r="F6" i="8" s="1"/>
  <c r="B7" i="8"/>
  <c r="D7" i="8" s="1"/>
  <c r="F7" i="8"/>
  <c r="G7" i="8" s="1"/>
  <c r="K7" i="8" s="1"/>
  <c r="N7" i="8" s="1"/>
  <c r="B8" i="8"/>
  <c r="D8" i="8"/>
  <c r="F8" i="8" s="1"/>
  <c r="B9" i="8"/>
  <c r="C9" i="8" s="1"/>
  <c r="E9" i="8"/>
  <c r="B10" i="8"/>
  <c r="D10" i="8"/>
  <c r="F10" i="8" s="1"/>
  <c r="B11" i="8"/>
  <c r="C11" i="8" s="1"/>
  <c r="E11" i="8"/>
  <c r="B12" i="8"/>
  <c r="D12" i="8"/>
  <c r="F12" i="8" s="1"/>
  <c r="B13" i="8"/>
  <c r="C13" i="8" s="1"/>
  <c r="E13" i="8"/>
  <c r="B14" i="8"/>
  <c r="D14" i="8"/>
  <c r="F14" i="8" s="1"/>
  <c r="B15" i="8"/>
  <c r="D15" i="8" s="1"/>
  <c r="F15" i="8"/>
  <c r="B16" i="8"/>
  <c r="D16" i="8"/>
  <c r="F16" i="8" s="1"/>
  <c r="B2" i="8"/>
  <c r="D2" i="8"/>
  <c r="F2" i="8" s="1"/>
  <c r="G2" i="8" s="1"/>
  <c r="I2" i="8" s="1"/>
  <c r="J2" i="8" s="1"/>
  <c r="C2" i="8"/>
  <c r="E2" i="8" s="1"/>
  <c r="D5" i="8"/>
  <c r="F5" i="8" s="1"/>
  <c r="D11" i="8"/>
  <c r="F11" i="8" s="1"/>
  <c r="D9" i="8"/>
  <c r="F9" i="8" s="1"/>
  <c r="G9" i="8" s="1"/>
  <c r="K9" i="8" s="1"/>
  <c r="N9" i="8" s="1"/>
  <c r="D3" i="8"/>
  <c r="F3" i="8" s="1"/>
  <c r="C10" i="8"/>
  <c r="E10" i="8" s="1"/>
  <c r="D13" i="8"/>
  <c r="F13" i="8" s="1"/>
  <c r="C15" i="8"/>
  <c r="E15" i="8" s="1"/>
  <c r="C7" i="8"/>
  <c r="E7" i="8" s="1"/>
  <c r="C14" i="8"/>
  <c r="E14" i="8" s="1"/>
  <c r="C6" i="8"/>
  <c r="E6" i="8" s="1"/>
  <c r="C16" i="8"/>
  <c r="E16" i="8" s="1"/>
  <c r="C12" i="8"/>
  <c r="E12" i="8" s="1"/>
  <c r="C8" i="8"/>
  <c r="E8" i="8" s="1"/>
  <c r="C4" i="8"/>
  <c r="E4" i="8" s="1"/>
  <c r="G3" i="3"/>
  <c r="G4" i="3"/>
  <c r="G5" i="3"/>
  <c r="G6" i="3"/>
  <c r="G7" i="3"/>
  <c r="G8" i="3"/>
  <c r="G9" i="3"/>
  <c r="G10" i="3"/>
  <c r="G11" i="3"/>
  <c r="G12" i="3"/>
  <c r="G13" i="3"/>
  <c r="G2" i="3"/>
  <c r="C11" i="3"/>
  <c r="D11" i="3" s="1"/>
  <c r="F11" i="3" s="1"/>
  <c r="H11" i="3" s="1"/>
  <c r="C12" i="3"/>
  <c r="D12" i="3"/>
  <c r="C13" i="3"/>
  <c r="D13" i="3" s="1"/>
  <c r="C3" i="3"/>
  <c r="D3" i="3" s="1"/>
  <c r="C4" i="3"/>
  <c r="E4" i="3"/>
  <c r="C5" i="3"/>
  <c r="C6" i="3"/>
  <c r="E6" i="3" s="1"/>
  <c r="C7" i="3"/>
  <c r="D7" i="3"/>
  <c r="C8" i="3"/>
  <c r="E8" i="3" s="1"/>
  <c r="C9" i="3"/>
  <c r="C10" i="3"/>
  <c r="E10" i="3"/>
  <c r="C2" i="3"/>
  <c r="D2" i="3"/>
  <c r="R2" i="3" s="1"/>
  <c r="V2" i="3" s="1"/>
  <c r="W2" i="3" s="1"/>
  <c r="AB7" i="3"/>
  <c r="R7" i="3"/>
  <c r="V7" i="3" s="1"/>
  <c r="W7" i="3" s="1"/>
  <c r="R13" i="3"/>
  <c r="S13" i="3" s="1"/>
  <c r="R12" i="3"/>
  <c r="V12" i="3" s="1"/>
  <c r="W12" i="3" s="1"/>
  <c r="D8" i="3"/>
  <c r="R8" i="3"/>
  <c r="S8" i="3" s="1"/>
  <c r="D4" i="3"/>
  <c r="R4" i="3"/>
  <c r="S4" i="3" s="1"/>
  <c r="E2" i="3"/>
  <c r="D10" i="3"/>
  <c r="R10" i="3" s="1"/>
  <c r="V10" i="3" s="1"/>
  <c r="W10" i="3" s="1"/>
  <c r="D6" i="3"/>
  <c r="E9" i="3"/>
  <c r="E5" i="3"/>
  <c r="F12" i="3"/>
  <c r="H12" i="3" s="1"/>
  <c r="D9" i="3"/>
  <c r="R9" i="3" s="1"/>
  <c r="S9" i="3" s="1"/>
  <c r="D5" i="3"/>
  <c r="E7" i="3"/>
  <c r="F13" i="3"/>
  <c r="H13" i="3" s="1"/>
  <c r="F7" i="3"/>
  <c r="H7" i="3" s="1"/>
  <c r="E11" i="3"/>
  <c r="E13" i="3"/>
  <c r="E12" i="3"/>
  <c r="K2" i="8"/>
  <c r="N2" i="8" s="1"/>
  <c r="F4" i="3"/>
  <c r="H4" i="3" s="1"/>
  <c r="F6" i="3"/>
  <c r="H6" i="3" s="1"/>
  <c r="F9" i="3"/>
  <c r="H9" i="3" s="1"/>
  <c r="F8" i="3"/>
  <c r="H8" i="3" s="1"/>
  <c r="O2" i="8" l="1"/>
  <c r="X7" i="3"/>
  <c r="I7" i="3"/>
  <c r="X4" i="3"/>
  <c r="I4" i="3"/>
  <c r="L3" i="3"/>
  <c r="J3" i="3"/>
  <c r="K3" i="3"/>
  <c r="R3" i="3"/>
  <c r="V3" i="3" s="1"/>
  <c r="W3" i="3" s="1"/>
  <c r="F3" i="3"/>
  <c r="H3" i="3" s="1"/>
  <c r="I9" i="3"/>
  <c r="M9" i="3" s="1"/>
  <c r="X9" i="3"/>
  <c r="I13" i="3"/>
  <c r="X13" i="3"/>
  <c r="X12" i="3"/>
  <c r="I12" i="3"/>
  <c r="M12" i="3" s="1"/>
  <c r="X11" i="3"/>
  <c r="I11" i="3"/>
  <c r="M11" i="3" s="1"/>
  <c r="N11" i="3" s="1"/>
  <c r="P11" i="3" s="1"/>
  <c r="I8" i="3"/>
  <c r="X8" i="3"/>
  <c r="I6" i="3"/>
  <c r="X6" i="3"/>
  <c r="X31" i="9"/>
  <c r="L31" i="9"/>
  <c r="G15" i="8"/>
  <c r="M13" i="3"/>
  <c r="M6" i="3"/>
  <c r="F10" i="3"/>
  <c r="H10" i="3" s="1"/>
  <c r="M8" i="3"/>
  <c r="M4" i="3"/>
  <c r="E3" i="3"/>
  <c r="L4" i="3"/>
  <c r="J4" i="3"/>
  <c r="K4" i="3"/>
  <c r="I7" i="8"/>
  <c r="J7" i="8" s="1"/>
  <c r="O7" i="8" s="1"/>
  <c r="I9" i="8"/>
  <c r="J9" i="8" s="1"/>
  <c r="O9" i="8" s="1"/>
  <c r="L13" i="3"/>
  <c r="N13" i="3" s="1"/>
  <c r="P13" i="3" s="1"/>
  <c r="J13" i="3"/>
  <c r="K13" i="3"/>
  <c r="G13" i="8"/>
  <c r="G11" i="8"/>
  <c r="L8" i="9"/>
  <c r="N8" i="9" s="1"/>
  <c r="L27" i="9"/>
  <c r="X5" i="9"/>
  <c r="L6" i="9"/>
  <c r="N6" i="9" s="1"/>
  <c r="L13" i="9"/>
  <c r="N13" i="9" s="1"/>
  <c r="L32" i="9"/>
  <c r="L5" i="3"/>
  <c r="J5" i="3"/>
  <c r="K5" i="3"/>
  <c r="F5" i="3"/>
  <c r="H5" i="3" s="1"/>
  <c r="L9" i="3"/>
  <c r="J9" i="3"/>
  <c r="K9" i="3"/>
  <c r="J10" i="3"/>
  <c r="L10" i="3"/>
  <c r="K10" i="3"/>
  <c r="J2" i="3"/>
  <c r="L2" i="3"/>
  <c r="K2" i="3"/>
  <c r="L12" i="3"/>
  <c r="N12" i="3" s="1"/>
  <c r="P12" i="3" s="1"/>
  <c r="J12" i="3"/>
  <c r="K12" i="3"/>
  <c r="G5" i="8"/>
  <c r="G16" i="8"/>
  <c r="G14" i="8"/>
  <c r="G12" i="8"/>
  <c r="G10" i="8"/>
  <c r="G8" i="8"/>
  <c r="G6" i="8"/>
  <c r="G4" i="8"/>
  <c r="J24" i="9"/>
  <c r="N24" i="9" s="1"/>
  <c r="O24" i="9" s="1"/>
  <c r="W24" i="9" s="1"/>
  <c r="R24" i="9" s="1"/>
  <c r="K5" i="9"/>
  <c r="S23" i="9"/>
  <c r="G23" i="9"/>
  <c r="I23" i="9" s="1"/>
  <c r="G4" i="9"/>
  <c r="I4" i="9" s="1"/>
  <c r="J23" i="9"/>
  <c r="J6" i="3"/>
  <c r="L6" i="3"/>
  <c r="N6" i="3" s="1"/>
  <c r="P6" i="3" s="1"/>
  <c r="T6" i="3" s="1"/>
  <c r="K6" i="3"/>
  <c r="L11" i="3"/>
  <c r="J11" i="3"/>
  <c r="K11" i="3"/>
  <c r="R11" i="3"/>
  <c r="V11" i="3" s="1"/>
  <c r="W11" i="3" s="1"/>
  <c r="M7" i="3"/>
  <c r="R5" i="3"/>
  <c r="V5" i="3" s="1"/>
  <c r="W5" i="3" s="1"/>
  <c r="R6" i="3"/>
  <c r="V6" i="3" s="1"/>
  <c r="W6" i="3" s="1"/>
  <c r="J8" i="3"/>
  <c r="L8" i="3"/>
  <c r="K8" i="3"/>
  <c r="F2" i="3"/>
  <c r="H2" i="3" s="1"/>
  <c r="G3" i="8"/>
  <c r="O13" i="9"/>
  <c r="R13" i="9" s="1"/>
  <c r="L7" i="3"/>
  <c r="J7" i="3"/>
  <c r="K7" i="3"/>
  <c r="L10" i="11"/>
  <c r="I10" i="11"/>
  <c r="K10" i="11" s="1"/>
  <c r="F12" i="9"/>
  <c r="S3" i="9"/>
  <c r="S6" i="9"/>
  <c r="U6" i="9" s="1"/>
  <c r="V6" i="9" s="1"/>
  <c r="J16" i="11"/>
  <c r="G29" i="9"/>
  <c r="I29" i="9" s="1"/>
  <c r="K10" i="9"/>
  <c r="G12" i="9"/>
  <c r="I12" i="9" s="1"/>
  <c r="J12" i="9"/>
  <c r="O7" i="9"/>
  <c r="R7" i="9" s="1"/>
  <c r="J31" i="9"/>
  <c r="N31" i="9" s="1"/>
  <c r="O31" i="9" s="1"/>
  <c r="W31" i="9" s="1"/>
  <c r="R31" i="9" s="1"/>
  <c r="E2" i="9"/>
  <c r="S21" i="9" s="1"/>
  <c r="V21" i="9" s="1"/>
  <c r="E3" i="9"/>
  <c r="F4" i="9"/>
  <c r="E9" i="9"/>
  <c r="E11" i="9"/>
  <c r="F13" i="9"/>
  <c r="S9" i="9"/>
  <c r="U9" i="9" s="1"/>
  <c r="V9" i="9" s="1"/>
  <c r="S4" i="9"/>
  <c r="U4" i="9" s="1"/>
  <c r="V4" i="9" s="1"/>
  <c r="J17" i="11"/>
  <c r="L24" i="18"/>
  <c r="M24" i="18" s="1"/>
  <c r="M23" i="18"/>
  <c r="U3" i="9"/>
  <c r="V3" i="9" s="1"/>
  <c r="T23" i="9"/>
  <c r="V23" i="9" s="1"/>
  <c r="J14" i="11"/>
  <c r="J18" i="11"/>
  <c r="A4" i="16"/>
  <c r="A14" i="13"/>
  <c r="I16" i="11"/>
  <c r="K16" i="11" s="1"/>
  <c r="L16" i="11"/>
  <c r="J11" i="11"/>
  <c r="L12" i="11"/>
  <c r="I12" i="11"/>
  <c r="K12" i="11" s="1"/>
  <c r="L19" i="11"/>
  <c r="I19" i="11"/>
  <c r="K19" i="11" s="1"/>
  <c r="I15" i="11"/>
  <c r="K15" i="11" s="1"/>
  <c r="L15" i="11"/>
  <c r="L11" i="11"/>
  <c r="I11" i="11"/>
  <c r="K11" i="11" s="1"/>
  <c r="H19" i="11"/>
  <c r="J19" i="11" s="1"/>
  <c r="H11" i="11"/>
  <c r="C14" i="11"/>
  <c r="N27" i="9"/>
  <c r="O27" i="9" s="1"/>
  <c r="W27" i="9" s="1"/>
  <c r="R27" i="9" s="1"/>
  <c r="Z27" i="9" s="1"/>
  <c r="O10" i="9"/>
  <c r="R10" i="9" s="1"/>
  <c r="W10" i="9" s="1"/>
  <c r="Z10" i="9" s="1"/>
  <c r="Z31" i="9"/>
  <c r="O5" i="9"/>
  <c r="R5" i="9" s="1"/>
  <c r="Z24" i="9"/>
  <c r="Y24" i="9"/>
  <c r="O8" i="9"/>
  <c r="R8" i="9" s="1"/>
  <c r="W7" i="9"/>
  <c r="Z7" i="9" s="1"/>
  <c r="O6" i="9"/>
  <c r="R6" i="9" s="1"/>
  <c r="V13" i="9"/>
  <c r="S27" i="9"/>
  <c r="T30" i="9"/>
  <c r="V7" i="9"/>
  <c r="T31" i="9"/>
  <c r="S28" i="9"/>
  <c r="V28" i="9" s="1"/>
  <c r="S32" i="9"/>
  <c r="T32" i="9"/>
  <c r="F2" i="9"/>
  <c r="T25" i="9"/>
  <c r="V25" i="9" s="1"/>
  <c r="M29" i="9"/>
  <c r="M22" i="9"/>
  <c r="U5" i="9"/>
  <c r="V5" i="9" s="1"/>
  <c r="P2" i="9"/>
  <c r="T21" i="9"/>
  <c r="S31" i="9"/>
  <c r="M26" i="9"/>
  <c r="N26" i="9" s="1"/>
  <c r="O26" i="9" s="1"/>
  <c r="W26" i="9" s="1"/>
  <c r="R26" i="9" s="1"/>
  <c r="S29" i="9"/>
  <c r="V29" i="9" s="1"/>
  <c r="T26" i="9"/>
  <c r="S22" i="9"/>
  <c r="V22" i="9" s="1"/>
  <c r="M25" i="9"/>
  <c r="N25" i="9" s="1"/>
  <c r="O25" i="9" s="1"/>
  <c r="W25" i="9" s="1"/>
  <c r="R25" i="9" s="1"/>
  <c r="U8" i="9"/>
  <c r="V8" i="9" s="1"/>
  <c r="J21" i="9"/>
  <c r="M32" i="9"/>
  <c r="N32" i="9" s="1"/>
  <c r="O32" i="9" s="1"/>
  <c r="W32" i="9" s="1"/>
  <c r="R32" i="9" s="1"/>
  <c r="M28" i="9"/>
  <c r="S26" i="9"/>
  <c r="M30" i="9"/>
  <c r="T27" i="9"/>
  <c r="M23" i="9"/>
  <c r="S6" i="3"/>
  <c r="C22" i="14"/>
  <c r="S7" i="3"/>
  <c r="O7" i="3"/>
  <c r="Q7" i="3" s="1"/>
  <c r="U7" i="3" s="1"/>
  <c r="Y7" i="3" s="1"/>
  <c r="V4" i="3"/>
  <c r="W4" i="3" s="1"/>
  <c r="V13" i="3"/>
  <c r="W13" i="3" s="1"/>
  <c r="T13" i="3" s="1"/>
  <c r="V8" i="3"/>
  <c r="W8" i="3" s="1"/>
  <c r="T11" i="3"/>
  <c r="T12" i="3"/>
  <c r="S12" i="3"/>
  <c r="O12" i="3"/>
  <c r="Q12" i="3" s="1"/>
  <c r="U12" i="3" s="1"/>
  <c r="Y12" i="3" s="1"/>
  <c r="S10" i="3"/>
  <c r="S3" i="3"/>
  <c r="O8" i="3"/>
  <c r="Q8" i="3" s="1"/>
  <c r="V9" i="3"/>
  <c r="W9" i="3" s="1"/>
  <c r="S2" i="3"/>
  <c r="O4" i="3"/>
  <c r="Q4" i="3" s="1"/>
  <c r="O6" i="3"/>
  <c r="Q6" i="3" s="1"/>
  <c r="U6" i="3" s="1"/>
  <c r="Y6" i="3" s="1"/>
  <c r="S11" i="3"/>
  <c r="O9" i="3"/>
  <c r="Q9" i="3" s="1"/>
  <c r="N4" i="3"/>
  <c r="P4" i="3" s="1"/>
  <c r="O11" i="3"/>
  <c r="Q11" i="3" s="1"/>
  <c r="U11" i="3" s="1"/>
  <c r="Y11" i="3" s="1"/>
  <c r="O13" i="3"/>
  <c r="Q13" i="3" s="1"/>
  <c r="A19" i="18"/>
  <c r="B18" i="18"/>
  <c r="O12" i="9" l="1"/>
  <c r="R12" i="9" s="1"/>
  <c r="W12" i="9" s="1"/>
  <c r="Z12" i="9" s="1"/>
  <c r="S30" i="9"/>
  <c r="K11" i="9"/>
  <c r="G11" i="9"/>
  <c r="I11" i="9" s="1"/>
  <c r="G30" i="9"/>
  <c r="I30" i="9" s="1"/>
  <c r="J30" i="9"/>
  <c r="J11" i="9"/>
  <c r="L12" i="9"/>
  <c r="N12" i="9" s="1"/>
  <c r="X12" i="9"/>
  <c r="X23" i="9"/>
  <c r="L23" i="9"/>
  <c r="K12" i="8"/>
  <c r="N12" i="8" s="1"/>
  <c r="I12" i="8"/>
  <c r="J12" i="8" s="1"/>
  <c r="I5" i="3"/>
  <c r="M5" i="3" s="1"/>
  <c r="X5" i="3"/>
  <c r="I3" i="3"/>
  <c r="M3" i="3" s="1"/>
  <c r="X3" i="3"/>
  <c r="S5" i="3"/>
  <c r="W8" i="9"/>
  <c r="Z8" i="9" s="1"/>
  <c r="B4" i="16"/>
  <c r="A5" i="16"/>
  <c r="K9" i="9"/>
  <c r="G28" i="9"/>
  <c r="I28" i="9" s="1"/>
  <c r="J28" i="9"/>
  <c r="J9" i="9"/>
  <c r="G9" i="9"/>
  <c r="I9" i="9" s="1"/>
  <c r="K6" i="8"/>
  <c r="N6" i="8" s="1"/>
  <c r="I6" i="8"/>
  <c r="J6" i="8" s="1"/>
  <c r="K14" i="8"/>
  <c r="N14" i="8" s="1"/>
  <c r="O14" i="8" s="1"/>
  <c r="I14" i="8"/>
  <c r="J14" i="8" s="1"/>
  <c r="V30" i="9"/>
  <c r="G2" i="9"/>
  <c r="I2" i="9" s="1"/>
  <c r="K2" i="9"/>
  <c r="K4" i="8"/>
  <c r="N4" i="8" s="1"/>
  <c r="O4" i="8" s="1"/>
  <c r="I4" i="8"/>
  <c r="J4" i="8" s="1"/>
  <c r="K13" i="8"/>
  <c r="N13" i="8" s="1"/>
  <c r="I13" i="8"/>
  <c r="J13" i="8" s="1"/>
  <c r="I10" i="3"/>
  <c r="M10" i="3" s="1"/>
  <c r="X10" i="3"/>
  <c r="K15" i="8"/>
  <c r="N15" i="8" s="1"/>
  <c r="I15" i="8"/>
  <c r="J15" i="8" s="1"/>
  <c r="N23" i="9"/>
  <c r="O23" i="9" s="1"/>
  <c r="W23" i="9" s="1"/>
  <c r="R23" i="9" s="1"/>
  <c r="J2" i="9"/>
  <c r="G21" i="9"/>
  <c r="I21" i="9" s="1"/>
  <c r="L21" i="9" s="1"/>
  <c r="W13" i="9"/>
  <c r="Z13" i="9" s="1"/>
  <c r="X29" i="9"/>
  <c r="L29" i="9"/>
  <c r="N29" i="9" s="1"/>
  <c r="O29" i="9" s="1"/>
  <c r="W29" i="9" s="1"/>
  <c r="R29" i="9" s="1"/>
  <c r="K3" i="8"/>
  <c r="N3" i="8" s="1"/>
  <c r="I3" i="8"/>
  <c r="J3" i="8" s="1"/>
  <c r="N7" i="3"/>
  <c r="P7" i="3" s="1"/>
  <c r="T7" i="3" s="1"/>
  <c r="K8" i="8"/>
  <c r="N8" i="8" s="1"/>
  <c r="I8" i="8"/>
  <c r="J8" i="8" s="1"/>
  <c r="K16" i="8"/>
  <c r="N16" i="8" s="1"/>
  <c r="I16" i="8"/>
  <c r="J16" i="8" s="1"/>
  <c r="K3" i="9"/>
  <c r="J22" i="9"/>
  <c r="J3" i="9"/>
  <c r="G22" i="9"/>
  <c r="I22" i="9" s="1"/>
  <c r="G3" i="9"/>
  <c r="I3" i="9" s="1"/>
  <c r="I2" i="3"/>
  <c r="M2" i="3" s="1"/>
  <c r="N2" i="3" s="1"/>
  <c r="P2" i="3" s="1"/>
  <c r="T2" i="3" s="1"/>
  <c r="X2" i="3"/>
  <c r="L4" i="9"/>
  <c r="N4" i="9" s="1"/>
  <c r="O4" i="9" s="1"/>
  <c r="R4" i="9" s="1"/>
  <c r="W4" i="9" s="1"/>
  <c r="Z4" i="9" s="1"/>
  <c r="X4" i="9"/>
  <c r="K10" i="8"/>
  <c r="N10" i="8" s="1"/>
  <c r="I10" i="8"/>
  <c r="J10" i="8" s="1"/>
  <c r="K5" i="8"/>
  <c r="N5" i="8" s="1"/>
  <c r="O5" i="8" s="1"/>
  <c r="I5" i="8"/>
  <c r="J5" i="8" s="1"/>
  <c r="O2" i="3"/>
  <c r="Q2" i="3" s="1"/>
  <c r="U2" i="3" s="1"/>
  <c r="K11" i="8"/>
  <c r="N11" i="8" s="1"/>
  <c r="I11" i="8"/>
  <c r="J11" i="8" s="1"/>
  <c r="N8" i="3"/>
  <c r="P8" i="3" s="1"/>
  <c r="T8" i="3" s="1"/>
  <c r="N9" i="3"/>
  <c r="P9" i="3" s="1"/>
  <c r="T9" i="3" s="1"/>
  <c r="B14" i="13"/>
  <c r="A15" i="13"/>
  <c r="W6" i="9"/>
  <c r="Z6" i="9" s="1"/>
  <c r="L14" i="11"/>
  <c r="I14" i="11"/>
  <c r="K14" i="11" s="1"/>
  <c r="N21" i="9"/>
  <c r="O21" i="9" s="1"/>
  <c r="W21" i="9" s="1"/>
  <c r="R21" i="9" s="1"/>
  <c r="V26" i="9"/>
  <c r="Y26" i="9" s="1"/>
  <c r="W5" i="9"/>
  <c r="Z5" i="9" s="1"/>
  <c r="Z26" i="9"/>
  <c r="Z32" i="9"/>
  <c r="V31" i="9"/>
  <c r="Y31" i="9" s="1"/>
  <c r="V32" i="9"/>
  <c r="Y32" i="9" s="1"/>
  <c r="V27" i="9"/>
  <c r="Y27" i="9" s="1"/>
  <c r="Y23" i="9"/>
  <c r="Z23" i="9"/>
  <c r="Z25" i="9"/>
  <c r="Y25" i="9"/>
  <c r="T4" i="3"/>
  <c r="U8" i="3"/>
  <c r="Y8" i="3" s="1"/>
  <c r="U4" i="3"/>
  <c r="Y4" i="3" s="1"/>
  <c r="U9" i="3"/>
  <c r="Y9" i="3" s="1"/>
  <c r="U13" i="3"/>
  <c r="Y13" i="3" s="1"/>
  <c r="A20" i="18"/>
  <c r="B19" i="18"/>
  <c r="Z29" i="9" l="1"/>
  <c r="Y29" i="9"/>
  <c r="X22" i="9"/>
  <c r="L22" i="9"/>
  <c r="N22" i="9" s="1"/>
  <c r="O22" i="9" s="1"/>
  <c r="W22" i="9" s="1"/>
  <c r="R22" i="9" s="1"/>
  <c r="A6" i="16"/>
  <c r="B5" i="16"/>
  <c r="O11" i="8"/>
  <c r="O15" i="8"/>
  <c r="O13" i="8"/>
  <c r="O3" i="3"/>
  <c r="Q3" i="3" s="1"/>
  <c r="U3" i="3" s="1"/>
  <c r="Y3" i="3" s="1"/>
  <c r="N3" i="3"/>
  <c r="P3" i="3" s="1"/>
  <c r="T3" i="3" s="1"/>
  <c r="O12" i="8"/>
  <c r="L11" i="9"/>
  <c r="N11" i="9" s="1"/>
  <c r="X11" i="9"/>
  <c r="X30" i="9"/>
  <c r="L30" i="9"/>
  <c r="N30" i="9" s="1"/>
  <c r="O30" i="9" s="1"/>
  <c r="W30" i="9" s="1"/>
  <c r="R30" i="9" s="1"/>
  <c r="O16" i="8"/>
  <c r="Y2" i="3"/>
  <c r="O10" i="8"/>
  <c r="O3" i="8"/>
  <c r="X2" i="9"/>
  <c r="L2" i="9"/>
  <c r="N2" i="9" s="1"/>
  <c r="O2" i="9" s="1"/>
  <c r="R2" i="9" s="1"/>
  <c r="W2" i="9" s="1"/>
  <c r="Z2" i="9" s="1"/>
  <c r="X21" i="9"/>
  <c r="Z21" i="9" s="1"/>
  <c r="O6" i="8"/>
  <c r="X28" i="9"/>
  <c r="L28" i="9"/>
  <c r="N28" i="9" s="1"/>
  <c r="O28" i="9" s="1"/>
  <c r="W28" i="9" s="1"/>
  <c r="R28" i="9" s="1"/>
  <c r="O11" i="9"/>
  <c r="R11" i="9" s="1"/>
  <c r="W11" i="9" s="1"/>
  <c r="Z11" i="9" s="1"/>
  <c r="O3" i="9"/>
  <c r="R3" i="9" s="1"/>
  <c r="W3" i="9" s="1"/>
  <c r="Z3" i="9" s="1"/>
  <c r="X3" i="9"/>
  <c r="L3" i="9"/>
  <c r="N3" i="9" s="1"/>
  <c r="O8" i="8"/>
  <c r="N10" i="3"/>
  <c r="P10" i="3" s="1"/>
  <c r="T10" i="3" s="1"/>
  <c r="O10" i="3"/>
  <c r="Q10" i="3" s="1"/>
  <c r="U10" i="3" s="1"/>
  <c r="Y10" i="3" s="1"/>
  <c r="X9" i="9"/>
  <c r="L9" i="9"/>
  <c r="N9" i="9" s="1"/>
  <c r="O9" i="9" s="1"/>
  <c r="R9" i="9" s="1"/>
  <c r="W9" i="9" s="1"/>
  <c r="Z9" i="9" s="1"/>
  <c r="O5" i="3"/>
  <c r="Q5" i="3" s="1"/>
  <c r="U5" i="3" s="1"/>
  <c r="Y5" i="3" s="1"/>
  <c r="N5" i="3"/>
  <c r="P5" i="3" s="1"/>
  <c r="T5" i="3" s="1"/>
  <c r="B15" i="13"/>
  <c r="A16" i="13"/>
  <c r="Y21" i="9"/>
  <c r="A21" i="18"/>
  <c r="B20" i="18"/>
  <c r="Z22" i="9" l="1"/>
  <c r="Y22" i="9"/>
  <c r="Z28" i="9"/>
  <c r="Y28" i="9"/>
  <c r="Y30" i="9"/>
  <c r="Z30" i="9"/>
  <c r="B6" i="16"/>
  <c r="A7" i="16"/>
  <c r="A17" i="13"/>
  <c r="B16" i="13"/>
  <c r="A22" i="18"/>
  <c r="B21" i="18"/>
  <c r="A8" i="16" l="1"/>
  <c r="B7" i="16"/>
  <c r="B17" i="13"/>
  <c r="A18" i="13"/>
  <c r="A23" i="18"/>
  <c r="B22" i="18"/>
  <c r="A9" i="16" l="1"/>
  <c r="B8" i="16"/>
  <c r="A19" i="13"/>
  <c r="B18" i="13"/>
  <c r="A24" i="18"/>
  <c r="B23" i="18"/>
  <c r="A10" i="16" l="1"/>
  <c r="B9" i="16"/>
  <c r="B19" i="13"/>
  <c r="A20" i="13"/>
  <c r="A25" i="18"/>
  <c r="B24" i="18"/>
  <c r="B10" i="16" l="1"/>
  <c r="A11" i="16"/>
  <c r="B20" i="13"/>
  <c r="A21" i="13"/>
  <c r="A26" i="18"/>
  <c r="B25" i="18"/>
  <c r="A12" i="16" l="1"/>
  <c r="B11" i="16"/>
  <c r="B21" i="13"/>
  <c r="A22" i="13"/>
  <c r="A27" i="18"/>
  <c r="B26" i="18"/>
  <c r="A13" i="16" l="1"/>
  <c r="B12" i="16"/>
  <c r="B22" i="13"/>
  <c r="A23" i="13"/>
  <c r="A28" i="18"/>
  <c r="B27" i="18"/>
  <c r="A14" i="16" l="1"/>
  <c r="B13" i="16"/>
  <c r="B23" i="13"/>
  <c r="A24" i="13"/>
  <c r="B28" i="18"/>
  <c r="A29" i="18"/>
  <c r="B14" i="16" l="1"/>
  <c r="A15" i="16"/>
  <c r="A25" i="13"/>
  <c r="B24" i="13"/>
  <c r="B29" i="18"/>
  <c r="A30" i="18"/>
  <c r="A16" i="16" l="1"/>
  <c r="B15" i="16"/>
  <c r="B25" i="13"/>
  <c r="A26" i="13"/>
  <c r="A31" i="18"/>
  <c r="B30" i="18"/>
  <c r="A17" i="16" l="1"/>
  <c r="B16" i="16"/>
  <c r="A27" i="13"/>
  <c r="B26" i="13"/>
  <c r="B31" i="18"/>
  <c r="A32" i="18"/>
  <c r="B17" i="16" l="1"/>
  <c r="A18" i="16"/>
  <c r="B27" i="13"/>
  <c r="A28" i="13"/>
  <c r="A33" i="18"/>
  <c r="B32" i="18"/>
  <c r="A19" i="16" l="1"/>
  <c r="B18" i="16"/>
  <c r="A29" i="13"/>
  <c r="B28" i="13"/>
  <c r="A34" i="18"/>
  <c r="B34" i="18" s="1"/>
  <c r="B33" i="18"/>
  <c r="A20" i="16" l="1"/>
  <c r="B19" i="16"/>
  <c r="B29" i="13"/>
  <c r="A30" i="13"/>
  <c r="A21" i="16" l="1"/>
  <c r="B20" i="16"/>
  <c r="A31" i="13"/>
  <c r="B30" i="13"/>
  <c r="A22" i="16" l="1"/>
  <c r="B21" i="16"/>
  <c r="B31" i="13"/>
  <c r="A32" i="13"/>
  <c r="B32" i="13" s="1"/>
  <c r="B22" i="16" l="1"/>
  <c r="A23" i="16"/>
  <c r="A24" i="16" l="1"/>
  <c r="B23" i="16"/>
  <c r="A25" i="16" l="1"/>
  <c r="B24" i="16"/>
  <c r="A26" i="16" l="1"/>
  <c r="B25" i="16"/>
  <c r="B26" i="16" l="1"/>
  <c r="A27" i="16"/>
  <c r="A28" i="16" l="1"/>
  <c r="B27" i="16"/>
  <c r="A29" i="16" l="1"/>
  <c r="B29" i="16" s="1"/>
  <c r="B2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AB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sharedStrings.xml><?xml version="1.0" encoding="utf-8"?>
<sst xmlns="http://schemas.openxmlformats.org/spreadsheetml/2006/main" count="453" uniqueCount="313">
  <si>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</si>
  <si>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</si>
  <si>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</si>
  <si>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</si>
  <si>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</si>
  <si>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</si>
  <si>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</si>
  <si>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</si>
  <si>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</si>
  <si>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</si>
  <si>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</si>
  <si>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</si>
  <si>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</si>
  <si>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</si>
  <si>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</si>
  <si>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</si>
  <si>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</si>
  <si>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</si>
  <si>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</si>
  <si>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</si>
  <si>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</si>
  <si>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</si>
  <si>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</si>
  <si>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</si>
  <si>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</si>
  <si>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</si>
  <si>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</si>
  <si>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</si>
  <si>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</si>
  <si>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</si>
  <si>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</si>
  <si>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</si>
  <si>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</si>
  <si>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</si>
  <si>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</si>
  <si>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</si>
  <si>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</si>
  <si>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</si>
  <si>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</si>
  <si>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</si>
  <si>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</si>
  <si>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</si>
  <si>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</si>
  <si>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</si>
  <si>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</si>
  <si>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</si>
  <si>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</si>
  <si>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</si>
  <si>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</si>
  <si>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</si>
  <si>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</si>
  <si>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</si>
  <si>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</si>
  <si>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</si>
  <si>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</si>
  <si>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</si>
  <si>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</si>
  <si>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PnET-Suc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</si>
  <si>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</si>
  <si>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</si>
  <si>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</si>
  <si>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</si>
  <si>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</si>
  <si>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</si>
  <si>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</si>
  <si>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</si>
  <si>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</si>
  <si>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</si>
  <si>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</si>
  <si>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</si>
  <si>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</si>
  <si>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</si>
  <si>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</si>
  <si>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</si>
  <si>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</si>
  <si>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</si>
  <si>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</si>
  <si>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</si>
  <si>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</si>
  <si>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</si>
  <si>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</si>
  <si>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</si>
  <si>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</si>
  <si>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</si>
  <si>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</si>
  <si>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</si>
  <si>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</si>
  <si>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</si>
  <si>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</si>
  <si>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</si>
  <si>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</si>
  <si>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</si>
  <si>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</si>
  <si>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</si>
  <si>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</si>
  <si>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</si>
  <si>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</si>
  <si>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</si>
  <si>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</si>
  <si>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</si>
  <si>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</si>
  <si>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</si>
  <si>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</si>
  <si>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</si>
  <si>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</si>
  <si>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</si>
  <si>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</si>
  <si>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</si>
  <si>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</si>
  <si>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</si>
  <si>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</si>
  <si>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</si>
  <si>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</si>
  <si>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</si>
  <si>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</si>
  <si>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</si>
  <si>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</si>
  <si>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</si>
  <si>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</si>
  <si>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</si>
  <si>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</si>
  <si>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</si>
  <si>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</si>
  <si>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</si>
  <si>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</si>
  <si>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</si>
  <si>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</si>
  <si>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</si>
  <si>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</si>
  <si>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</si>
  <si>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</si>
  <si>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</si>
  <si>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</si>
  <si>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</si>
  <si>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</si>
  <si>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</si>
  <si>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</si>
  <si>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</si>
  <si>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</si>
  <si>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</si>
  <si>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</si>
  <si>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</si>
  <si>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</si>
  <si>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</si>
  <si>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</si>
  <si>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</si>
  <si>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</si>
  <si>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</si>
  <si>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</si>
  <si>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</si>
  <si>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</si>
  <si>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</si>
  <si>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</si>
  <si>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</si>
  <si>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</si>
  <si>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Unmodified</t>
  </si>
  <si>
    <t>Modified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</si>
  <si>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</si>
  <si>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</si>
  <si>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</si>
  <si>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</si>
  <si>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</si>
  <si>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</si>
  <si>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</si>
  <si>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</si>
  <si>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</si>
  <si>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</si>
  <si>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No Wythers-Bfol</t>
  </si>
  <si>
    <t>Wythers-Bfol</t>
  </si>
  <si>
    <t>Wythers Q10</t>
  </si>
  <si>
    <t>NoWythers Q10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</si>
  <si>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</si>
  <si>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</si>
  <si>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</si>
  <si>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</si>
  <si>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</si>
  <si>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</si>
  <si>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</si>
  <si>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</si>
  <si>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</si>
  <si>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</si>
  <si>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</si>
  <si>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</si>
  <si>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</si>
  <si>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</si>
  <si>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</si>
  <si>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</si>
  <si>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CO2HalfSatEff</t>
  </si>
  <si>
    <t>AdjHalfSat</t>
  </si>
  <si>
    <t>frad</t>
  </si>
  <si>
    <t>FrActWd</t>
  </si>
  <si>
    <t>Total Biomass</t>
  </si>
  <si>
    <t>NOTE</t>
  </si>
  <si>
    <t>DelAmax was used in PnET-Succession v1.2</t>
  </si>
  <si>
    <t>Fraction Active Biomass</t>
  </si>
  <si>
    <t>CO2 (ppm)</t>
  </si>
  <si>
    <t>AdjFracFol</t>
  </si>
  <si>
    <t>MaxFolN</t>
  </si>
  <si>
    <t>Mult</t>
  </si>
  <si>
    <t>ModAdjFolN</t>
  </si>
  <si>
    <t>Modif Mult</t>
  </si>
  <si>
    <t>FracFol</t>
  </si>
  <si>
    <t>target</t>
  </si>
  <si>
    <t>HalfSat@ref:</t>
  </si>
  <si>
    <t>Species 3</t>
  </si>
  <si>
    <t>Species 4</t>
  </si>
  <si>
    <t>Species 5</t>
  </si>
  <si>
    <t>shade intol</t>
  </si>
  <si>
    <t>Shade tolerant</t>
  </si>
  <si>
    <t>interm tol</t>
  </si>
  <si>
    <t>tolerant</t>
  </si>
  <si>
    <t>MaxFracFol</t>
  </si>
  <si>
    <t>HalfSat at your reference CO2 concentration</t>
  </si>
  <si>
    <t>ref CO2</t>
  </si>
  <si>
    <t>Pressure head</t>
  </si>
  <si>
    <t>H1</t>
  </si>
  <si>
    <t>H2</t>
  </si>
  <si>
    <t>H3</t>
  </si>
  <si>
    <t>H4</t>
  </si>
  <si>
    <t>EstMoist</t>
  </si>
  <si>
    <t>EstRad</t>
  </si>
  <si>
    <t>Pest</t>
  </si>
  <si>
    <t>Nominal</t>
  </si>
  <si>
    <t>Timestep length</t>
  </si>
  <si>
    <t>Parameters</t>
  </si>
  <si>
    <t xml:space="preserve">Wythers correction for  respiration acclmation </t>
  </si>
  <si>
    <t>decid</t>
  </si>
  <si>
    <t>evergreen</t>
  </si>
  <si>
    <t>PsnTMaxestimate</t>
  </si>
  <si>
    <t>PsnTMinestimate</t>
  </si>
  <si>
    <t>NOTE: Dtemp is computed based on Tday, which is avg DAYTIME temperature</t>
  </si>
  <si>
    <t>Default upland</t>
  </si>
  <si>
    <t>fairly tol</t>
  </si>
  <si>
    <t>Waterlog tol</t>
  </si>
  <si>
    <t>Range</t>
  </si>
  <si>
    <t>Lowest HalfSat</t>
  </si>
  <si>
    <t>Highest HalfSat</t>
  </si>
  <si>
    <t>HalfSat calculator</t>
  </si>
  <si>
    <t>Shade tolerance index value</t>
  </si>
  <si>
    <t>HalfSat value</t>
  </si>
  <si>
    <t>Shade tolerance index</t>
  </si>
  <si>
    <t>Set these values =&gt;</t>
  </si>
  <si>
    <t>&lt;=computed</t>
  </si>
  <si>
    <t xml:space="preserve">e.g., Niinemets and Valladares (2015) </t>
  </si>
  <si>
    <t>Default=&gt;</t>
  </si>
  <si>
    <t>fwater@ph=0</t>
  </si>
  <si>
    <t>somewh  intol</t>
  </si>
  <si>
    <t>intermediate</t>
  </si>
  <si>
    <t>super tol</t>
  </si>
  <si>
    <t>Combined</t>
  </si>
  <si>
    <t>Aber et al Oecologia 1996</t>
  </si>
  <si>
    <t>Old Dtemp</t>
  </si>
  <si>
    <t>Computed for OldDtemp</t>
  </si>
  <si>
    <t>NominalHalfSat</t>
  </si>
  <si>
    <t>modified exponential</t>
  </si>
  <si>
    <t>Ad hoc worksheet</t>
  </si>
  <si>
    <t>Worksheet used to estimate HalfSat from a shade tolerance index value</t>
  </si>
  <si>
    <t>Enter the highest and lowest HalfSat values of all species occuring within the range of the shade tolerance index</t>
  </si>
  <si>
    <t>Turn effect off by setting to 0.0</t>
  </si>
  <si>
    <t>UnModified</t>
  </si>
  <si>
    <t>Scaling factor applied to fWater when computing Pest-can be computed w a different value, depending on H2 [Enter fWater that equates to optimal water for establishment]</t>
  </si>
  <si>
    <t>OldDefaults</t>
  </si>
  <si>
    <t>UnmodifiedPest</t>
  </si>
  <si>
    <t>MaxPest</t>
  </si>
  <si>
    <t>Pest tuning parameter (0-1.0) [Enter max realized establishment probability under optimal fWater and fRad]</t>
  </si>
  <si>
    <t>&lt;=Computed values</t>
  </si>
  <si>
    <t>Given=&gt;</t>
  </si>
  <si>
    <t xml:space="preserve"> in D2 &amp; E2</t>
  </si>
  <si>
    <t>set these values</t>
  </si>
  <si>
    <t>read this value</t>
  </si>
  <si>
    <t>in M14</t>
  </si>
  <si>
    <t>Plot is below</t>
  </si>
  <si>
    <t>Across all species</t>
  </si>
  <si>
    <t>computed</t>
  </si>
  <si>
    <t>&lt;=These can be modified to explore effects</t>
  </si>
  <si>
    <t>&lt;=modify</t>
  </si>
  <si>
    <t>modify</t>
  </si>
  <si>
    <t>&lt;=computed value</t>
  </si>
  <si>
    <t>DelAmax' is used in PnET-Succession v2.0 and later</t>
  </si>
  <si>
    <t>Amax-decid</t>
  </si>
  <si>
    <t>Amax-evergreen</t>
  </si>
  <si>
    <t>Parameters should be set relative to Tday, not Tmax</t>
  </si>
  <si>
    <t>&lt;=Step 1: set reference CO2 concentration here</t>
  </si>
  <si>
    <t xml:space="preserve">&lt;=Step2: enter proposed CO2HalfSatEff parameter setting </t>
  </si>
  <si>
    <t>Scaling factor applied to fRad when computing Pest [Enter EstRad that equates to maximal light possible given PAR inputs]</t>
  </si>
  <si>
    <t>Note: this worksheet only includes modifications of fRad.</t>
  </si>
  <si>
    <t>It does not account for the new HalfSat effects on establishment.</t>
  </si>
  <si>
    <t>See section 1.3.1 in user guide.</t>
  </si>
  <si>
    <t>FracFolShape</t>
  </si>
  <si>
    <t>FolNShape</t>
  </si>
  <si>
    <t xml:space="preserve">This is no longer used in PnET-Succession </t>
  </si>
  <si>
    <t>&lt;=uses old DTEMP</t>
  </si>
  <si>
    <t xml:space="preserve">No longer used in PnET-Succession </t>
  </si>
  <si>
    <t>Pest calculator to test specific values of fRad and fWater</t>
  </si>
  <si>
    <t>&lt;=Step 3: tune here to produce the desired HalfSat at your reference CO2 concentration (in red)</t>
  </si>
  <si>
    <t xml:space="preserve">350 is the nominal CO2 reference concentration in PnET-II and PnET-Succession </t>
  </si>
  <si>
    <t>No effect-&gt;</t>
  </si>
  <si>
    <t>Modify-&gt;</t>
  </si>
  <si>
    <t>Green values can be changed</t>
  </si>
  <si>
    <t>&lt;=no longer used in PnET-Succession</t>
  </si>
  <si>
    <t>No effect (all)</t>
  </si>
  <si>
    <t>fol (gC/m2)</t>
  </si>
  <si>
    <t>PH</t>
  </si>
  <si>
    <t>fWater calculator</t>
  </si>
  <si>
    <t>PAR</t>
  </si>
  <si>
    <t>fRad1</t>
  </si>
  <si>
    <t>fRad2</t>
  </si>
  <si>
    <t>HalfSat1</t>
  </si>
  <si>
    <t>HalfSat2</t>
  </si>
  <si>
    <t>Compare two fRad curves with different HalfSat values</t>
  </si>
  <si>
    <t>saturation</t>
  </si>
  <si>
    <t>field capacity</t>
  </si>
  <si>
    <t>wilting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</si>
</sst>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rgb="FFFF0000"/>
      <name val="Courier New"/>
      <family val="3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5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6" xfId="0" applyFont="1" applyBorder="1"/>
    <xf numFmtId="0" fontId="0" fillId="0" borderId="1" xfId="0" applyFont="1" applyFill="1" applyBorder="1"/>
    <xf numFmtId="0" fontId="0" fillId="3" borderId="0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0" borderId="7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7" fillId="0" borderId="8" xfId="0" applyFont="1" applyBorder="1"/>
    <xf numFmtId="0" fontId="0" fillId="0" borderId="7" xfId="0" applyFill="1" applyBorder="1"/>
    <xf numFmtId="0" fontId="0" fillId="6" borderId="7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2" fillId="9" borderId="0" xfId="0" applyFont="1" applyFill="1"/>
    <xf numFmtId="0" fontId="0" fillId="9" borderId="0" xfId="0" applyFill="1"/>
    <xf numFmtId="0" fontId="0" fillId="9" borderId="0" xfId="0" applyFill="1" applyBorder="1"/>
    <xf numFmtId="0" fontId="2" fillId="0" borderId="0" xfId="0" applyFont="1"/>
    <xf numFmtId="0" fontId="7" fillId="5" borderId="0" xfId="0" applyFont="1" applyFill="1"/>
    <xf numFmtId="0" fontId="12" fillId="5" borderId="0" xfId="0" applyFont="1" applyFill="1"/>
    <xf numFmtId="0" fontId="0" fillId="10" borderId="0" xfId="0" applyFill="1"/>
    <xf numFmtId="0" fontId="1" fillId="0" borderId="0" xfId="0" applyFont="1"/>
    <xf numFmtId="0" fontId="0" fillId="8" borderId="0" xfId="0" applyFill="1"/>
    <xf numFmtId="0" fontId="0" fillId="11" borderId="0" xfId="0" applyFill="1"/>
    <xf numFmtId="0" fontId="13" fillId="0" borderId="0" xfId="1"/>
    <xf numFmtId="0" fontId="0" fillId="0" borderId="0" xfId="0" applyAlignment="1">
      <alignment horizontal="right"/>
    </xf>
    <xf numFmtId="0" fontId="0" fillId="0" borderId="9" xfId="0" applyBorder="1"/>
    <xf numFmtId="0" fontId="0" fillId="12" borderId="0" xfId="0" applyFill="1"/>
    <xf numFmtId="0" fontId="0" fillId="10" borderId="1" xfId="0" applyFont="1" applyFill="1" applyBorder="1"/>
    <xf numFmtId="0" fontId="0" fillId="10" borderId="0" xfId="0" applyFill="1" applyBorder="1"/>
    <xf numFmtId="0" fontId="0" fillId="4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PnET-II'!$O$1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PnET-II'!$O$2:$O$13</c:f>
              <c:numCache>
                <c:formatCode>General</c:formatCode>
                <c:ptCount val="12"/>
                <c:pt idx="0">
                  <c:v>0</c:v>
                </c:pt>
                <c:pt idx="1">
                  <c:v>0.28068689282376164</c:v>
                </c:pt>
                <c:pt idx="2">
                  <c:v>1.4210049954972834</c:v>
                </c:pt>
                <c:pt idx="3">
                  <c:v>2.1096048623609751</c:v>
                </c:pt>
                <c:pt idx="4">
                  <c:v>2.3306741647850573</c:v>
                </c:pt>
                <c:pt idx="5">
                  <c:v>2.0869027135211771</c:v>
                </c:pt>
                <c:pt idx="6">
                  <c:v>1.4386108350471531</c:v>
                </c:pt>
                <c:pt idx="7">
                  <c:v>0.58279394434509546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D-4FFA-BB7B-D0B07153FE63}"/>
            </c:ext>
          </c:extLst>
        </c:ser>
        <c:ser>
          <c:idx val="1"/>
          <c:order val="1"/>
          <c:tx>
            <c:strRef>
              <c:f>'PnET-Succ v. PnET-II'!$O$20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PnET-II'!$O$21:$O$32</c:f>
              <c:numCache>
                <c:formatCode>General</c:formatCode>
                <c:ptCount val="12"/>
                <c:pt idx="0">
                  <c:v>0</c:v>
                </c:pt>
                <c:pt idx="1">
                  <c:v>0.30826098736713425</c:v>
                </c:pt>
                <c:pt idx="2">
                  <c:v>1.5604930957624581</c:v>
                </c:pt>
                <c:pt idx="3">
                  <c:v>2.3205653485970728</c:v>
                </c:pt>
                <c:pt idx="4">
                  <c:v>2.5637415812635633</c:v>
                </c:pt>
                <c:pt idx="5">
                  <c:v>2.295592984873295</c:v>
                </c:pt>
                <c:pt idx="6">
                  <c:v>1.5824719185518688</c:v>
                </c:pt>
                <c:pt idx="7">
                  <c:v>0.64107333877960504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D-4FFA-BB7B-D0B07153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0792"/>
        <c:axId val="597983536"/>
      </c:lineChart>
      <c:catAx>
        <c:axId val="5979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3536"/>
        <c:crosses val="autoZero"/>
        <c:auto val="1"/>
        <c:lblAlgn val="ctr"/>
        <c:lblOffset val="100"/>
        <c:noMultiLvlLbl val="0"/>
      </c:catAx>
      <c:valAx>
        <c:axId val="59798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DTemp!$W$1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DTemp!$W$2:$W$13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0.77495328086159931</c:v>
                </c:pt>
                <c:pt idx="2">
                  <c:v>1.0959494400000003</c:v>
                </c:pt>
                <c:pt idx="3">
                  <c:v>1.5499065617231989</c:v>
                </c:pt>
                <c:pt idx="4">
                  <c:v>2.1918988800000005</c:v>
                </c:pt>
                <c:pt idx="5">
                  <c:v>3.0998131234463973</c:v>
                </c:pt>
                <c:pt idx="6">
                  <c:v>4.3837977600000011</c:v>
                </c:pt>
                <c:pt idx="7">
                  <c:v>6.1996262468927954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8-4672-A8FE-1685F1B72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70296"/>
        <c:axId val="372659712"/>
      </c:lineChart>
      <c:catAx>
        <c:axId val="37267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712"/>
        <c:crosses val="autoZero"/>
        <c:auto val="1"/>
        <c:lblAlgn val="ctr"/>
        <c:lblOffset val="100"/>
        <c:noMultiLvlLbl val="0"/>
      </c:catAx>
      <c:valAx>
        <c:axId val="372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DTemp!$P$1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2-44CD-B009-A043F3ED8889}"/>
            </c:ext>
          </c:extLst>
        </c:ser>
        <c:ser>
          <c:idx val="1"/>
          <c:order val="1"/>
          <c:tx>
            <c:strRef>
              <c:f>DTemp!$Q$1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DTemp!$Q$2:$Q$13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6.9825924810563569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2-44CD-B009-A043F3ED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56928"/>
        <c:axId val="600702672"/>
      </c:lineChart>
      <c:catAx>
        <c:axId val="597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672"/>
        <c:crosses val="autoZero"/>
        <c:auto val="1"/>
        <c:lblAlgn val="ctr"/>
        <c:lblOffset val="100"/>
        <c:noMultiLvlLbl val="0"/>
      </c:catAx>
      <c:valAx>
        <c:axId val="6007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F-4592-B118-690B1DF5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2480"/>
        <c:axId val="600701496"/>
      </c:lineChart>
      <c:catAx>
        <c:axId val="6006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496"/>
        <c:crosses val="autoZero"/>
        <c:auto val="1"/>
        <c:lblAlgn val="ctr"/>
        <c:lblOffset val="100"/>
        <c:noMultiLvlLbl val="0"/>
      </c:catAx>
      <c:valAx>
        <c:axId val="6007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D-4DCF-9BD8-A003E9264F78}"/>
            </c:ext>
          </c:extLst>
        </c:ser>
        <c:ser>
          <c:idx val="1"/>
          <c:order val="1"/>
          <c:tx>
            <c:strRef>
              <c:f>'CO2 effects'!$L$1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D-4DCF-9BD8-A003E926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4440"/>
        <c:axId val="600702280"/>
      </c:scatterChart>
      <c:valAx>
        <c:axId val="6006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280"/>
        <c:crosses val="autoZero"/>
        <c:crossBetween val="midCat"/>
      </c:valAx>
      <c:valAx>
        <c:axId val="6007022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7-45C2-A23A-5F5F8F5E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5616"/>
        <c:axId val="600701888"/>
      </c:scatterChart>
      <c:valAx>
        <c:axId val="6006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888"/>
        <c:crosses val="autoZero"/>
        <c:crossBetween val="midCat"/>
      </c:valAx>
      <c:valAx>
        <c:axId val="600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E-49AE-8B1F-77294F49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7968"/>
        <c:axId val="600696792"/>
      </c:scatterChart>
      <c:valAx>
        <c:axId val="6006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792"/>
        <c:crosses val="autoZero"/>
        <c:crossBetween val="midCat"/>
      </c:valAx>
      <c:valAx>
        <c:axId val="6006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5-4394-957D-0F473B0BB9AA}"/>
            </c:ext>
          </c:extLst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5-4394-957D-0F473B0B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2088"/>
        <c:axId val="600692872"/>
      </c:scatterChart>
      <c:valAx>
        <c:axId val="60069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872"/>
        <c:crosses val="autoZero"/>
        <c:crossBetween val="midCat"/>
      </c:valAx>
      <c:valAx>
        <c:axId val="6006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5-4104-9938-847ADDB8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0520"/>
        <c:axId val="600698752"/>
      </c:scatterChart>
      <c:valAx>
        <c:axId val="60069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8752"/>
        <c:crosses val="autoZero"/>
        <c:crossBetween val="midCat"/>
      </c:valAx>
      <c:valAx>
        <c:axId val="600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2-4841-84BE-3783905A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1696"/>
        <c:axId val="600696008"/>
      </c:scatterChart>
      <c:valAx>
        <c:axId val="6006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008"/>
        <c:crosses val="autoZero"/>
        <c:crossBetween val="midCat"/>
      </c:valAx>
      <c:valAx>
        <c:axId val="600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Wythers!$J$9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Wythers!$J$10:$J$19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2-48C4-92EE-573CFE044D58}"/>
            </c:ext>
          </c:extLst>
        </c:ser>
        <c:ser>
          <c:idx val="1"/>
          <c:order val="1"/>
          <c:tx>
            <c:strRef>
              <c:f>Wythers!$K$9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Wythers!$K$10:$K$19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2-48C4-92EE-573CFE044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0912"/>
        <c:axId val="600699536"/>
      </c:lineChart>
      <c:catAx>
        <c:axId val="6006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536"/>
        <c:crosses val="autoZero"/>
        <c:auto val="1"/>
        <c:lblAlgn val="ctr"/>
        <c:lblOffset val="100"/>
        <c:noMultiLvlLbl val="0"/>
      </c:catAx>
      <c:valAx>
        <c:axId val="600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Foliar respiraton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PnET-II'!$R$1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PnET-II'!$R$2:$R$13</c:f>
              <c:numCache>
                <c:formatCode>General</c:formatCode>
                <c:ptCount val="12"/>
                <c:pt idx="0">
                  <c:v>0</c:v>
                </c:pt>
                <c:pt idx="1">
                  <c:v>3.929616499532663</c:v>
                </c:pt>
                <c:pt idx="2">
                  <c:v>19.894069936961969</c:v>
                </c:pt>
                <c:pt idx="3">
                  <c:v>29.534468073053652</c:v>
                </c:pt>
                <c:pt idx="4">
                  <c:v>32.629438306990799</c:v>
                </c:pt>
                <c:pt idx="5">
                  <c:v>29.21663798929648</c:v>
                </c:pt>
                <c:pt idx="6">
                  <c:v>20.140551690660143</c:v>
                </c:pt>
                <c:pt idx="7">
                  <c:v>8.1591152208313371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8-4D28-AECE-6608D2A85468}"/>
            </c:ext>
          </c:extLst>
        </c:ser>
        <c:ser>
          <c:idx val="1"/>
          <c:order val="1"/>
          <c:tx>
            <c:strRef>
              <c:f>'PnET-Succ v. PnET-II'!$Y$20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PnET-II'!$Y$21:$Y$32</c:f>
              <c:numCache>
                <c:formatCode>General</c:formatCode>
                <c:ptCount val="12"/>
                <c:pt idx="0">
                  <c:v>-1.2083381106640332</c:v>
                </c:pt>
                <c:pt idx="1">
                  <c:v>2.6068056791065217</c:v>
                </c:pt>
                <c:pt idx="2">
                  <c:v>19.430227119346348</c:v>
                </c:pt>
                <c:pt idx="3">
                  <c:v>29.070218592292306</c:v>
                </c:pt>
                <c:pt idx="4">
                  <c:v>31.059029695033754</c:v>
                </c:pt>
                <c:pt idx="5">
                  <c:v>25.3029092120927</c:v>
                </c:pt>
                <c:pt idx="6">
                  <c:v>12.487901974413898</c:v>
                </c:pt>
                <c:pt idx="7">
                  <c:v>-4.6957584093523899</c:v>
                </c:pt>
                <c:pt idx="8">
                  <c:v>-19.333409770624527</c:v>
                </c:pt>
                <c:pt idx="9">
                  <c:v>-27.341570304533718</c:v>
                </c:pt>
                <c:pt idx="10">
                  <c:v>-38.666819541249055</c:v>
                </c:pt>
                <c:pt idx="11">
                  <c:v>-54.683140609067422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8-4D28-AECE-6608D2A8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5496"/>
        <c:axId val="597989808"/>
      </c:lineChart>
      <c:catAx>
        <c:axId val="59798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9808"/>
        <c:crosses val="autoZero"/>
        <c:auto val="1"/>
        <c:lblAlgn val="ctr"/>
        <c:lblOffset val="100"/>
        <c:noMultiLvlLbl val="0"/>
      </c:catAx>
      <c:valAx>
        <c:axId val="59798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Wythers!$D$9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Wythers!$D$10:$D$19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7C7-84F6-08E9BF47E3F4}"/>
            </c:ext>
          </c:extLst>
        </c:ser>
        <c:ser>
          <c:idx val="1"/>
          <c:order val="1"/>
          <c:tx>
            <c:strRef>
              <c:f>Wythers!$E$9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Wythers!$E$10:$E$19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7C7-84F6-08E9BF47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264"/>
        <c:axId val="600699928"/>
      </c:lineChart>
      <c:catAx>
        <c:axId val="6006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928"/>
        <c:crosses val="autoZero"/>
        <c:auto val="1"/>
        <c:lblAlgn val="ctr"/>
        <c:lblOffset val="100"/>
        <c:noMultiLvlLbl val="0"/>
      </c:catAx>
      <c:valAx>
        <c:axId val="6006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Wythers!$L$9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Wythers!$L$10:$L$19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2-48B5-99C4-A31E1456CE8C}"/>
            </c:ext>
          </c:extLst>
        </c:ser>
        <c:ser>
          <c:idx val="1"/>
          <c:order val="1"/>
          <c:tx>
            <c:strRef>
              <c:f>Wythers!$M$9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Wythers!$M$10:$M$19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2-48B5-99C4-A31E1456C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656"/>
        <c:axId val="600694048"/>
      </c:lineChart>
      <c:catAx>
        <c:axId val="60069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048"/>
        <c:crosses val="autoZero"/>
        <c:auto val="1"/>
        <c:lblAlgn val="ctr"/>
        <c:lblOffset val="100"/>
        <c:noMultiLvlLbl val="0"/>
      </c:catAx>
      <c:valAx>
        <c:axId val="600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fRad!$B$13:$B$14</c:f>
              <c:strCache>
                <c:ptCount val="2"/>
                <c:pt idx="0">
                  <c:v>HalfSat1</c:v>
                </c:pt>
                <c:pt idx="1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fRad!$A$16:$A$36</c:f>
              <c:numCache>
                <c:formatCode>General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  <c:pt idx="20">
                  <c:v>0</c:v>
                </c:pt>
              </c:numCache>
            </c:numRef>
          </c:xVal>
          <c:yVal>
            <c:numRef>
              <c:f>fRad!$B$16:$B$36</c:f>
              <c:numCache>
                <c:formatCode>General</c:formatCode>
                <c:ptCount val="21"/>
                <c:pt idx="0">
                  <c:v>0.90909090909090906</c:v>
                </c:pt>
                <c:pt idx="1">
                  <c:v>0.90476190476190477</c:v>
                </c:pt>
                <c:pt idx="2">
                  <c:v>0.9</c:v>
                </c:pt>
                <c:pt idx="3">
                  <c:v>0.89473684210526316</c:v>
                </c:pt>
                <c:pt idx="4">
                  <c:v>0.88888888888888884</c:v>
                </c:pt>
                <c:pt idx="5">
                  <c:v>0.88235294117647056</c:v>
                </c:pt>
                <c:pt idx="6">
                  <c:v>0.875</c:v>
                </c:pt>
                <c:pt idx="7">
                  <c:v>0.8666666666666667</c:v>
                </c:pt>
                <c:pt idx="8">
                  <c:v>0.8571428571428571</c:v>
                </c:pt>
                <c:pt idx="9">
                  <c:v>0.84615384615384615</c:v>
                </c:pt>
                <c:pt idx="10">
                  <c:v>0.83333333333333337</c:v>
                </c:pt>
                <c:pt idx="11">
                  <c:v>0.81818181818181823</c:v>
                </c:pt>
                <c:pt idx="12">
                  <c:v>0.8</c:v>
                </c:pt>
                <c:pt idx="13">
                  <c:v>0.77777777777777779</c:v>
                </c:pt>
                <c:pt idx="14">
                  <c:v>0.75</c:v>
                </c:pt>
                <c:pt idx="15">
                  <c:v>0.7142857142857143</c:v>
                </c:pt>
                <c:pt idx="16">
                  <c:v>0.66666666666666663</c:v>
                </c:pt>
                <c:pt idx="17">
                  <c:v>0.6</c:v>
                </c:pt>
                <c:pt idx="18">
                  <c:v>0.5</c:v>
                </c:pt>
                <c:pt idx="19">
                  <c:v>0.33333333333333331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68-4CA8-B00C-BF7F00DD1950}"/>
            </c:ext>
          </c:extLst>
        </c:ser>
        <c:ser>
          <c:idx val="1"/>
          <c:order val="1"/>
          <c:tx>
            <c:strRef>
              <c:f>fRad!$C$13:$C$14</c:f>
              <c:strCache>
                <c:ptCount val="2"/>
                <c:pt idx="0">
                  <c:v>HalfSat2</c:v>
                </c:pt>
                <c:pt idx="1">
                  <c:v>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fRad!$A$16:$A$36</c:f>
              <c:numCache>
                <c:formatCode>General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  <c:pt idx="20">
                  <c:v>0</c:v>
                </c:pt>
              </c:numCache>
            </c:numRef>
          </c:xVal>
          <c:yVal>
            <c:numRef>
              <c:f>fRad!$C$16:$C$36</c:f>
              <c:numCache>
                <c:formatCode>General</c:formatCode>
                <c:ptCount val="21"/>
                <c:pt idx="0">
                  <c:v>0.76923076923076927</c:v>
                </c:pt>
                <c:pt idx="1">
                  <c:v>0.76</c:v>
                </c:pt>
                <c:pt idx="2">
                  <c:v>0.75</c:v>
                </c:pt>
                <c:pt idx="3">
                  <c:v>0.73913043478260865</c:v>
                </c:pt>
                <c:pt idx="4">
                  <c:v>0.72727272727272729</c:v>
                </c:pt>
                <c:pt idx="5">
                  <c:v>0.7142857142857143</c:v>
                </c:pt>
                <c:pt idx="6">
                  <c:v>0.7</c:v>
                </c:pt>
                <c:pt idx="7">
                  <c:v>0.68421052631578949</c:v>
                </c:pt>
                <c:pt idx="8">
                  <c:v>0.66666666666666663</c:v>
                </c:pt>
                <c:pt idx="9">
                  <c:v>0.6470588235294118</c:v>
                </c:pt>
                <c:pt idx="10">
                  <c:v>0.625</c:v>
                </c:pt>
                <c:pt idx="11">
                  <c:v>0.6</c:v>
                </c:pt>
                <c:pt idx="12">
                  <c:v>0.5714285714285714</c:v>
                </c:pt>
                <c:pt idx="13">
                  <c:v>0.53846153846153844</c:v>
                </c:pt>
                <c:pt idx="14">
                  <c:v>0.5</c:v>
                </c:pt>
                <c:pt idx="15">
                  <c:v>0.45454545454545453</c:v>
                </c:pt>
                <c:pt idx="16">
                  <c:v>0.4</c:v>
                </c:pt>
                <c:pt idx="17">
                  <c:v>0.33333333333333331</c:v>
                </c:pt>
                <c:pt idx="18">
                  <c:v>0.25</c:v>
                </c:pt>
                <c:pt idx="19">
                  <c:v>0.14285714285714285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68-4CA8-B00C-BF7F00DD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65536"/>
        <c:axId val="1928178048"/>
      </c:scatterChart>
      <c:valAx>
        <c:axId val="17772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78048"/>
        <c:crosses val="autoZero"/>
        <c:crossBetween val="midCat"/>
      </c:valAx>
      <c:valAx>
        <c:axId val="19281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16601049868771"/>
          <c:y val="0.50983741615631384"/>
          <c:w val="0.21238954505686788"/>
          <c:h val="0.15625109361329836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Drought and waterlogging tolerance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fWater!$B$1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fWater!$A$4:$A$34</c:f>
              <c:numCache>
                <c:formatCode>General</c:formatCode>
                <c:ptCount val="3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</c:numCache>
            </c:numRef>
          </c:cat>
          <c:val>
            <c:numRef>
              <c:f>fWater!$B$4:$B$34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0.95238095238095233</c:v>
                </c:pt>
                <c:pt idx="23">
                  <c:v>0.7142857142857143</c:v>
                </c:pt>
                <c:pt idx="24">
                  <c:v>0.47619047619047616</c:v>
                </c:pt>
                <c:pt idx="25">
                  <c:v>0.23809523809523814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0-4152-B5F5-86276685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3456"/>
        <c:axId val="600703064"/>
      </c:lineChart>
      <c:catAx>
        <c:axId val="6007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064"/>
        <c:crosses val="autoZero"/>
        <c:auto val="1"/>
        <c:lblAlgn val="ctr"/>
        <c:lblOffset val="100"/>
        <c:noMultiLvlLbl val="0"/>
      </c:catAx>
      <c:valAx>
        <c:axId val="600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 rez around PH=0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fWater!$M$1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fWater!$L$4:$L$24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fWater!$M$4:$M$24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0.19999999999999996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E-40E6-BBDB-B49934DD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9728"/>
        <c:axId val="600705808"/>
      </c:lineChart>
      <c:catAx>
        <c:axId val="6007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808"/>
        <c:crosses val="autoZero"/>
        <c:auto val="1"/>
        <c:lblAlgn val="ctr"/>
        <c:lblOffset val="100"/>
        <c:noMultiLvlLbl val="0"/>
      </c:catAx>
      <c:valAx>
        <c:axId val="6007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fWater@ph=0 for various settings of H1 &amp; 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fWater!$V$4:$V$9</c:f>
              <c:strCache>
                <c:ptCount val="6"/>
                <c:pt idx="0">
                  <c:v>Default upland</c:v>
                </c:pt>
                <c:pt idx="1">
                  <c:v>somewh  intol</c:v>
                </c:pt>
                <c:pt idx="2">
                  <c:v>intermediate</c:v>
                </c:pt>
                <c:pt idx="3">
                  <c:v>fairly tol</c:v>
                </c:pt>
                <c:pt idx="4">
                  <c:v>tolerant</c:v>
                </c:pt>
                <c:pt idx="5">
                  <c:v>super tol</c:v>
                </c:pt>
              </c:strCache>
            </c:strRef>
          </c:cat>
          <c:val>
            <c:numRef>
              <c:f>fWater!$Y$4:$Y$9</c:f>
              <c:numCache>
                <c:formatCode>General</c:formatCode>
                <c:ptCount val="6"/>
                <c:pt idx="0">
                  <c:v>0</c:v>
                </c:pt>
                <c:pt idx="1">
                  <c:v>0.252</c:v>
                </c:pt>
                <c:pt idx="2">
                  <c:v>0.5</c:v>
                </c:pt>
                <c:pt idx="3">
                  <c:v>0.71399999999999997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3-43B2-9B73-C2B3800B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6200"/>
        <c:axId val="600704240"/>
      </c:lineChart>
      <c:catAx>
        <c:axId val="6007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Waterlogging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240"/>
        <c:crosses val="autoZero"/>
        <c:auto val="1"/>
        <c:lblAlgn val="ctr"/>
        <c:lblOffset val="100"/>
        <c:noMultiLvlLbl val="0"/>
      </c:catAx>
      <c:valAx>
        <c:axId val="600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0.99999989759999997</c:v>
                </c:pt>
                <c:pt idx="2">
                  <c:v>0.99999672319999999</c:v>
                </c:pt>
                <c:pt idx="3">
                  <c:v>0.99997511679999995</c:v>
                </c:pt>
                <c:pt idx="4">
                  <c:v>0.99989514239999999</c:v>
                </c:pt>
                <c:pt idx="5">
                  <c:v>0.99968000000000001</c:v>
                </c:pt>
                <c:pt idx="6">
                  <c:v>0.99920373760000003</c:v>
                </c:pt>
                <c:pt idx="7">
                  <c:v>0.99827896319999998</c:v>
                </c:pt>
                <c:pt idx="8">
                  <c:v>0.99664455679999997</c:v>
                </c:pt>
                <c:pt idx="9">
                  <c:v>0.99395338239999997</c:v>
                </c:pt>
                <c:pt idx="10">
                  <c:v>0.98975999999999997</c:v>
                </c:pt>
                <c:pt idx="11">
                  <c:v>0.98350837759999998</c:v>
                </c:pt>
                <c:pt idx="12">
                  <c:v>0.97451960319999997</c:v>
                </c:pt>
                <c:pt idx="13">
                  <c:v>0.9619795968</c:v>
                </c:pt>
                <c:pt idx="14">
                  <c:v>0.94492682240000003</c:v>
                </c:pt>
                <c:pt idx="15">
                  <c:v>0.92223999999999995</c:v>
                </c:pt>
                <c:pt idx="16">
                  <c:v>0.89262581760000004</c:v>
                </c:pt>
                <c:pt idx="17">
                  <c:v>0.8546066431999999</c:v>
                </c:pt>
                <c:pt idx="18">
                  <c:v>0.80650823680000006</c:v>
                </c:pt>
                <c:pt idx="19">
                  <c:v>0.74644746239999993</c:v>
                </c:pt>
                <c:pt idx="20">
                  <c:v>0.67231999999999981</c:v>
                </c:pt>
                <c:pt idx="21">
                  <c:v>0.58178805760000007</c:v>
                </c:pt>
                <c:pt idx="22">
                  <c:v>0.47226808320000002</c:v>
                </c:pt>
                <c:pt idx="23">
                  <c:v>0.34091847679999987</c:v>
                </c:pt>
                <c:pt idx="24">
                  <c:v>0.18462730240000003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6-4047-9870-69C7AF74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0706984"/>
        <c:axId val="600705024"/>
      </c:lineChart>
      <c:catAx>
        <c:axId val="6007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024"/>
        <c:crosses val="autoZero"/>
        <c:auto val="1"/>
        <c:lblAlgn val="ctr"/>
        <c:lblOffset val="100"/>
        <c:noMultiLvlLbl val="0"/>
      </c:catAx>
      <c:valAx>
        <c:axId val="600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FrActWd!$A$2:$A$29</c:f>
              <c:numCache>
                <c:formatCode>General</c:formatCode>
                <c:ptCount val="28"/>
                <c:pt idx="0">
                  <c:v>100</c:v>
                </c:pt>
                <c:pt idx="1">
                  <c:v>1500</c:v>
                </c:pt>
                <c:pt idx="2">
                  <c:v>2900</c:v>
                </c:pt>
                <c:pt idx="3">
                  <c:v>4300</c:v>
                </c:pt>
                <c:pt idx="4">
                  <c:v>5700</c:v>
                </c:pt>
                <c:pt idx="5">
                  <c:v>7100</c:v>
                </c:pt>
                <c:pt idx="6">
                  <c:v>8500</c:v>
                </c:pt>
                <c:pt idx="7">
                  <c:v>9900</c:v>
                </c:pt>
                <c:pt idx="8">
                  <c:v>11300</c:v>
                </c:pt>
                <c:pt idx="9">
                  <c:v>12700</c:v>
                </c:pt>
                <c:pt idx="10">
                  <c:v>14100</c:v>
                </c:pt>
                <c:pt idx="11">
                  <c:v>15500</c:v>
                </c:pt>
                <c:pt idx="12">
                  <c:v>16900</c:v>
                </c:pt>
                <c:pt idx="13">
                  <c:v>18300</c:v>
                </c:pt>
                <c:pt idx="14">
                  <c:v>19700</c:v>
                </c:pt>
                <c:pt idx="15">
                  <c:v>21100</c:v>
                </c:pt>
                <c:pt idx="16">
                  <c:v>22500</c:v>
                </c:pt>
                <c:pt idx="17">
                  <c:v>23900</c:v>
                </c:pt>
                <c:pt idx="18">
                  <c:v>25300</c:v>
                </c:pt>
                <c:pt idx="19">
                  <c:v>26700</c:v>
                </c:pt>
                <c:pt idx="20">
                  <c:v>28100</c:v>
                </c:pt>
                <c:pt idx="21">
                  <c:v>29500</c:v>
                </c:pt>
                <c:pt idx="22">
                  <c:v>30900</c:v>
                </c:pt>
                <c:pt idx="23">
                  <c:v>32300</c:v>
                </c:pt>
                <c:pt idx="24">
                  <c:v>33700</c:v>
                </c:pt>
                <c:pt idx="25">
                  <c:v>35100</c:v>
                </c:pt>
                <c:pt idx="26">
                  <c:v>36500</c:v>
                </c:pt>
                <c:pt idx="27">
                  <c:v>37900</c:v>
                </c:pt>
              </c:numCache>
            </c:numRef>
          </c:cat>
          <c:val>
            <c:numRef>
              <c:f>FrActWd!$B$2:$B$29</c:f>
              <c:numCache>
                <c:formatCode>General</c:formatCode>
                <c:ptCount val="28"/>
                <c:pt idx="0">
                  <c:v>0.99600798934399148</c:v>
                </c:pt>
                <c:pt idx="1">
                  <c:v>0.94176453358424872</c:v>
                </c:pt>
                <c:pt idx="2">
                  <c:v>0.89047522329747264</c:v>
                </c:pt>
                <c:pt idx="3">
                  <c:v>0.84197917316849991</c:v>
                </c:pt>
                <c:pt idx="4">
                  <c:v>0.79612425983545376</c:v>
                </c:pt>
                <c:pt idx="5">
                  <c:v>0.75276664470619625</c:v>
                </c:pt>
                <c:pt idx="6">
                  <c:v>0.71177032276260965</c:v>
                </c:pt>
                <c:pt idx="7">
                  <c:v>0.67300669593738638</c:v>
                </c:pt>
                <c:pt idx="8">
                  <c:v>0.63635416972508707</c:v>
                </c:pt>
                <c:pt idx="9">
                  <c:v>0.60169777176210937</c:v>
                </c:pt>
                <c:pt idx="10">
                  <c:v>0.56892879117912176</c:v>
                </c:pt>
                <c:pt idx="11">
                  <c:v>0.53794443759467447</c:v>
                </c:pt>
                <c:pt idx="12">
                  <c:v>0.50864751868031366</c:v>
                </c:pt>
                <c:pt idx="13">
                  <c:v>0.48094613528577795</c:v>
                </c:pt>
                <c:pt idx="14">
                  <c:v>0.45475339316794017</c:v>
                </c:pt>
                <c:pt idx="15">
                  <c:v>0.42998713041923975</c:v>
                </c:pt>
                <c:pt idx="16">
                  <c:v>0.40656965974059911</c:v>
                </c:pt>
                <c:pt idx="17">
                  <c:v>0.3844275247503785</c:v>
                </c:pt>
                <c:pt idx="18">
                  <c:v>0.36349126956495681</c:v>
                </c:pt>
                <c:pt idx="19">
                  <c:v>0.34369522092815236</c:v>
                </c:pt>
                <c:pt idx="20">
                  <c:v>0.32497728220606398</c:v>
                </c:pt>
                <c:pt idx="21">
                  <c:v>0.3072787386011312</c:v>
                </c:pt>
                <c:pt idx="22">
                  <c:v>0.29054407297440454</c:v>
                </c:pt>
                <c:pt idx="23">
                  <c:v>0.27472079169829472</c:v>
                </c:pt>
                <c:pt idx="24">
                  <c:v>0.25975925999353111</c:v>
                </c:pt>
                <c:pt idx="25">
                  <c:v>0.24561254623381221</c:v>
                </c:pt>
                <c:pt idx="26">
                  <c:v>0.23223627472975877</c:v>
                </c:pt>
                <c:pt idx="27">
                  <c:v>0.21958848653038082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1-481C-A365-F4D3AB63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5416"/>
        <c:axId val="600708944"/>
      </c:lineChart>
      <c:catAx>
        <c:axId val="6007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8944"/>
        <c:crosses val="autoZero"/>
        <c:auto val="1"/>
        <c:lblAlgn val="ctr"/>
        <c:lblOffset val="100"/>
        <c:noMultiLvlLbl val="0"/>
      </c:catAx>
      <c:valAx>
        <c:axId val="600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EstMod!$I$3:$I$13</c:f>
              <c:numCache>
                <c:formatCode>General</c:formatCode>
                <c:ptCount val="11"/>
                <c:pt idx="0">
                  <c:v>0</c:v>
                </c:pt>
                <c:pt idx="1">
                  <c:v>7.8100589751872729E-4</c:v>
                </c:pt>
                <c:pt idx="2">
                  <c:v>1.2437656054784862E-2</c:v>
                </c:pt>
                <c:pt idx="3">
                  <c:v>6.1699588260176963E-2</c:v>
                </c:pt>
                <c:pt idx="4">
                  <c:v>0.18462730240000003</c:v>
                </c:pt>
                <c:pt idx="5">
                  <c:v>0.40178117853884032</c:v>
                </c:pt>
                <c:pt idx="6">
                  <c:v>0.67740809984384742</c:v>
                </c:pt>
                <c:pt idx="7">
                  <c:v>0.9047517180591802</c:v>
                </c:pt>
                <c:pt idx="8">
                  <c:v>0.99395338239999997</c:v>
                </c:pt>
                <c:pt idx="9">
                  <c:v>0.99975239010000005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B04-8F6B-C8FC486166F9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EstMod!$J$3:$J$13</c:f>
              <c:numCache>
                <c:formatCode>General</c:formatCode>
                <c:ptCount val="11"/>
                <c:pt idx="0">
                  <c:v>0</c:v>
                </c:pt>
                <c:pt idx="1">
                  <c:v>4.9999000009681716E-5</c:v>
                </c:pt>
                <c:pt idx="2">
                  <c:v>1.5989763276273994E-3</c:v>
                </c:pt>
                <c:pt idx="3">
                  <c:v>1.2091094314815809E-2</c:v>
                </c:pt>
                <c:pt idx="4">
                  <c:v>5.0162106555248775E-2</c:v>
                </c:pt>
                <c:pt idx="5">
                  <c:v>0.14678481221199036</c:v>
                </c:pt>
                <c:pt idx="6">
                  <c:v>0.33285570895256</c:v>
                </c:pt>
                <c:pt idx="7">
                  <c:v>0.60149485964651572</c:v>
                </c:pt>
                <c:pt idx="8">
                  <c:v>0.86263371484427331</c:v>
                </c:pt>
                <c:pt idx="9">
                  <c:v>0.98848344576282887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B-4B04-8F6B-C8FC4861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4632"/>
        <c:axId val="600707768"/>
      </c:lineChart>
      <c:catAx>
        <c:axId val="60070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Both Reduction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7768"/>
        <c:crosses val="autoZero"/>
        <c:auto val="1"/>
        <c:lblAlgn val="ctr"/>
        <c:lblOffset val="100"/>
        <c:noMultiLvlLbl val="0"/>
      </c:catAx>
      <c:valAx>
        <c:axId val="600707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reduction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EstMod!$E$1:$E$2</c:f>
              <c:strCache>
                <c:ptCount val="2"/>
                <c:pt idx="0">
                  <c:v>Modified</c:v>
                </c:pt>
                <c:pt idx="1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EstMod!$E$3:$E$13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5-4449-B344-1E7470DD56F8}"/>
            </c:ext>
          </c:extLst>
        </c:ser>
        <c:ser>
          <c:idx val="1"/>
          <c:order val="1"/>
          <c:tx>
            <c:strRef>
              <c:f>EstMod!$F$1:$F$2</c:f>
              <c:strCache>
                <c:ptCount val="2"/>
                <c:pt idx="0">
                  <c:v>Modified</c:v>
                </c:pt>
                <c:pt idx="1">
                  <c:v>fRad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EstMod!$F$3:$F$13</c:f>
              <c:numCache>
                <c:formatCode>General</c:formatCode>
                <c:ptCount val="1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0.14062499999999997</c:v>
                </c:pt>
                <c:pt idx="4">
                  <c:v>0.25</c:v>
                </c:pt>
                <c:pt idx="5">
                  <c:v>0.39062499999999994</c:v>
                </c:pt>
                <c:pt idx="6">
                  <c:v>0.56249999999999989</c:v>
                </c:pt>
                <c:pt idx="7">
                  <c:v>0.76562499999999978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5-4449-B344-1E7470DD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0120"/>
        <c:axId val="600680328"/>
      </c:lineChart>
      <c:catAx>
        <c:axId val="60071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328"/>
        <c:crosses val="autoZero"/>
        <c:auto val="1"/>
        <c:lblAlgn val="ctr"/>
        <c:lblOffset val="100"/>
        <c:noMultiLvlLbl val="0"/>
      </c:catAx>
      <c:valAx>
        <c:axId val="600680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PnET-II'!$V$1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PnET-II'!$V$2:$V$13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1.6111174808853779</c:v>
                </c:pt>
                <c:pt idx="2">
                  <c:v>2.2784641920444764</c:v>
                </c:pt>
                <c:pt idx="3">
                  <c:v>3.2222349617707553</c:v>
                </c:pt>
                <c:pt idx="4">
                  <c:v>4.5569283840889527</c:v>
                </c:pt>
                <c:pt idx="5">
                  <c:v>6.4444699235415106</c:v>
                </c:pt>
                <c:pt idx="6">
                  <c:v>9.1138567681779055</c:v>
                </c:pt>
                <c:pt idx="7">
                  <c:v>12.888939847083021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F-41C4-9282-D35DAF292220}"/>
            </c:ext>
          </c:extLst>
        </c:ser>
        <c:ser>
          <c:idx val="1"/>
          <c:order val="1"/>
          <c:tx>
            <c:strRef>
              <c:f>'PnET-Succ v. PnET-II'!$V$20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PnET-II'!$V$21:$V$32</c:f>
              <c:numCache>
                <c:formatCode>General</c:formatCode>
                <c:ptCount val="12"/>
                <c:pt idx="0">
                  <c:v>1.2083381106640332</c:v>
                </c:pt>
                <c:pt idx="1">
                  <c:v>1.7088481440333574</c:v>
                </c:pt>
                <c:pt idx="2">
                  <c:v>2.4166762213280659</c:v>
                </c:pt>
                <c:pt idx="3">
                  <c:v>3.4176962880667152</c:v>
                </c:pt>
                <c:pt idx="4">
                  <c:v>4.8333524426561318</c:v>
                </c:pt>
                <c:pt idx="5">
                  <c:v>6.8353925761334304</c:v>
                </c:pt>
                <c:pt idx="6">
                  <c:v>9.6667048853122637</c:v>
                </c:pt>
                <c:pt idx="7">
                  <c:v>13.670785152266861</c:v>
                </c:pt>
                <c:pt idx="8">
                  <c:v>19.333409770624527</c:v>
                </c:pt>
                <c:pt idx="9">
                  <c:v>27.341570304533718</c:v>
                </c:pt>
                <c:pt idx="10">
                  <c:v>38.666819541249055</c:v>
                </c:pt>
                <c:pt idx="11">
                  <c:v>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F-41C4-9282-D35DAF29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712"/>
        <c:axId val="597978832"/>
      </c:lineChart>
      <c:catAx>
        <c:axId val="5979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78832"/>
        <c:crosses val="autoZero"/>
        <c:auto val="1"/>
        <c:lblAlgn val="ctr"/>
        <c:lblOffset val="100"/>
        <c:noMultiLvlLbl val="0"/>
      </c:catAx>
      <c:valAx>
        <c:axId val="59797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EstMod!$I$14:$I$24</c:f>
              <c:numCache>
                <c:formatCode>General</c:formatCode>
                <c:ptCount val="11"/>
                <c:pt idx="0">
                  <c:v>0</c:v>
                </c:pt>
                <c:pt idx="1">
                  <c:v>7.5721443630754948E-2</c:v>
                </c:pt>
                <c:pt idx="2">
                  <c:v>0.27580356597900391</c:v>
                </c:pt>
                <c:pt idx="3">
                  <c:v>0.53127990011125803</c:v>
                </c:pt>
                <c:pt idx="4">
                  <c:v>0.7626953125</c:v>
                </c:pt>
                <c:pt idx="5">
                  <c:v>0.91597216669470072</c:v>
                </c:pt>
                <c:pt idx="6">
                  <c:v>0.98397159576416016</c:v>
                </c:pt>
                <c:pt idx="7">
                  <c:v>0.99929277691990137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9-4CBC-8C7B-172A6D34A20E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1.5711704028924411E-2</c:v>
                </c:pt>
                <c:pt idx="2">
                  <c:v>8.6299452272002308E-2</c:v>
                </c:pt>
                <c:pt idx="3">
                  <c:v>0.22334378669281185</c:v>
                </c:pt>
                <c:pt idx="4">
                  <c:v>0.41341289990685182</c:v>
                </c:pt>
                <c:pt idx="5">
                  <c:v>0.62191601475488401</c:v>
                </c:pt>
                <c:pt idx="6">
                  <c:v>0.80496453818258329</c:v>
                </c:pt>
                <c:pt idx="7">
                  <c:v>0.92848540045729167</c:v>
                </c:pt>
                <c:pt idx="8">
                  <c:v>0.98571044020355092</c:v>
                </c:pt>
                <c:pt idx="9">
                  <c:v>0.99933414613362181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9-4CBC-8C7B-172A6D34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9344"/>
        <c:axId val="600678760"/>
      </c:lineChart>
      <c:catAx>
        <c:axId val="6006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 (given fWater =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8760"/>
        <c:crosses val="autoZero"/>
        <c:auto val="1"/>
        <c:lblAlgn val="ctr"/>
        <c:lblOffset val="100"/>
        <c:noMultiLvlLbl val="0"/>
      </c:catAx>
      <c:valAx>
        <c:axId val="60067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AdjFolN!$G$2</c:f>
              <c:strCache>
                <c:ptCount val="1"/>
                <c:pt idx="0">
                  <c:v>ModAdjFolN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AdjFolN!$G$3:$G$13</c:f>
              <c:numCache>
                <c:formatCode>General</c:formatCode>
                <c:ptCount val="11"/>
                <c:pt idx="0">
                  <c:v>2.6</c:v>
                </c:pt>
                <c:pt idx="1">
                  <c:v>2.6000399999999999</c:v>
                </c:pt>
                <c:pt idx="2">
                  <c:v>2.6006400000000003</c:v>
                </c:pt>
                <c:pt idx="3">
                  <c:v>2.60324</c:v>
                </c:pt>
                <c:pt idx="4">
                  <c:v>2.6102400000000001</c:v>
                </c:pt>
                <c:pt idx="5">
                  <c:v>2.625</c:v>
                </c:pt>
                <c:pt idx="6">
                  <c:v>2.65184</c:v>
                </c:pt>
                <c:pt idx="7">
                  <c:v>2.69604</c:v>
                </c:pt>
                <c:pt idx="8">
                  <c:v>2.7638400000000001</c:v>
                </c:pt>
                <c:pt idx="9">
                  <c:v>2.8624400000000003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2-4D9E-AF79-A355EFD1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9152"/>
        <c:axId val="600679936"/>
      </c:lineChart>
      <c:catAx>
        <c:axId val="6006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936"/>
        <c:crosses val="autoZero"/>
        <c:auto val="1"/>
        <c:lblAlgn val="ctr"/>
        <c:lblOffset val="100"/>
        <c:noMultiLvlLbl val="0"/>
      </c:catAx>
      <c:valAx>
        <c:axId val="60067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ModAdjFolN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Deciduous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AdjFracFol!$C$16:$C$20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5-47DD-888A-22B71D51CD7E}"/>
            </c:ext>
          </c:extLst>
        </c:ser>
        <c:ser>
          <c:idx val="1"/>
          <c:order val="1"/>
          <c:tx>
            <c:strRef>
              <c:f>AdjFracFol!$D$15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AdjFracFol!$D$16:$D$20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5-47DD-888A-22B71D51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6600"/>
        <c:axId val="600680720"/>
      </c:lineChart>
      <c:catAx>
        <c:axId val="6006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Shade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720"/>
        <c:crosses val="autoZero"/>
        <c:auto val="1"/>
        <c:lblAlgn val="ctr"/>
        <c:lblOffset val="100"/>
        <c:noMultiLvlLbl val="0"/>
      </c:catAx>
      <c:valAx>
        <c:axId val="600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FracFol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AdjFracFol!$G$1</c:f>
              <c:strCache>
                <c:ptCount val="1"/>
                <c:pt idx="0">
                  <c:v>AdjFracFol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AdjFracFol!$A$2:$A$12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AdjFracFol!$G$2:$G$12</c:f>
              <c:numCache>
                <c:formatCode>General</c:formatCode>
                <c:ptCount val="11"/>
                <c:pt idx="0">
                  <c:v>0.02</c:v>
                </c:pt>
                <c:pt idx="1">
                  <c:v>2.001E-2</c:v>
                </c:pt>
                <c:pt idx="2">
                  <c:v>2.0080000000000001E-2</c:v>
                </c:pt>
                <c:pt idx="3">
                  <c:v>2.027E-2</c:v>
                </c:pt>
                <c:pt idx="4">
                  <c:v>2.0640000000000002E-2</c:v>
                </c:pt>
                <c:pt idx="5">
                  <c:v>2.1250000000000002E-2</c:v>
                </c:pt>
                <c:pt idx="6">
                  <c:v>2.2159999999999999E-2</c:v>
                </c:pt>
                <c:pt idx="7">
                  <c:v>2.3429999999999999E-2</c:v>
                </c:pt>
                <c:pt idx="8">
                  <c:v>2.512E-2</c:v>
                </c:pt>
                <c:pt idx="9">
                  <c:v>2.7290000000000002E-2</c:v>
                </c:pt>
                <c:pt idx="1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6-4215-B8CF-17E6C313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4640"/>
        <c:axId val="600686208"/>
      </c:lineChart>
      <c:catAx>
        <c:axId val="6006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208"/>
        <c:crosses val="autoZero"/>
        <c:auto val="1"/>
        <c:lblAlgn val="ctr"/>
        <c:lblOffset val="100"/>
        <c:noMultiLvlLbl val="0"/>
      </c:catAx>
      <c:valAx>
        <c:axId val="600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CO2HalfSatEff!$C$1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CO2HalfSatEff!$C$7:$C$21</c:f>
              <c:numCache>
                <c:formatCode>General</c:formatCode>
                <c:ptCount val="15"/>
                <c:pt idx="0">
                  <c:v>304.5</c:v>
                </c:pt>
                <c:pt idx="1">
                  <c:v>302</c:v>
                </c:pt>
                <c:pt idx="2">
                  <c:v>299.5</c:v>
                </c:pt>
                <c:pt idx="3">
                  <c:v>297</c:v>
                </c:pt>
                <c:pt idx="4">
                  <c:v>294.5</c:v>
                </c:pt>
                <c:pt idx="5">
                  <c:v>292</c:v>
                </c:pt>
                <c:pt idx="6">
                  <c:v>289.5</c:v>
                </c:pt>
                <c:pt idx="7">
                  <c:v>287</c:v>
                </c:pt>
                <c:pt idx="8">
                  <c:v>284.5</c:v>
                </c:pt>
                <c:pt idx="9">
                  <c:v>282</c:v>
                </c:pt>
                <c:pt idx="10">
                  <c:v>279.5</c:v>
                </c:pt>
                <c:pt idx="11">
                  <c:v>277</c:v>
                </c:pt>
                <c:pt idx="12">
                  <c:v>274.5</c:v>
                </c:pt>
                <c:pt idx="13">
                  <c:v>272</c:v>
                </c:pt>
                <c:pt idx="14">
                  <c:v>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9-4B49-8A35-E540A05C216C}"/>
            </c:ext>
          </c:extLst>
        </c:ser>
        <c:ser>
          <c:idx val="1"/>
          <c:order val="1"/>
          <c:tx>
            <c:strRef>
              <c:f>CO2HalfSatEff!$D$1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CO2HalfSatEff!$D$7:$D$21</c:f>
              <c:numCache>
                <c:formatCode>General</c:formatCode>
                <c:ptCount val="15"/>
                <c:pt idx="0">
                  <c:v>254</c:v>
                </c:pt>
                <c:pt idx="1">
                  <c:v>252</c:v>
                </c:pt>
                <c:pt idx="2">
                  <c:v>250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238</c:v>
                </c:pt>
                <c:pt idx="9">
                  <c:v>236</c:v>
                </c:pt>
                <c:pt idx="10">
                  <c:v>234</c:v>
                </c:pt>
                <c:pt idx="11">
                  <c:v>232</c:v>
                </c:pt>
                <c:pt idx="12">
                  <c:v>230</c:v>
                </c:pt>
                <c:pt idx="13">
                  <c:v>228</c:v>
                </c:pt>
                <c:pt idx="1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9-4B49-8A35-E540A05C216C}"/>
            </c:ext>
          </c:extLst>
        </c:ser>
        <c:ser>
          <c:idx val="2"/>
          <c:order val="2"/>
          <c:tx>
            <c:strRef>
              <c:f>CO2HalfSatEff!$E$1</c:f>
              <c:strCache>
                <c:ptCount val="1"/>
                <c:pt idx="0">
                  <c:v>Species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CO2HalfSatEff!$E$7:$E$21</c:f>
              <c:numCache>
                <c:formatCode>General</c:formatCode>
                <c:ptCount val="15"/>
                <c:pt idx="0">
                  <c:v>202.5</c:v>
                </c:pt>
                <c:pt idx="1">
                  <c:v>201</c:v>
                </c:pt>
                <c:pt idx="2">
                  <c:v>199.5</c:v>
                </c:pt>
                <c:pt idx="3">
                  <c:v>198</c:v>
                </c:pt>
                <c:pt idx="4">
                  <c:v>196.5</c:v>
                </c:pt>
                <c:pt idx="5">
                  <c:v>195</c:v>
                </c:pt>
                <c:pt idx="6">
                  <c:v>193.5</c:v>
                </c:pt>
                <c:pt idx="7">
                  <c:v>192</c:v>
                </c:pt>
                <c:pt idx="8">
                  <c:v>190.5</c:v>
                </c:pt>
                <c:pt idx="9">
                  <c:v>189</c:v>
                </c:pt>
                <c:pt idx="10">
                  <c:v>187.5</c:v>
                </c:pt>
                <c:pt idx="11">
                  <c:v>186</c:v>
                </c:pt>
                <c:pt idx="12">
                  <c:v>184.5</c:v>
                </c:pt>
                <c:pt idx="13">
                  <c:v>183</c:v>
                </c:pt>
                <c:pt idx="14">
                  <c:v>181.5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9-4B49-8A35-E540A05C216C}"/>
            </c:ext>
          </c:extLst>
        </c:ser>
        <c:ser>
          <c:idx val="3"/>
          <c:order val="3"/>
          <c:tx>
            <c:strRef>
              <c:f>CO2HalfSatEff!$F$1</c:f>
              <c:strCache>
                <c:ptCount val="1"/>
                <c:pt idx="0">
                  <c:v>Species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CO2HalfSatEff!$F$7:$F$21</c:f>
              <c:numCache>
                <c:formatCode>General</c:formatCode>
                <c:ptCount val="15"/>
                <c:pt idx="0">
                  <c:v>152</c:v>
                </c:pt>
                <c:pt idx="1">
                  <c:v>151</c:v>
                </c:pt>
                <c:pt idx="2">
                  <c:v>150</c:v>
                </c:pt>
                <c:pt idx="3">
                  <c:v>149</c:v>
                </c:pt>
                <c:pt idx="4">
                  <c:v>148</c:v>
                </c:pt>
                <c:pt idx="5">
                  <c:v>147</c:v>
                </c:pt>
                <c:pt idx="6">
                  <c:v>146</c:v>
                </c:pt>
                <c:pt idx="7">
                  <c:v>145</c:v>
                </c:pt>
                <c:pt idx="8">
                  <c:v>144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140</c:v>
                </c:pt>
                <c:pt idx="13">
                  <c:v>139</c:v>
                </c:pt>
                <c:pt idx="1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9-4B49-8A35-E540A05C216C}"/>
            </c:ext>
          </c:extLst>
        </c:ser>
        <c:ser>
          <c:idx val="4"/>
          <c:order val="4"/>
          <c:tx>
            <c:strRef>
              <c:f>CO2HalfSatEff!$G$1</c:f>
              <c:strCache>
                <c:ptCount val="1"/>
                <c:pt idx="0">
                  <c:v>Species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CO2HalfSatEff!$G$7:$G$21</c:f>
              <c:numCache>
                <c:formatCode>General</c:formatCode>
                <c:ptCount val="15"/>
                <c:pt idx="0">
                  <c:v>101.9</c:v>
                </c:pt>
                <c:pt idx="1">
                  <c:v>101.4</c:v>
                </c:pt>
                <c:pt idx="2">
                  <c:v>100.9</c:v>
                </c:pt>
                <c:pt idx="3">
                  <c:v>100.4</c:v>
                </c:pt>
                <c:pt idx="4">
                  <c:v>99.9</c:v>
                </c:pt>
                <c:pt idx="5">
                  <c:v>99.4</c:v>
                </c:pt>
                <c:pt idx="6">
                  <c:v>98.9</c:v>
                </c:pt>
                <c:pt idx="7">
                  <c:v>98.4</c:v>
                </c:pt>
                <c:pt idx="8">
                  <c:v>97.9</c:v>
                </c:pt>
                <c:pt idx="9">
                  <c:v>97.4</c:v>
                </c:pt>
                <c:pt idx="10">
                  <c:v>96.9</c:v>
                </c:pt>
                <c:pt idx="11">
                  <c:v>96.4</c:v>
                </c:pt>
                <c:pt idx="12">
                  <c:v>95.9</c:v>
                </c:pt>
                <c:pt idx="13">
                  <c:v>95.4</c:v>
                </c:pt>
                <c:pt idx="14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9-4B49-8A35-E540A05C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7384"/>
        <c:axId val="600679544"/>
      </c:lineChart>
      <c:catAx>
        <c:axId val="6006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544"/>
        <c:crosses val="autoZero"/>
        <c:auto val="1"/>
        <c:lblAlgn val="ctr"/>
        <c:lblOffset val="100"/>
        <c:noMultiLvlLbl val="0"/>
      </c:catAx>
      <c:valAx>
        <c:axId val="600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PnET-II'!$W$1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PnET-II'!$W$2:$W$13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5.5407339804180413</c:v>
                </c:pt>
                <c:pt idx="2">
                  <c:v>22.172534129006447</c:v>
                </c:pt>
                <c:pt idx="3">
                  <c:v>32.756703034824405</c:v>
                </c:pt>
                <c:pt idx="4">
                  <c:v>37.186366691079755</c:v>
                </c:pt>
                <c:pt idx="5">
                  <c:v>35.661107912837991</c:v>
                </c:pt>
                <c:pt idx="6">
                  <c:v>29.25440845883805</c:v>
                </c:pt>
                <c:pt idx="7">
                  <c:v>21.048055067914358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D-4C3E-9E9E-BD4BBB1D273C}"/>
            </c:ext>
          </c:extLst>
        </c:ser>
        <c:ser>
          <c:idx val="1"/>
          <c:order val="1"/>
          <c:tx>
            <c:strRef>
              <c:f>'PnET-Succ v. PnET-II'!$R$20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PnET-II'!$R$21:$R$32</c:f>
              <c:numCache>
                <c:formatCode>General</c:formatCode>
                <c:ptCount val="12"/>
                <c:pt idx="0">
                  <c:v>0</c:v>
                </c:pt>
                <c:pt idx="1">
                  <c:v>4.3156538231398791</c:v>
                </c:pt>
                <c:pt idx="2">
                  <c:v>21.846903340674412</c:v>
                </c:pt>
                <c:pt idx="3">
                  <c:v>32.487914880359021</c:v>
                </c:pt>
                <c:pt idx="4">
                  <c:v>35.892382137689886</c:v>
                </c:pt>
                <c:pt idx="5">
                  <c:v>32.13830178822613</c:v>
                </c:pt>
                <c:pt idx="6">
                  <c:v>22.154606859726162</c:v>
                </c:pt>
                <c:pt idx="7">
                  <c:v>8.975026742914471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D-4C3E-9E9E-BD4BBB1D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6672"/>
        <c:axId val="597988240"/>
      </c:lineChart>
      <c:catAx>
        <c:axId val="5979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8240"/>
        <c:crosses val="autoZero"/>
        <c:auto val="1"/>
        <c:lblAlgn val="ctr"/>
        <c:lblOffset val="100"/>
        <c:noMultiLvlLbl val="0"/>
      </c:catAx>
      <c:valAx>
        <c:axId val="59798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PnET-II'!$Z$1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PnET-II'!$Z$2:$Z$13</c:f>
              <c:numCache>
                <c:formatCode>General</c:formatCode>
                <c:ptCount val="12"/>
                <c:pt idx="0">
                  <c:v>0.14113837077714028</c:v>
                </c:pt>
                <c:pt idx="1">
                  <c:v>0.95793891837537359</c:v>
                </c:pt>
                <c:pt idx="2">
                  <c:v>5.2722592126823011</c:v>
                </c:pt>
                <c:pt idx="3">
                  <c:v>10.567008000359507</c:v>
                </c:pt>
                <c:pt idx="4">
                  <c:v>16.066512336225557</c:v>
                </c:pt>
                <c:pt idx="5">
                  <c:v>20.387454119152032</c:v>
                </c:pt>
                <c:pt idx="6">
                  <c:v>21.879529332053057</c:v>
                </c:pt>
                <c:pt idx="7">
                  <c:v>20.373547637140483</c:v>
                </c:pt>
                <c:pt idx="8">
                  <c:v>22.603999785800536</c:v>
                </c:pt>
                <c:pt idx="9">
                  <c:v>40.563106689940419</c:v>
                </c:pt>
                <c:pt idx="10">
                  <c:v>72.133112928584637</c:v>
                </c:pt>
                <c:pt idx="11">
                  <c:v>127.17598563657056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8-4C8C-9AAE-B5EC515D86E7}"/>
            </c:ext>
          </c:extLst>
        </c:ser>
        <c:ser>
          <c:idx val="1"/>
          <c:order val="1"/>
          <c:tx>
            <c:strRef>
              <c:f>'PnET-Succ v. PnET-II'!$Z$20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PnET-II'!$Z$21:$Z$32</c:f>
              <c:numCache>
                <c:formatCode>General</c:formatCode>
                <c:ptCount val="12"/>
                <c:pt idx="0">
                  <c:v>0</c:v>
                </c:pt>
                <c:pt idx="1">
                  <c:v>0.77952907928757054</c:v>
                </c:pt>
                <c:pt idx="2">
                  <c:v>5.3223291570019988</c:v>
                </c:pt>
                <c:pt idx="3">
                  <c:v>10.480299439500437</c:v>
                </c:pt>
                <c:pt idx="4">
                  <c:v>15.507441347585232</c:v>
                </c:pt>
                <c:pt idx="5">
                  <c:v>18.373465983625362</c:v>
                </c:pt>
                <c:pt idx="6">
                  <c:v>16.569549553856724</c:v>
                </c:pt>
                <c:pt idx="7">
                  <c:v>8.6874124141816313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8-4C8C-9AAE-B5EC515D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1184"/>
        <c:axId val="597980008"/>
      </c:lineChart>
      <c:catAx>
        <c:axId val="5979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0008"/>
        <c:crosses val="autoZero"/>
        <c:auto val="1"/>
        <c:lblAlgn val="ctr"/>
        <c:lblOffset val="100"/>
        <c:noMultiLvlLbl val="0"/>
      </c:catAx>
      <c:valAx>
        <c:axId val="597980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PnET-II'!$K$2:$K$13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3C-AA22-B5CD8C68D2D6}"/>
            </c:ext>
          </c:extLst>
        </c:ser>
        <c:ser>
          <c:idx val="1"/>
          <c:order val="1"/>
          <c:tx>
            <c:strRef>
              <c:f>'PnET-Succ v. PnET-II'!$J$20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PnET-II'!$J$21:$J$32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0.97222222222222221</c:v>
                </c:pt>
                <c:pt idx="6">
                  <c:v>0.80246913580246915</c:v>
                </c:pt>
                <c:pt idx="7">
                  <c:v>0.47839506172839508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3C-AA22-B5CD8C68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7064"/>
        <c:axId val="597981576"/>
      </c:lineChart>
      <c:catAx>
        <c:axId val="5979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1576"/>
        <c:crosses val="autoZero"/>
        <c:auto val="1"/>
        <c:lblAlgn val="ctr"/>
        <c:lblOffset val="100"/>
        <c:noMultiLvlLbl val="0"/>
      </c:catAx>
      <c:valAx>
        <c:axId val="5979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Amax (maxPsn) is a function of foliar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'Amax A&amp;B worksheet'!$B$1</c:f>
              <c:strCache>
                <c:ptCount val="1"/>
                <c:pt idx="0">
                  <c:v>Amax-decid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worksheet'!$B$2:$B$9</c:f>
              <c:numCache>
                <c:formatCode>General</c:formatCode>
                <c:ptCount val="8"/>
                <c:pt idx="0">
                  <c:v>-46</c:v>
                </c:pt>
                <c:pt idx="1">
                  <c:v>-10.049999999999997</c:v>
                </c:pt>
                <c:pt idx="2">
                  <c:v>25.900000000000006</c:v>
                </c:pt>
                <c:pt idx="3">
                  <c:v>61.850000000000009</c:v>
                </c:pt>
                <c:pt idx="4">
                  <c:v>97.800000000000011</c:v>
                </c:pt>
                <c:pt idx="5">
                  <c:v>133.75</c:v>
                </c:pt>
                <c:pt idx="6">
                  <c:v>169.70000000000002</c:v>
                </c:pt>
                <c:pt idx="7">
                  <c:v>205.65000000000003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1-4571-8FAE-C84860754DBF}"/>
            </c:ext>
          </c:extLst>
        </c:ser>
        <c:ser>
          <c:idx val="1"/>
          <c:order val="1"/>
          <c:tx>
            <c:strRef>
              <c:f>'Amax A&amp;B worksheet'!$C$1</c:f>
              <c:strCache>
                <c:ptCount val="1"/>
                <c:pt idx="0">
                  <c:v>Amax-evergreen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worksheet'!$C$2:$C$9</c:f>
              <c:numCache>
                <c:formatCode>General</c:formatCode>
                <c:ptCount val="8"/>
                <c:pt idx="0">
                  <c:v>5.3</c:v>
                </c:pt>
                <c:pt idx="1">
                  <c:v>16.05</c:v>
                </c:pt>
                <c:pt idx="2">
                  <c:v>26.8</c:v>
                </c:pt>
                <c:pt idx="3">
                  <c:v>37.549999999999997</c:v>
                </c:pt>
                <c:pt idx="4">
                  <c:v>48.3</c:v>
                </c:pt>
                <c:pt idx="5">
                  <c:v>59.05</c:v>
                </c:pt>
                <c:pt idx="6">
                  <c:v>69.8</c:v>
                </c:pt>
                <c:pt idx="7">
                  <c:v>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1-4571-8FAE-C84860754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2360"/>
        <c:axId val="597989024"/>
      </c:lineChart>
      <c:catAx>
        <c:axId val="59798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24"/>
        <c:crosses val="autoZero"/>
        <c:auto val="1"/>
        <c:lblAlgn val="ctr"/>
        <c:lblOffset val="100"/>
        <c:noMultiLvlLbl val="0"/>
      </c:catAx>
      <c:valAx>
        <c:axId val="597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DTemp!$J$1</c:f>
              <c:strCache>
                <c:ptCount val="1"/>
                <c:pt idx="0">
                  <c:v>Old Dtemp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0.96155324875048054</c:v>
                </c:pt>
                <c:pt idx="8">
                  <c:v>0.84621299500192237</c:v>
                </c:pt>
                <c:pt idx="9">
                  <c:v>0.65397923875432529</c:v>
                </c:pt>
                <c:pt idx="10">
                  <c:v>0.38485198000768933</c:v>
                </c:pt>
                <c:pt idx="11">
                  <c:v>3.8831218762014612E-2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A-4238-ADDB-DE974F8F2303}"/>
            </c:ext>
          </c:extLst>
        </c:ser>
        <c:ser>
          <c:idx val="1"/>
          <c:order val="1"/>
          <c:tx>
            <c:strRef>
              <c:f>DTemp!$K$1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0.69135802469135799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A-4238-ADDB-DE974F8F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224"/>
        <c:axId val="597978048"/>
      </c:lineChart>
      <c:catAx>
        <c:axId val="59797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8048"/>
        <c:crosses val="autoZero"/>
        <c:auto val="1"/>
        <c:lblAlgn val="ctr"/>
        <c:lblOffset val="100"/>
        <c:noMultiLvlLbl val="0"/>
      </c:catAx>
      <c:valAx>
        <c:axId val="5979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DTemp!$T$1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16.299447514135025</c:v>
                </c:pt>
                <c:pt idx="8">
                  <c:v>11.287389130830476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0-4E3F-B26D-575C1FC14873}"/>
            </c:ext>
          </c:extLst>
        </c:ser>
        <c:ser>
          <c:idx val="1"/>
          <c:order val="1"/>
          <c:tx>
            <c:strRef>
              <c:f>DTemp!$U$1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DTemp!$U$2:$U$13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13.182218727949152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0-4E3F-B26D-575C1FC1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616"/>
        <c:axId val="372671472"/>
      </c:lineChart>
      <c:catAx>
        <c:axId val="597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1472"/>
        <c:crosses val="autoZero"/>
        <c:auto val="1"/>
        <c:lblAlgn val="ctr"/>
        <c:lblOffset val="100"/>
        <c:noMultiLvlLbl val="0"/>
      </c:catAx>
      <c:valAx>
        <c:axId val="372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34</xdr:row>
      <xdr:rowOff>168587</xdr:rowOff>
    </xdr:from>
    <xdr:to>
      <xdr:col>23</xdr:col>
      <xdr:colOff>985457</xdr:colOff>
      <xdr:row>48</xdr:row>
      <xdr:rowOff>115655</xdr:rowOff>
    </xdr:to>
    <xdr:graphicFrame macro="">
      <xdr:nvGraphicFramePr>
        <xdr:cNvPr id="2" name="图表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34</xdr:row>
      <xdr:rowOff>171931</xdr:rowOff>
    </xdr:from>
    <xdr:to>
      <xdr:col>25</xdr:col>
      <xdr:colOff>1303844</xdr:colOff>
      <xdr:row>48</xdr:row>
      <xdr:rowOff>103895</xdr:rowOff>
    </xdr:to>
    <xdr:graphicFrame macro="">
      <xdr:nvGraphicFramePr>
        <xdr:cNvPr id="3" name="图表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34</xdr:row>
      <xdr:rowOff>167127</xdr:rowOff>
    </xdr:from>
    <xdr:to>
      <xdr:col>31</xdr:col>
      <xdr:colOff>71316</xdr:colOff>
      <xdr:row>48</xdr:row>
      <xdr:rowOff>115654</xdr:rowOff>
    </xdr:to>
    <xdr:graphicFrame macro="">
      <xdr:nvGraphicFramePr>
        <xdr:cNvPr id="4" name="图表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34</xdr:row>
      <xdr:rowOff>167125</xdr:rowOff>
    </xdr:from>
    <xdr:to>
      <xdr:col>36</xdr:col>
      <xdr:colOff>15747</xdr:colOff>
      <xdr:row>48</xdr:row>
      <xdr:rowOff>115654</xdr:rowOff>
    </xdr:to>
    <xdr:graphicFrame macro="">
      <xdr:nvGraphicFramePr>
        <xdr:cNvPr id="5" name="图表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34</xdr:row>
      <xdr:rowOff>183023</xdr:rowOff>
    </xdr:from>
    <xdr:to>
      <xdr:col>42</xdr:col>
      <xdr:colOff>10824</xdr:colOff>
      <xdr:row>48</xdr:row>
      <xdr:rowOff>117592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34</xdr:row>
      <xdr:rowOff>151432</xdr:rowOff>
    </xdr:from>
    <xdr:to>
      <xdr:col>19</xdr:col>
      <xdr:colOff>400482</xdr:colOff>
      <xdr:row>48</xdr:row>
      <xdr:rowOff>97415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228600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90487</xdr:rowOff>
    </xdr:from>
    <xdr:to>
      <xdr:col>11</xdr:col>
      <xdr:colOff>304800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7</xdr:row>
      <xdr:rowOff>69532</xdr:rowOff>
    </xdr:from>
    <xdr:to>
      <xdr:col>19</xdr:col>
      <xdr:colOff>335280</xdr:colOff>
      <xdr:row>21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245745</xdr:colOff>
      <xdr:row>22</xdr:row>
      <xdr:rowOff>23812</xdr:rowOff>
    </xdr:from>
    <xdr:to>
      <xdr:col>22</xdr:col>
      <xdr:colOff>251461</xdr:colOff>
      <xdr:row>36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451485</xdr:colOff>
      <xdr:row>7</xdr:row>
      <xdr:rowOff>66675</xdr:rowOff>
    </xdr:from>
    <xdr:to>
      <xdr:col>25</xdr:col>
      <xdr:colOff>502920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13</xdr:col>
      <xdr:colOff>594360</xdr:colOff>
      <xdr:row>13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68580</xdr:rowOff>
    </xdr:from>
    <xdr:to>
      <xdr:col>2</xdr:col>
      <xdr:colOff>36195</xdr:colOff>
      <xdr:row>36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15240</xdr:rowOff>
    </xdr:from>
    <xdr:to>
      <xdr:col>16</xdr:col>
      <xdr:colOff>327660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9</xdr:row>
      <xdr:rowOff>4762</xdr:rowOff>
    </xdr:from>
    <xdr:to>
      <xdr:col>18</xdr:col>
      <xdr:colOff>238125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4CF450A-9058-46F9-B9DC-E1DF30DC6233}"/>
            </a:ext>
          </a:extLst>
        </cdr:cNvPr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60960</xdr:rowOff>
    </xdr:from>
    <xdr:to>
      <xdr:col>10</xdr:col>
      <xdr:colOff>304800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</xdr:colOff>
      <xdr:row>21</xdr:row>
      <xdr:rowOff>66675</xdr:rowOff>
    </xdr:from>
    <xdr:to>
      <xdr:col>30</xdr:col>
      <xdr:colOff>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18</xdr:row>
      <xdr:rowOff>76200</xdr:rowOff>
    </xdr:from>
    <xdr:to>
      <xdr:col>24</xdr:col>
      <xdr:colOff>95250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17</xdr:col>
      <xdr:colOff>600075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23812</xdr:rowOff>
    </xdr:from>
    <xdr:to>
      <xdr:col>22</xdr:col>
      <xdr:colOff>361950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15</xdr:col>
      <xdr:colOff>185737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166687</xdr:rowOff>
    </xdr:from>
    <xdr:to>
      <xdr:col>19</xdr:col>
      <xdr:colOff>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19</xdr:row>
      <xdr:rowOff>176212</xdr:rowOff>
    </xdr:from>
    <xdr:to>
      <xdr:col>6</xdr:col>
      <xdr:colOff>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19</xdr:row>
      <xdr:rowOff>166687</xdr:rowOff>
    </xdr:from>
    <xdr:to>
      <xdr:col>12</xdr:col>
      <xdr:colOff>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16</xdr:row>
      <xdr:rowOff>119062</xdr:rowOff>
    </xdr:from>
    <xdr:to>
      <xdr:col>9</xdr:col>
      <xdr:colOff>171450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7D3C2-5A7F-4EF6-9A25-F765B1B24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66675</xdr:rowOff>
    </xdr:from>
    <xdr:to>
      <xdr:col>10</xdr:col>
      <xdr:colOff>438150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42862</xdr:rowOff>
    </xdr:from>
    <xdr:to>
      <xdr:col>20</xdr:col>
      <xdr:colOff>552450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558165</xdr:colOff>
      <xdr:row>10</xdr:row>
      <xdr:rowOff>33337</xdr:rowOff>
    </xdr:from>
    <xdr:to>
      <xdr:col>25</xdr:col>
      <xdr:colOff>502920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0.41042</cdr:x>
      <cdr:y>0.28125</cdr:y>
    </cdr:from>
    <cdr:to>
      <cdr:x>0.4125</cdr:x>
      <cdr:y>0.79167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6D8FA5C-2664-4335-B7A6-B14B54C78EF8}"/>
            </a:ext>
          </a:extLst>
        </cdr:cNvPr>
        <cdr:cNvCxnSpPr/>
      </cdr:nvCxnSpPr>
      <cdr:spPr>
        <a:xfrm xmlns:a="http://schemas.openxmlformats.org/drawingml/2006/main" flipH="1" flipV="1">
          <a:off x="1876425" y="771525"/>
          <a:ext cx="9525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0.52083</cdr:x>
      <cdr:y>0.27778</cdr:y>
    </cdr:from>
    <cdr:to>
      <cdr:x>0.52152</cdr:x>
      <cdr:y>0.79456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D2619EC-29C4-4A12-94AA-EC59B18BC29C}"/>
            </a:ext>
          </a:extLst>
        </cdr:cNvPr>
        <cdr:cNvCxnSpPr/>
      </cdr:nvCxnSpPr>
      <cdr:spPr>
        <a:xfrm xmlns:a="http://schemas.openxmlformats.org/drawingml/2006/main" flipH="1" flipV="1">
          <a:off x="2381250" y="762001"/>
          <a:ext cx="3160" cy="14176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fwater@ph=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77"/>
  <sheetViews>
    <sheetView topLeftCell="T1" zoomScale="88" zoomScaleNormal="88" workbookViewId="0">
      <selection activeCell="AD11" sqref="AD11"/>
    </sheetView>
  </sheetViews>
  <sheetFormatPr defaultColWidth="9.140625" defaultRowHeight="15"/>
  <cols>
    <col min="1" max="6" width="9.140625" style="24"/>
    <col min="7" max="8" width="0" style="24" hidden="1" customWidth="1"/>
    <col min="9" max="9" width="9.140625" style="24"/>
    <col min="10" max="10" width="14.42578125" style="24" customWidth="1"/>
    <col min="11" max="11" width="15" style="24" customWidth="1"/>
    <col min="12" max="12" width="15.140625" style="24" customWidth="1"/>
    <col min="13" max="13" width="19.42578125" style="24" customWidth="1"/>
    <col min="14" max="14" width="19.5703125" style="24" customWidth="1"/>
    <col min="15" max="15" width="21.5703125" style="24" customWidth="1"/>
    <col min="16" max="16" width="19.140625" style="24" customWidth="1"/>
    <col min="17" max="17" width="13.42578125" style="24" customWidth="1"/>
    <col min="18" max="18" width="19.140625" style="24" customWidth="1"/>
    <col min="19" max="20" width="13.5703125" style="24" customWidth="1"/>
    <col min="21" max="21" width="21.5703125" style="24" customWidth="1"/>
    <col min="22" max="22" width="15.42578125" style="24" customWidth="1"/>
    <col min="23" max="23" width="19.42578125" style="24" customWidth="1"/>
    <col min="24" max="24" width="21.42578125" style="24" customWidth="1"/>
    <col min="25" max="25" width="23.42578125" style="24" customWidth="1"/>
    <col min="26" max="26" width="20.5703125" style="24" customWidth="1"/>
    <col min="27" max="27" width="7" style="24" customWidth="1"/>
    <col min="28" max="28" width="14.85546875" style="24" customWidth="1"/>
    <col min="29" max="30" width="9.140625" style="24"/>
    <col min="31" max="31" width="13.5703125" style="24" customWidth="1"/>
    <col min="32" max="32" width="9.140625" style="24"/>
    <col min="33" max="33" width="14.140625" style="24" customWidth="1"/>
    <col min="34" max="34" width="10.42578125" style="24" bestFit="1" customWidth="1"/>
    <col min="35" max="35" width="9.140625" style="24"/>
    <col min="36" max="36" width="16.42578125" style="24" customWidth="1"/>
    <col min="37" max="37" width="16.85546875" style="24" customWidth="1"/>
    <col min="38" max="43" width="9.140625" style="24"/>
    <col min="44" max="44" width="11.5703125" style="24" customWidth="1"/>
    <col min="45" max="16384" width="9.140625" style="24"/>
  </cols>
  <sheetData>
    <row r="1" spans="1:57" ht="15.75" thickBot="1">
      <c r="A1" s="24" t="s">
        <v>57</v>
      </c>
      <c r="B1" s="24" t="s">
        <v>17</v>
      </c>
      <c r="C1" s="24" t="s">
        <v>18</v>
      </c>
      <c r="D1" s="24" t="s">
        <v>19</v>
      </c>
      <c r="E1" s="24" t="s">
        <v>16</v>
      </c>
      <c r="F1" s="24" t="s">
        <v>110</v>
      </c>
      <c r="G1" s="37" t="s">
        <v>103</v>
      </c>
      <c r="H1" s="37" t="s">
        <v>104</v>
      </c>
      <c r="I1" s="37" t="s">
        <v>108</v>
      </c>
      <c r="J1" s="18" t="s">
        <v>58</v>
      </c>
      <c r="K1" s="18" t="s">
        <v>34</v>
      </c>
      <c r="L1" s="18" t="s">
        <v>9</v>
      </c>
      <c r="M1" s="9"/>
      <c r="N1" s="21" t="s">
        <v>59</v>
      </c>
      <c r="O1" s="59" t="s">
        <v>60</v>
      </c>
      <c r="P1" s="6" t="s">
        <v>62</v>
      </c>
      <c r="Q1" s="23" t="s">
        <v>64</v>
      </c>
      <c r="R1" s="59" t="s">
        <v>66</v>
      </c>
      <c r="S1" s="18" t="s">
        <v>12</v>
      </c>
      <c r="T1" s="18"/>
      <c r="U1" s="21" t="s">
        <v>67</v>
      </c>
      <c r="V1" s="59" t="s">
        <v>69</v>
      </c>
      <c r="W1" s="59" t="s">
        <v>71</v>
      </c>
      <c r="X1" s="14" t="s">
        <v>33</v>
      </c>
      <c r="Y1" s="14"/>
      <c r="Z1" s="59" t="s">
        <v>74</v>
      </c>
      <c r="AA1" s="30"/>
      <c r="AB1" s="29" t="s">
        <v>35</v>
      </c>
      <c r="AC1" s="28" t="s">
        <v>84</v>
      </c>
      <c r="AD1" s="28" t="s">
        <v>85</v>
      </c>
      <c r="AE1" s="26" t="s">
        <v>86</v>
      </c>
      <c r="AF1" s="26"/>
      <c r="AG1" s="26"/>
      <c r="AL1" s="33"/>
      <c r="AM1" s="34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>
      <c r="B2" s="24">
        <v>-15</v>
      </c>
      <c r="C2" s="24">
        <v>5</v>
      </c>
      <c r="D2" s="24">
        <f>(Tmin+Tmax)/2</f>
        <v>-5</v>
      </c>
      <c r="E2" s="24">
        <f>(Tave+Tmax)/2</f>
        <v>0</v>
      </c>
      <c r="F2" s="24">
        <f>(Tmin+Tave)/2</f>
        <v>-10</v>
      </c>
      <c r="G2" s="11">
        <f>0.61078 * EXP(17.26939 *Tday / (Tday + 237.3))</f>
        <v>0.61077999999999999</v>
      </c>
      <c r="H2" s="8">
        <f>0.61078 * EXP(17.26939 * Tmin / (Tmin + 237.3))</f>
        <v>0.19046355243449331</v>
      </c>
      <c r="I2" s="8">
        <f>es_PnET_Succession-emean_PnET_Succession</f>
        <v>0.42031644756550668</v>
      </c>
      <c r="J2" s="24">
        <f>MAX(0,(PsnTMax - Tday) * (Tday - PsnTMin) / (((PsnTMax - PsnTMin) / 2)*(PsnTMax - PsnTMin) / 2))</f>
        <v>0</v>
      </c>
      <c r="K2" s="8">
        <f>IF(Tday&gt;PsnTOpt,1,MAX(0,((PsnTMax-Tday)*(Tday-PsnTMin))/(((PsnTMax-PsnTMin)/2)^2)))</f>
        <v>0</v>
      </c>
      <c r="L2" s="8">
        <f>MAX(0,1 - DVPD1 * (VPD_PnET_Succession^DVPD2))</f>
        <v>0.99116670419529562</v>
      </c>
      <c r="M2" s="8"/>
      <c r="N2" s="8">
        <f>dayspan * (Amax * DVPD_pnet_suc * DayLength * MC) / Billion</f>
        <v>2.6204861792196903</v>
      </c>
      <c r="O2" s="60">
        <f>Dtemp_pnet_suc * RefNetPsn_pnet_suc</f>
        <v>0</v>
      </c>
      <c r="P2" s="31">
        <f xml:space="preserve"> Fol / SLWLayer</f>
        <v>0.875</v>
      </c>
      <c r="Q2" s="15" t="e">
        <f xml:space="preserve"> (1 / IMAX) * MIN(NSC, MaintRespFTempResp * biomass)</f>
        <v>#REF!</v>
      </c>
      <c r="R2" s="60">
        <f xml:space="preserve"> fWater* fRad* fAge *FTempPSNRefNetPsn_pnet_suc * Fol</f>
        <v>0</v>
      </c>
      <c r="S2" s="8">
        <f>BaseFolRespFrac*(RespQ10^((Tave-PsnTOpt)/10))</f>
        <v>1.5389305166811452E-2</v>
      </c>
      <c r="T2" s="8"/>
      <c r="U2" s="8">
        <f xml:space="preserve"> FTempRespDay_pnet_suc * dayspan * (DayLength+NightLength) * MC / Billion * Amax</f>
        <v>8.137372114444559E-2</v>
      </c>
      <c r="V2" s="60">
        <f xml:space="preserve"> fWater* FTempRespDayRefResp_pnet_suc * Fol</f>
        <v>1.1392320960222382</v>
      </c>
      <c r="W2" s="60">
        <f xml:space="preserve"> NetPsn_pnet_suc + FolResp_pnet_suc</f>
        <v>1.1392320960222382</v>
      </c>
      <c r="X2" s="8">
        <f>(WUEconst/VPD_PnET_Succession) * (1 + 1 - Delgs)</f>
        <v>26.905528105428488</v>
      </c>
      <c r="Y2" s="8"/>
      <c r="Z2" s="60">
        <f xml:space="preserve"> GrossPsn_pnet_suc / WUE / DelAmax * MCO2_MC</f>
        <v>0.14113837077714028</v>
      </c>
      <c r="AA2" s="8"/>
      <c r="AB2" s="28" t="s">
        <v>51</v>
      </c>
      <c r="AC2" s="28" t="s">
        <v>91</v>
      </c>
      <c r="AD2" s="26">
        <v>3.6665999999999999</v>
      </c>
      <c r="AE2" s="24" t="s">
        <v>130</v>
      </c>
      <c r="AF2" s="28" t="s">
        <v>298</v>
      </c>
      <c r="AG2" s="28"/>
      <c r="AL2" s="3"/>
      <c r="AM2" s="35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4">
        <v>-10</v>
      </c>
      <c r="C3" s="24">
        <v>10</v>
      </c>
      <c r="D3" s="24">
        <f t="shared" ref="D3:D13" si="0">(B3+C3)/2</f>
        <v>0</v>
      </c>
      <c r="E3" s="24">
        <f t="shared" ref="E3:E13" si="1">(D3+C3)/2</f>
        <v>5</v>
      </c>
      <c r="F3" s="24">
        <f>(B3+D3)/2</f>
        <v>-5</v>
      </c>
      <c r="G3" s="11">
        <f t="shared" ref="G3:G13" si="2">0.61078 * EXP(17.26939 * E3 / (E3 + 237.3))</f>
        <v>0.87227141748882542</v>
      </c>
      <c r="H3" s="8">
        <f t="shared" ref="H3:H13" si="3">0.61078 * EXP(17.26939 * B3 / (B3 + 237.3))</f>
        <v>0.28570929427727804</v>
      </c>
      <c r="I3" s="8">
        <f t="shared" ref="I3:I13" si="4">G3-H3</f>
        <v>0.58656212321154744</v>
      </c>
      <c r="J3" s="24">
        <f t="shared" ref="J3:J13" si="5">MAX(0,(PsnTMax - E3) * (E3 - PsnTMin) / (((PsnTMax - PsnTMin) / 2)*(PsnTMax - PsnTMin) / 2))</f>
        <v>0.10802469135802469</v>
      </c>
      <c r="K3" s="8">
        <f t="shared" ref="K3:K13" si="6">IF(E3&gt;PsnTOpt,1,MAX(0,(PsnTMax - E3) * (E3 - PsnTMin) / (((PsnTMax - PsnTMin) / 2)*(PsnTMax - PsnTMin) / 2)))</f>
        <v>0.10802469135802469</v>
      </c>
      <c r="L3" s="8">
        <f t="shared" ref="L3:L13" si="7">MAX(0,1 - DVPD1 * (I3^DVPD2))</f>
        <v>0.98279724378067812</v>
      </c>
      <c r="M3" s="8"/>
      <c r="N3" s="8">
        <f t="shared" ref="N3:N13" si="8">dayspan * (Amax * L3 * DayLength * MC) / Billion</f>
        <v>2.5983586649971078</v>
      </c>
      <c r="O3" s="60">
        <f>J3 * N3</f>
        <v>0.28068689282376164</v>
      </c>
      <c r="P3" s="8"/>
      <c r="Q3" s="15"/>
      <c r="R3" s="60">
        <f t="shared" ref="R3:R13" si="9" xml:space="preserve"> fWater* fRad* fAge *O3 * Fol</f>
        <v>3.929616499532663</v>
      </c>
      <c r="S3" s="8">
        <f t="shared" ref="S3:S13" si="10">BaseFolRespFrac*(RespQ10^((D3-PsnTOpt)/10))</f>
        <v>2.1763764082403107E-2</v>
      </c>
      <c r="T3" s="8"/>
      <c r="U3" s="8">
        <f t="shared" ref="U3:U13" si="11" xml:space="preserve"> S3 * dayspan * (DayLength+NightLength) * MC / Billion * Amax</f>
        <v>0.11507982006324127</v>
      </c>
      <c r="V3" s="60">
        <f t="shared" ref="V3:V13" si="12" xml:space="preserve"> fWater* U3 * Fol</f>
        <v>1.6111174808853779</v>
      </c>
      <c r="W3" s="60">
        <f t="shared" ref="W3:W13" si="13" xml:space="preserve"> R3 + V3</f>
        <v>5.5407339804180413</v>
      </c>
      <c r="X3" s="8">
        <f t="shared" ref="X3:X13" si="14">(WUEconst/I3) * (1 + 1 - Delgs)</f>
        <v>19.279860641579468</v>
      </c>
      <c r="Y3" s="8"/>
      <c r="Z3" s="60">
        <f t="shared" ref="Z3:Z13" si="15" xml:space="preserve"> W3/ X3 / DelAmax * MCO2_MC</f>
        <v>0.95793891837537359</v>
      </c>
      <c r="AA3" s="8"/>
      <c r="AB3" s="28" t="s">
        <v>46</v>
      </c>
      <c r="AC3" s="28" t="s">
        <v>91</v>
      </c>
      <c r="AD3" s="26">
        <v>12</v>
      </c>
      <c r="AE3" s="24" t="s">
        <v>129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4">
        <v>-5</v>
      </c>
      <c r="C4" s="24">
        <v>15</v>
      </c>
      <c r="D4" s="24">
        <f t="shared" si="0"/>
        <v>5</v>
      </c>
      <c r="E4" s="24">
        <f t="shared" si="1"/>
        <v>10</v>
      </c>
      <c r="F4" s="24">
        <f t="shared" ref="F4:F13" si="16">(B4+D4)/2</f>
        <v>0</v>
      </c>
      <c r="G4" s="11">
        <f t="shared" si="2"/>
        <v>1.2278921229539039</v>
      </c>
      <c r="H4" s="8">
        <f t="shared" si="3"/>
        <v>0.42116823077156701</v>
      </c>
      <c r="I4" s="8">
        <f>G4-H4</f>
        <v>0.80672389218233698</v>
      </c>
      <c r="J4" s="24">
        <f t="shared" si="5"/>
        <v>0.55555555555555558</v>
      </c>
      <c r="K4" s="8">
        <f t="shared" si="6"/>
        <v>0.55555555555555558</v>
      </c>
      <c r="L4" s="8">
        <f>MAX(0,1 - DVPD1 * (I4^DVPD2))</f>
        <v>0.96745982808910902</v>
      </c>
      <c r="M4" s="8"/>
      <c r="N4" s="8">
        <f t="shared" si="8"/>
        <v>2.5578089918951101</v>
      </c>
      <c r="O4" s="60">
        <f t="shared" ref="O4:O13" si="17">J4 * N4</f>
        <v>1.4210049954972834</v>
      </c>
      <c r="P4" s="8"/>
      <c r="Q4" s="15"/>
      <c r="R4" s="60">
        <f t="shared" si="9"/>
        <v>19.894069936961969</v>
      </c>
      <c r="S4" s="8">
        <f t="shared" si="10"/>
        <v>3.0778610333622908E-2</v>
      </c>
      <c r="T4" s="8"/>
      <c r="U4" s="8">
        <f t="shared" si="11"/>
        <v>0.16274744228889118</v>
      </c>
      <c r="V4" s="60">
        <f t="shared" si="12"/>
        <v>2.2784641920444764</v>
      </c>
      <c r="W4" s="60">
        <f t="shared" si="13"/>
        <v>22.172534129006447</v>
      </c>
      <c r="X4" s="8">
        <f t="shared" si="14"/>
        <v>14.018223710413622</v>
      </c>
      <c r="Y4" s="8"/>
      <c r="Z4" s="60">
        <f t="shared" si="15"/>
        <v>5.2722592126823011</v>
      </c>
      <c r="AA4" s="8"/>
      <c r="AB4" s="28" t="s">
        <v>92</v>
      </c>
      <c r="AC4" s="28"/>
      <c r="AD4" s="26">
        <v>1000000000</v>
      </c>
      <c r="AL4" s="7"/>
      <c r="AM4" s="7"/>
      <c r="AN4" s="7"/>
      <c r="AO4" s="7"/>
      <c r="AP4" s="7"/>
      <c r="AQ4" s="7"/>
      <c r="AR4" s="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4">
        <v>0</v>
      </c>
      <c r="C5" s="24">
        <v>20</v>
      </c>
      <c r="D5" s="24">
        <f t="shared" si="0"/>
        <v>10</v>
      </c>
      <c r="E5" s="24">
        <f t="shared" si="1"/>
        <v>15</v>
      </c>
      <c r="F5" s="24">
        <f t="shared" si="16"/>
        <v>5</v>
      </c>
      <c r="G5" s="11">
        <f t="shared" si="2"/>
        <v>1.7052285488209411</v>
      </c>
      <c r="H5" s="8">
        <f t="shared" si="3"/>
        <v>0.61077999999999999</v>
      </c>
      <c r="I5" s="8">
        <f t="shared" si="4"/>
        <v>1.094448548820941</v>
      </c>
      <c r="J5" s="24">
        <f t="shared" si="5"/>
        <v>0.84876543209876543</v>
      </c>
      <c r="K5" s="8">
        <f t="shared" si="6"/>
        <v>0.84876543209876543</v>
      </c>
      <c r="L5" s="8">
        <f t="shared" si="7"/>
        <v>0.94010911869918679</v>
      </c>
      <c r="M5" s="8"/>
      <c r="N5" s="8">
        <f t="shared" si="8"/>
        <v>2.4854980923816581</v>
      </c>
      <c r="O5" s="60">
        <f t="shared" si="17"/>
        <v>2.1096048623609751</v>
      </c>
      <c r="P5" s="8"/>
      <c r="Q5" s="15"/>
      <c r="R5" s="60">
        <f t="shared" si="9"/>
        <v>29.534468073053652</v>
      </c>
      <c r="S5" s="8">
        <f t="shared" si="10"/>
        <v>4.3527528164806206E-2</v>
      </c>
      <c r="T5" s="8"/>
      <c r="U5" s="8">
        <f t="shared" si="11"/>
        <v>0.23015964012648252</v>
      </c>
      <c r="V5" s="60">
        <f t="shared" si="12"/>
        <v>3.2222349617707553</v>
      </c>
      <c r="W5" s="60">
        <f t="shared" si="13"/>
        <v>32.756703034824405</v>
      </c>
      <c r="X5" s="8">
        <f t="shared" si="14"/>
        <v>10.332907842338232</v>
      </c>
      <c r="Y5" s="8"/>
      <c r="Z5" s="60">
        <f t="shared" si="15"/>
        <v>10.567008000359507</v>
      </c>
      <c r="AA5" s="8"/>
      <c r="AB5" s="29" t="s">
        <v>153</v>
      </c>
      <c r="AC5" s="28"/>
      <c r="AD5" s="28"/>
    </row>
    <row r="6" spans="1:57">
      <c r="B6" s="24">
        <v>5</v>
      </c>
      <c r="C6" s="24">
        <v>25</v>
      </c>
      <c r="D6" s="24">
        <f t="shared" si="0"/>
        <v>15</v>
      </c>
      <c r="E6" s="24">
        <f t="shared" si="1"/>
        <v>20</v>
      </c>
      <c r="F6" s="24">
        <f t="shared" si="16"/>
        <v>10</v>
      </c>
      <c r="G6" s="11">
        <f t="shared" si="2"/>
        <v>2.3380938419374377</v>
      </c>
      <c r="H6" s="8">
        <f t="shared" si="3"/>
        <v>0.87227141748882542</v>
      </c>
      <c r="I6" s="8">
        <f t="shared" si="4"/>
        <v>1.4658224244486124</v>
      </c>
      <c r="J6" s="24">
        <f t="shared" si="5"/>
        <v>0.98765432098765427</v>
      </c>
      <c r="K6" s="8">
        <f t="shared" si="6"/>
        <v>0.98765432098765427</v>
      </c>
      <c r="L6" s="8">
        <f t="shared" si="7"/>
        <v>0.89256823099917959</v>
      </c>
      <c r="M6" s="8"/>
      <c r="N6" s="8">
        <f t="shared" si="8"/>
        <v>2.3598075918448704</v>
      </c>
      <c r="O6" s="60">
        <f t="shared" si="17"/>
        <v>2.3306741647850573</v>
      </c>
      <c r="P6" s="8"/>
      <c r="Q6" s="15"/>
      <c r="R6" s="60">
        <f t="shared" si="9"/>
        <v>32.629438306990799</v>
      </c>
      <c r="S6" s="8">
        <f t="shared" si="10"/>
        <v>6.1557220667245817E-2</v>
      </c>
      <c r="T6" s="8"/>
      <c r="U6" s="8">
        <f t="shared" si="11"/>
        <v>0.32549488457778236</v>
      </c>
      <c r="V6" s="60">
        <f t="shared" si="12"/>
        <v>4.5569283840889527</v>
      </c>
      <c r="W6" s="60">
        <f t="shared" si="13"/>
        <v>37.186366691079755</v>
      </c>
      <c r="X6" s="8">
        <f t="shared" si="14"/>
        <v>7.7150109075467039</v>
      </c>
      <c r="Y6" s="8"/>
      <c r="Z6" s="60">
        <f t="shared" si="15"/>
        <v>16.066512336225557</v>
      </c>
      <c r="AA6" s="8"/>
      <c r="AB6" s="28" t="s">
        <v>11</v>
      </c>
      <c r="AC6" s="28" t="s">
        <v>116</v>
      </c>
      <c r="AD6" s="26">
        <f>AE6*60*60</f>
        <v>43200</v>
      </c>
      <c r="AE6" s="28">
        <v>12</v>
      </c>
      <c r="AF6" s="28" t="s">
        <v>117</v>
      </c>
    </row>
    <row r="7" spans="1:57">
      <c r="B7" s="24">
        <v>10</v>
      </c>
      <c r="C7" s="24">
        <v>30</v>
      </c>
      <c r="D7" s="24">
        <f t="shared" si="0"/>
        <v>20</v>
      </c>
      <c r="E7" s="24">
        <f t="shared" si="1"/>
        <v>25</v>
      </c>
      <c r="F7" s="24">
        <f t="shared" si="16"/>
        <v>15</v>
      </c>
      <c r="G7" s="11">
        <f t="shared" si="2"/>
        <v>3.1674898302368564</v>
      </c>
      <c r="H7" s="8">
        <f t="shared" si="3"/>
        <v>1.2278921229539039</v>
      </c>
      <c r="I7" s="8">
        <f t="shared" si="4"/>
        <v>1.9395977072829524</v>
      </c>
      <c r="J7" s="24">
        <f t="shared" si="5"/>
        <v>0.97222222222222221</v>
      </c>
      <c r="K7" s="8">
        <f t="shared" si="6"/>
        <v>1</v>
      </c>
      <c r="L7" s="8">
        <f t="shared" si="7"/>
        <v>0.81189803669513572</v>
      </c>
      <c r="M7" s="8"/>
      <c r="N7" s="8">
        <f t="shared" si="8"/>
        <v>2.1465285053360676</v>
      </c>
      <c r="O7" s="60">
        <f t="shared" si="17"/>
        <v>2.0869027135211771</v>
      </c>
      <c r="P7" s="8"/>
      <c r="Q7" s="15"/>
      <c r="R7" s="60">
        <f t="shared" si="9"/>
        <v>29.21663798929648</v>
      </c>
      <c r="S7" s="8">
        <f t="shared" si="10"/>
        <v>8.7055056329612412E-2</v>
      </c>
      <c r="T7" s="8"/>
      <c r="U7" s="8">
        <f t="shared" si="11"/>
        <v>0.46031928025296504</v>
      </c>
      <c r="V7" s="60">
        <f t="shared" si="12"/>
        <v>6.4444699235415106</v>
      </c>
      <c r="W7" s="60">
        <f t="shared" si="13"/>
        <v>35.661107912837991</v>
      </c>
      <c r="X7" s="8">
        <f t="shared" si="14"/>
        <v>5.8305059604289591</v>
      </c>
      <c r="Y7" s="8"/>
      <c r="Z7" s="60">
        <f t="shared" si="15"/>
        <v>20.387454119152032</v>
      </c>
      <c r="AA7" s="8"/>
      <c r="AB7" s="10" t="s">
        <v>111</v>
      </c>
      <c r="AC7" s="28" t="s">
        <v>116</v>
      </c>
      <c r="AD7" s="41">
        <f>86400-DayLength</f>
        <v>43200</v>
      </c>
    </row>
    <row r="8" spans="1:57">
      <c r="B8" s="24">
        <v>15</v>
      </c>
      <c r="C8" s="24">
        <v>35</v>
      </c>
      <c r="D8" s="24">
        <f t="shared" si="0"/>
        <v>25</v>
      </c>
      <c r="E8" s="24">
        <f t="shared" si="1"/>
        <v>30</v>
      </c>
      <c r="F8" s="24">
        <f t="shared" si="16"/>
        <v>20</v>
      </c>
      <c r="G8" s="11">
        <f t="shared" si="2"/>
        <v>4.2426356531114431</v>
      </c>
      <c r="H8" s="8">
        <f t="shared" si="3"/>
        <v>1.7052285488209411</v>
      </c>
      <c r="I8" s="8">
        <f t="shared" si="4"/>
        <v>2.537407104290502</v>
      </c>
      <c r="J8" s="24">
        <f t="shared" si="5"/>
        <v>0.80246913580246915</v>
      </c>
      <c r="K8" s="8">
        <f t="shared" si="6"/>
        <v>1</v>
      </c>
      <c r="L8" s="8">
        <f t="shared" si="7"/>
        <v>0.67807825935480448</v>
      </c>
      <c r="M8" s="8"/>
      <c r="N8" s="8">
        <f t="shared" si="8"/>
        <v>1.7927304252126062</v>
      </c>
      <c r="O8" s="60">
        <f t="shared" si="17"/>
        <v>1.4386108350471531</v>
      </c>
      <c r="P8" s="8"/>
      <c r="Q8" s="15"/>
      <c r="R8" s="60">
        <f t="shared" si="9"/>
        <v>20.140551690660143</v>
      </c>
      <c r="S8" s="8">
        <f t="shared" si="10"/>
        <v>0.12311444133449163</v>
      </c>
      <c r="T8" s="8"/>
      <c r="U8" s="8">
        <f t="shared" si="11"/>
        <v>0.65098976915556472</v>
      </c>
      <c r="V8" s="60">
        <f t="shared" si="12"/>
        <v>9.1138567681779055</v>
      </c>
      <c r="W8" s="60">
        <f t="shared" si="13"/>
        <v>29.25440845883805</v>
      </c>
      <c r="X8" s="8">
        <f t="shared" si="14"/>
        <v>4.4568472966066368</v>
      </c>
      <c r="Y8" s="8"/>
      <c r="Z8" s="60">
        <f t="shared" si="15"/>
        <v>21.879529332053057</v>
      </c>
      <c r="AA8" s="8"/>
      <c r="AB8" s="28" t="s">
        <v>45</v>
      </c>
      <c r="AC8" s="28" t="s">
        <v>87</v>
      </c>
      <c r="AD8" s="28">
        <v>30</v>
      </c>
    </row>
    <row r="9" spans="1:57">
      <c r="B9" s="24">
        <v>20</v>
      </c>
      <c r="C9" s="24">
        <v>40</v>
      </c>
      <c r="D9" s="24">
        <f t="shared" si="0"/>
        <v>30</v>
      </c>
      <c r="E9" s="24">
        <f t="shared" si="1"/>
        <v>35</v>
      </c>
      <c r="F9" s="24">
        <f t="shared" si="16"/>
        <v>25</v>
      </c>
      <c r="G9" s="11">
        <f t="shared" si="2"/>
        <v>5.6220563085635584</v>
      </c>
      <c r="H9" s="8">
        <f t="shared" si="3"/>
        <v>2.3380938419374377</v>
      </c>
      <c r="I9" s="8">
        <f t="shared" si="4"/>
        <v>3.2839624666261207</v>
      </c>
      <c r="J9" s="24">
        <f t="shared" si="5"/>
        <v>0.47839506172839508</v>
      </c>
      <c r="K9" s="8">
        <f t="shared" si="6"/>
        <v>1</v>
      </c>
      <c r="L9" s="8">
        <f t="shared" si="7"/>
        <v>0.46077952588954418</v>
      </c>
      <c r="M9" s="8"/>
      <c r="N9" s="8">
        <f t="shared" si="8"/>
        <v>1.2182273417278124</v>
      </c>
      <c r="O9" s="60">
        <f t="shared" si="17"/>
        <v>0.58279394434509546</v>
      </c>
      <c r="P9" s="8"/>
      <c r="Q9" s="15"/>
      <c r="R9" s="60">
        <f t="shared" si="9"/>
        <v>8.1591152208313371</v>
      </c>
      <c r="S9" s="8">
        <f t="shared" si="10"/>
        <v>0.17411011265922482</v>
      </c>
      <c r="T9" s="8"/>
      <c r="U9" s="8">
        <f t="shared" si="11"/>
        <v>0.92063856050593007</v>
      </c>
      <c r="V9" s="60">
        <f t="shared" si="12"/>
        <v>12.888939847083021</v>
      </c>
      <c r="W9" s="60">
        <f t="shared" si="13"/>
        <v>21.048055067914358</v>
      </c>
      <c r="X9" s="8">
        <f t="shared" si="14"/>
        <v>3.4436556775772398</v>
      </c>
      <c r="Y9" s="8"/>
      <c r="Z9" s="60">
        <f t="shared" si="15"/>
        <v>20.373547637140483</v>
      </c>
      <c r="AA9" s="8"/>
      <c r="AB9" s="28" t="s">
        <v>24</v>
      </c>
      <c r="AC9" s="28" t="s">
        <v>88</v>
      </c>
      <c r="AD9" s="28">
        <v>5</v>
      </c>
    </row>
    <row r="10" spans="1:57">
      <c r="B10" s="24">
        <v>25</v>
      </c>
      <c r="C10" s="24">
        <v>45</v>
      </c>
      <c r="D10" s="24">
        <f t="shared" si="0"/>
        <v>35</v>
      </c>
      <c r="E10" s="24">
        <f t="shared" si="1"/>
        <v>40</v>
      </c>
      <c r="F10" s="24">
        <f t="shared" si="16"/>
        <v>30</v>
      </c>
      <c r="G10" s="11">
        <f t="shared" si="2"/>
        <v>7.3747231460360023</v>
      </c>
      <c r="H10" s="8">
        <f t="shared" si="3"/>
        <v>3.1674898302368564</v>
      </c>
      <c r="I10" s="8">
        <f t="shared" si="4"/>
        <v>4.2072333157991455</v>
      </c>
      <c r="J10" s="24">
        <f t="shared" si="5"/>
        <v>0</v>
      </c>
      <c r="K10" s="8">
        <f t="shared" si="6"/>
        <v>1</v>
      </c>
      <c r="L10" s="8">
        <f t="shared" si="7"/>
        <v>0.11495939132148625</v>
      </c>
      <c r="M10" s="8"/>
      <c r="N10" s="8">
        <f t="shared" si="8"/>
        <v>0.30393423715139817</v>
      </c>
      <c r="O10" s="60">
        <f t="shared" si="17"/>
        <v>0</v>
      </c>
      <c r="P10" s="8"/>
      <c r="Q10" s="15"/>
      <c r="R10" s="60">
        <f t="shared" si="9"/>
        <v>0</v>
      </c>
      <c r="S10" s="8">
        <f t="shared" si="10"/>
        <v>0.24622888266898327</v>
      </c>
      <c r="T10" s="8"/>
      <c r="U10" s="8">
        <f t="shared" si="11"/>
        <v>1.3019795383111294</v>
      </c>
      <c r="V10" s="60">
        <f t="shared" si="12"/>
        <v>18.227713536355811</v>
      </c>
      <c r="W10" s="60">
        <f t="shared" si="13"/>
        <v>18.227713536355811</v>
      </c>
      <c r="X10" s="8">
        <f t="shared" si="14"/>
        <v>2.6879507610572184</v>
      </c>
      <c r="Y10" s="8"/>
      <c r="Z10" s="60">
        <f t="shared" si="15"/>
        <v>22.603999785800536</v>
      </c>
      <c r="AA10" s="8"/>
      <c r="AB10" s="28" t="s">
        <v>90</v>
      </c>
      <c r="AC10" s="28" t="s">
        <v>89</v>
      </c>
      <c r="AD10" s="26">
        <f>AE10/IMAX</f>
        <v>14</v>
      </c>
      <c r="AE10" s="28">
        <v>70</v>
      </c>
      <c r="AF10" s="28" t="s">
        <v>118</v>
      </c>
    </row>
    <row r="11" spans="1:57">
      <c r="B11" s="24">
        <v>30</v>
      </c>
      <c r="C11" s="24">
        <v>50</v>
      </c>
      <c r="D11" s="24">
        <f t="shared" si="0"/>
        <v>40</v>
      </c>
      <c r="E11" s="24">
        <f t="shared" si="1"/>
        <v>45</v>
      </c>
      <c r="F11" s="24">
        <f t="shared" si="16"/>
        <v>35</v>
      </c>
      <c r="G11" s="11">
        <f t="shared" si="2"/>
        <v>9.5812372781996284</v>
      </c>
      <c r="H11" s="8">
        <f t="shared" si="3"/>
        <v>4.2426356531114431</v>
      </c>
      <c r="I11" s="8">
        <f t="shared" si="4"/>
        <v>5.3386016250881854</v>
      </c>
      <c r="J11" s="24">
        <f t="shared" si="5"/>
        <v>0</v>
      </c>
      <c r="K11" s="8">
        <f t="shared" si="6"/>
        <v>1</v>
      </c>
      <c r="L11" s="8">
        <f t="shared" si="7"/>
        <v>0</v>
      </c>
      <c r="M11" s="8"/>
      <c r="N11" s="8">
        <f t="shared" si="8"/>
        <v>0</v>
      </c>
      <c r="O11" s="60">
        <f t="shared" si="17"/>
        <v>0</v>
      </c>
      <c r="P11" s="8"/>
      <c r="Q11" s="15"/>
      <c r="R11" s="60">
        <f t="shared" si="9"/>
        <v>0</v>
      </c>
      <c r="S11" s="8">
        <f t="shared" si="10"/>
        <v>0.34822022531844965</v>
      </c>
      <c r="T11" s="8"/>
      <c r="U11" s="8">
        <f t="shared" si="11"/>
        <v>1.8412771210118601</v>
      </c>
      <c r="V11" s="60">
        <f t="shared" si="12"/>
        <v>25.777879694166042</v>
      </c>
      <c r="W11" s="60">
        <f t="shared" si="13"/>
        <v>25.777879694166042</v>
      </c>
      <c r="X11" s="8">
        <f t="shared" si="14"/>
        <v>2.1183142679167029</v>
      </c>
      <c r="Y11" s="8"/>
      <c r="Z11" s="60">
        <f t="shared" si="15"/>
        <v>40.563106689940419</v>
      </c>
      <c r="AA11" s="8"/>
      <c r="AB11" s="28" t="s">
        <v>5</v>
      </c>
      <c r="AC11" s="28" t="s">
        <v>76</v>
      </c>
      <c r="AD11" s="28">
        <v>170</v>
      </c>
      <c r="AE11" s="24" t="s">
        <v>94</v>
      </c>
    </row>
    <row r="12" spans="1:57">
      <c r="B12" s="24">
        <v>35</v>
      </c>
      <c r="C12" s="24">
        <v>55</v>
      </c>
      <c r="D12" s="24">
        <f t="shared" si="0"/>
        <v>45</v>
      </c>
      <c r="E12" s="24">
        <f t="shared" si="1"/>
        <v>50</v>
      </c>
      <c r="F12" s="24">
        <f t="shared" si="16"/>
        <v>40</v>
      </c>
      <c r="G12" s="11">
        <f t="shared" si="2"/>
        <v>12.335046017492973</v>
      </c>
      <c r="H12" s="8">
        <f t="shared" si="3"/>
        <v>5.6220563085635584</v>
      </c>
      <c r="I12" s="8">
        <f t="shared" si="4"/>
        <v>6.7129897089294142</v>
      </c>
      <c r="J12" s="24">
        <f t="shared" si="5"/>
        <v>0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60">
        <f t="shared" si="17"/>
        <v>0</v>
      </c>
      <c r="P12" s="8"/>
      <c r="Q12" s="15"/>
      <c r="R12" s="60">
        <f t="shared" si="9"/>
        <v>0</v>
      </c>
      <c r="S12" s="8">
        <f t="shared" si="10"/>
        <v>0.49245776533796648</v>
      </c>
      <c r="T12" s="8"/>
      <c r="U12" s="8">
        <f t="shared" si="11"/>
        <v>2.6039590766222589</v>
      </c>
      <c r="V12" s="60">
        <f t="shared" si="12"/>
        <v>36.455427072711622</v>
      </c>
      <c r="W12" s="60">
        <f t="shared" si="13"/>
        <v>36.455427072711622</v>
      </c>
      <c r="X12" s="8">
        <f t="shared" si="14"/>
        <v>1.6846198912095649</v>
      </c>
      <c r="Y12" s="8"/>
      <c r="Z12" s="60">
        <f t="shared" si="15"/>
        <v>72.133112928584637</v>
      </c>
      <c r="AA12" s="8"/>
      <c r="AB12" s="28" t="s">
        <v>93</v>
      </c>
      <c r="AC12" s="28"/>
      <c r="AD12" s="28">
        <v>1</v>
      </c>
      <c r="AE12" s="43" t="s">
        <v>131</v>
      </c>
      <c r="AF12" s="43"/>
      <c r="AG12" s="43"/>
      <c r="AH12" s="43"/>
      <c r="AI12" s="43"/>
    </row>
    <row r="13" spans="1:57" ht="15.75" thickBot="1">
      <c r="B13" s="24">
        <v>40</v>
      </c>
      <c r="C13" s="24">
        <v>60</v>
      </c>
      <c r="D13" s="24">
        <f t="shared" si="0"/>
        <v>50</v>
      </c>
      <c r="E13" s="24">
        <f t="shared" si="1"/>
        <v>55</v>
      </c>
      <c r="F13" s="24">
        <f t="shared" si="16"/>
        <v>45</v>
      </c>
      <c r="G13" s="12">
        <f t="shared" si="2"/>
        <v>15.743681776119971</v>
      </c>
      <c r="H13" s="13">
        <f t="shared" si="3"/>
        <v>7.3747231460360023</v>
      </c>
      <c r="I13" s="13">
        <f t="shared" si="4"/>
        <v>8.3689586300839682</v>
      </c>
      <c r="J13" s="24">
        <f t="shared" si="5"/>
        <v>0</v>
      </c>
      <c r="K13" s="8">
        <f t="shared" si="6"/>
        <v>1</v>
      </c>
      <c r="L13" s="8">
        <f t="shared" si="7"/>
        <v>0</v>
      </c>
      <c r="M13" s="13"/>
      <c r="N13" s="8">
        <f t="shared" si="8"/>
        <v>0</v>
      </c>
      <c r="O13" s="60">
        <f t="shared" si="17"/>
        <v>0</v>
      </c>
      <c r="P13" s="13"/>
      <c r="Q13" s="16"/>
      <c r="R13" s="60">
        <f t="shared" si="9"/>
        <v>0</v>
      </c>
      <c r="S13" s="8">
        <f t="shared" si="10"/>
        <v>0.6964404506368993</v>
      </c>
      <c r="T13" s="13"/>
      <c r="U13" s="8">
        <f t="shared" si="11"/>
        <v>3.6825542420237203</v>
      </c>
      <c r="V13" s="60">
        <f t="shared" si="12"/>
        <v>51.555759388332085</v>
      </c>
      <c r="W13" s="60">
        <f t="shared" si="13"/>
        <v>51.555759388332085</v>
      </c>
      <c r="X13" s="8">
        <f t="shared" si="14"/>
        <v>1.3512835339507625</v>
      </c>
      <c r="Y13" s="13"/>
      <c r="Z13" s="60">
        <f t="shared" si="15"/>
        <v>127.17598563657056</v>
      </c>
      <c r="AA13" s="8"/>
      <c r="AB13" s="28" t="s">
        <v>95</v>
      </c>
      <c r="AC13" s="28"/>
      <c r="AD13" s="28">
        <v>1</v>
      </c>
      <c r="AE13" s="43" t="s">
        <v>132</v>
      </c>
      <c r="AF13" s="43"/>
      <c r="AG13" s="43"/>
      <c r="AH13" s="43"/>
      <c r="AI13" s="43"/>
    </row>
    <row r="14" spans="1:57">
      <c r="A14" s="48" t="s">
        <v>175</v>
      </c>
      <c r="B14" s="42" t="s">
        <v>123</v>
      </c>
      <c r="C14" s="42" t="s">
        <v>123</v>
      </c>
      <c r="D14" s="42" t="s">
        <v>123</v>
      </c>
      <c r="E14" s="42" t="s">
        <v>123</v>
      </c>
      <c r="F14" s="42" t="s">
        <v>123</v>
      </c>
      <c r="G14" s="42" t="s">
        <v>123</v>
      </c>
      <c r="H14" s="42" t="s">
        <v>124</v>
      </c>
      <c r="I14" s="42" t="s">
        <v>176</v>
      </c>
      <c r="J14" s="24" t="s">
        <v>75</v>
      </c>
      <c r="K14" s="24" t="s">
        <v>78</v>
      </c>
      <c r="L14" s="24" t="s">
        <v>75</v>
      </c>
      <c r="N14" s="25" t="s">
        <v>79</v>
      </c>
      <c r="O14" s="51" t="s">
        <v>83</v>
      </c>
      <c r="P14" s="25" t="s">
        <v>121</v>
      </c>
      <c r="Q14" s="27" t="s">
        <v>80</v>
      </c>
      <c r="R14" s="51" t="s">
        <v>81</v>
      </c>
      <c r="S14" s="24" t="s">
        <v>119</v>
      </c>
      <c r="U14" s="24" t="s">
        <v>82</v>
      </c>
      <c r="V14" s="51" t="s">
        <v>81</v>
      </c>
      <c r="W14" s="51" t="s">
        <v>81</v>
      </c>
      <c r="X14" s="24" t="s">
        <v>120</v>
      </c>
      <c r="Z14" s="51" t="s">
        <v>125</v>
      </c>
      <c r="AB14" s="28" t="s">
        <v>96</v>
      </c>
      <c r="AC14" s="28"/>
      <c r="AD14" s="28">
        <v>1</v>
      </c>
    </row>
    <row r="15" spans="1:57">
      <c r="AB15" s="28" t="s">
        <v>98</v>
      </c>
      <c r="AC15" s="28"/>
      <c r="AD15" s="28">
        <v>10.9</v>
      </c>
      <c r="AE15" s="24" t="s">
        <v>290</v>
      </c>
    </row>
    <row r="16" spans="1:57">
      <c r="AB16" s="28" t="s">
        <v>39</v>
      </c>
      <c r="AC16" s="28"/>
      <c r="AD16" s="26">
        <f>1+(((1.22*(((AD26*0.68)-68)/((AD26*0.68)+136)))-0.55455)/0.55455)</f>
        <v>1.0999909836804616</v>
      </c>
    </row>
    <row r="17" spans="1:49">
      <c r="AB17" s="28" t="s">
        <v>100</v>
      </c>
      <c r="AC17" s="28" t="s">
        <v>97</v>
      </c>
      <c r="AD17" s="28">
        <v>4</v>
      </c>
    </row>
    <row r="18" spans="1:49">
      <c r="AB18" s="28" t="s">
        <v>2</v>
      </c>
      <c r="AC18" s="28" t="s">
        <v>97</v>
      </c>
      <c r="AD18" s="28">
        <v>22</v>
      </c>
      <c r="AE18" s="4"/>
    </row>
    <row r="19" spans="1:49" ht="15.75" thickBot="1">
      <c r="G19" s="24" t="s">
        <v>105</v>
      </c>
      <c r="H19" s="24" t="s">
        <v>105</v>
      </c>
      <c r="I19" s="24" t="s">
        <v>105</v>
      </c>
      <c r="J19" s="24" t="s">
        <v>53</v>
      </c>
      <c r="L19" s="8" t="s">
        <v>53</v>
      </c>
      <c r="M19" s="8" t="s">
        <v>53</v>
      </c>
      <c r="N19" s="8" t="s">
        <v>53</v>
      </c>
      <c r="O19" s="8" t="s">
        <v>53</v>
      </c>
      <c r="AB19" s="28" t="s">
        <v>3</v>
      </c>
      <c r="AC19" s="28" t="s">
        <v>97</v>
      </c>
      <c r="AD19" s="26">
        <f>PsnTOpt+(PsnTOpt-PsnTMin)</f>
        <v>40</v>
      </c>
      <c r="AE19" s="24" t="s">
        <v>291</v>
      </c>
    </row>
    <row r="20" spans="1:49" ht="15.75" thickBot="1">
      <c r="A20" s="24" t="s">
        <v>54</v>
      </c>
      <c r="G20" s="9" t="s">
        <v>106</v>
      </c>
      <c r="H20" s="9" t="s">
        <v>107</v>
      </c>
      <c r="I20" s="9" t="s">
        <v>109</v>
      </c>
      <c r="J20" s="18" t="s">
        <v>58</v>
      </c>
      <c r="K20" s="19"/>
      <c r="L20" s="18" t="s">
        <v>9</v>
      </c>
      <c r="M20" s="20" t="s">
        <v>55</v>
      </c>
      <c r="N20" s="20" t="s">
        <v>55</v>
      </c>
      <c r="O20" s="59" t="s">
        <v>55</v>
      </c>
      <c r="P20" s="6" t="s">
        <v>61</v>
      </c>
      <c r="Q20" s="23" t="s">
        <v>63</v>
      </c>
      <c r="R20" s="59" t="s">
        <v>65</v>
      </c>
      <c r="S20" s="36" t="s">
        <v>56</v>
      </c>
      <c r="T20" s="40" t="s">
        <v>112</v>
      </c>
      <c r="U20" s="6" t="s">
        <v>99</v>
      </c>
      <c r="V20" s="59" t="s">
        <v>68</v>
      </c>
      <c r="W20" s="59" t="s">
        <v>70</v>
      </c>
      <c r="X20" s="14" t="s">
        <v>122</v>
      </c>
      <c r="Y20" s="6" t="s">
        <v>72</v>
      </c>
      <c r="Z20" s="36" t="s">
        <v>73</v>
      </c>
      <c r="AA20" s="8"/>
      <c r="AB20" s="28" t="s">
        <v>29</v>
      </c>
      <c r="AC20" s="28"/>
      <c r="AD20" s="10">
        <v>0.05</v>
      </c>
      <c r="AQ20" s="8"/>
      <c r="AR20" s="8"/>
      <c r="AS20" s="8"/>
      <c r="AT20" s="8"/>
      <c r="AU20" s="8"/>
      <c r="AV20" s="8"/>
      <c r="AW20" s="8"/>
    </row>
    <row r="21" spans="1:49" ht="15.75" thickBot="1">
      <c r="G21" s="11">
        <f>IF(Tday &lt;0,0.61078 * EXP(21.87456 * Tday / (Tday + 265.5)),0.61078 * EXP(17.26939 * Tday / (Tday + 237.3)))</f>
        <v>0.61077999999999999</v>
      </c>
      <c r="H21" s="8">
        <f>IF(Tmin &lt; 0,0.61078 * EXP(21.87456 * Tmin / (Tmin + 265.5)), 0.61078 * EXP(17.26939 * Tmin / (Tmin + 237.3)))</f>
        <v>0.16482477446204352</v>
      </c>
      <c r="I21" s="8">
        <f>es_PnET_II - emean_PnET_II</f>
        <v>0.44595522553795647</v>
      </c>
      <c r="J21" s="24">
        <f>MAX(0,(PsnTMax - Tday) * (Tday - PsnTMin) / (((PsnTMax - PsnTMin) / 2)*(PsnTMax - PsnTMin) / 2))</f>
        <v>0</v>
      </c>
      <c r="K21" s="31"/>
      <c r="L21" s="31">
        <f>MAX(0,1 - DVPD1 * (VPD_PnET_II^DVPD2))</f>
        <v>0.99005619684076951</v>
      </c>
      <c r="M21" s="8">
        <f t="shared" ref="M21:M32" si="18">(Amax*AMaxFrac) + BaseFolResp_pnet_ii</f>
        <v>187</v>
      </c>
      <c r="N21" s="38">
        <f>(GrossAmax_temp1_pnet_ii * DVPD_pnet_ii * Dtemp_pnet_ii * DayLength * MC) /Billion</f>
        <v>0</v>
      </c>
      <c r="O21" s="60">
        <f>GrossAmax_temp2_pnet_ii * fRad*dayspan</f>
        <v>0</v>
      </c>
      <c r="P21" s="31">
        <f xml:space="preserve"> Fol / SLWLayer</f>
        <v>0.875</v>
      </c>
      <c r="Q21" s="39" t="e">
        <f>CanopyGrossPsnActMo * WoodMRespA</f>
        <v>#NAME?</v>
      </c>
      <c r="R21" s="60">
        <f>LayerGrossPsnRate_pnet_ii*(Fol)</f>
        <v>0</v>
      </c>
      <c r="S21" s="31">
        <f>(BaseFolResp_pnet_ii*(RespQ10^((Tday-PsnTOpt)/10))*DayLength*MC)/Billion</f>
        <v>1.9179970010540211E-3</v>
      </c>
      <c r="T21" s="31">
        <f>(BaseFolResp_pnet_ii*(RespQ10^((Tnight-PsnTOpt)/10))*NightLength*MC)/Billion</f>
        <v>9.5899850052701054E-4</v>
      </c>
      <c r="U21" s="31">
        <f>BaseFolRespFrac * Amax</f>
        <v>17</v>
      </c>
      <c r="V21" s="60">
        <f>(DayResp_pnet_ii + NightResp)* dayspan * Fol</f>
        <v>1.2083381106640332</v>
      </c>
      <c r="W21" s="60">
        <f>GrossAmax_pnet_ii * fRad*fWater</f>
        <v>0</v>
      </c>
      <c r="X21" s="8">
        <f>(WUEconst/VPD_PnET_Succession) * (1 + 1 - Delgs)</f>
        <v>26.905528105428488</v>
      </c>
      <c r="Y21" s="31">
        <f>LayerGrossPsn_pnet_ii - LayerResp_pnet_ii</f>
        <v>-1.2083381106640332</v>
      </c>
      <c r="Z21" s="59">
        <f>(LayerGrossPsn_pnet_ii/ DelAmax /X21)*MCO2_MC</f>
        <v>0</v>
      </c>
      <c r="AA21" s="8"/>
      <c r="AB21" s="28" t="s">
        <v>30</v>
      </c>
      <c r="AC21" s="28"/>
      <c r="AD21" s="10">
        <v>2</v>
      </c>
      <c r="AQ21" s="8"/>
      <c r="AR21" s="8"/>
      <c r="AS21" s="8"/>
      <c r="AT21" s="8"/>
      <c r="AU21" s="8"/>
      <c r="AV21" s="8"/>
      <c r="AW21" s="8"/>
    </row>
    <row r="22" spans="1:49" ht="15.75" thickBot="1">
      <c r="G22" s="11">
        <f>IF(E3 &lt;0,0.61078 * EXP(21.87456 * E3 / (E3 + 265.5)),0.61078 * EXP(17.26939 * E3 / (E3 + 237.3)))</f>
        <v>0.87227141748882542</v>
      </c>
      <c r="H22" s="8">
        <f>IF(B3 &lt; 0,0.61078 * EXP(21.87456 * B3 / (B3 + 265.5)), 0.61078 * EXP(17.26939 * B3 / (B3 + 237.3)))</f>
        <v>0.25945665773474508</v>
      </c>
      <c r="I22" s="8">
        <f t="shared" ref="I22:I32" si="19">G22 - H22</f>
        <v>0.61281475975408028</v>
      </c>
      <c r="J22" s="24">
        <f t="shared" ref="J22:J32" si="20">MAX(0,(PsnTMax - E3) * (E3 - PsnTMin) / (((PsnTMax - PsnTMin) / 2)*(PsnTMax - PsnTMin) / 2))</f>
        <v>0.10802469135802469</v>
      </c>
      <c r="K22" s="8"/>
      <c r="L22" s="8">
        <f t="shared" ref="L22:L32" si="21">MAX(0,1 - DVPD1 * (I22^DVPD2))</f>
        <v>0.98122290351137742</v>
      </c>
      <c r="M22" s="8">
        <f t="shared" si="18"/>
        <v>187</v>
      </c>
      <c r="N22" s="7">
        <f t="shared" ref="N22:N32" si="22">(M22 * L22 * J22 * DayLength * MC) /Billion</f>
        <v>1.0275366245571143E-2</v>
      </c>
      <c r="O22" s="60">
        <f t="shared" ref="O22:O32" si="23">N22 * fRad * dayspan</f>
        <v>0.30826098736713425</v>
      </c>
      <c r="P22" s="8"/>
      <c r="Q22" s="15"/>
      <c r="R22" s="60">
        <f t="shared" ref="R22:R32" si="24">W22*(Fol)</f>
        <v>4.3156538231398791</v>
      </c>
      <c r="S22" s="31">
        <f t="shared" ref="S22:S32" si="25">(BaseFolResp_pnet_ii*(RespQ10^((E3-PsnTOpt)/10))*DayLength*MC)/Billion</f>
        <v>2.7124573714815202E-3</v>
      </c>
      <c r="T22" s="31">
        <f t="shared" ref="T22:T32" si="26">(BaseFolResp_pnet_ii*(RespQ10^((F3-PsnTOpt)/10))*NightLength*MC)/Billion</f>
        <v>1.3562286857407594E-3</v>
      </c>
      <c r="U22" s="8"/>
      <c r="V22" s="60">
        <f t="shared" ref="V22:V32" si="27">(S22 + T22) * dayspan*Fol</f>
        <v>1.7088481440333574</v>
      </c>
      <c r="W22" s="60">
        <f t="shared" ref="W22:W32" si="28">O22 * fRad*fWater</f>
        <v>0.30826098736713425</v>
      </c>
      <c r="X22" s="8">
        <f t="shared" ref="X22:X32" si="29">(WUEconst/I22) * (1 + 1 - Delgs)</f>
        <v>18.453922352793494</v>
      </c>
      <c r="Y22" s="8">
        <f>R22 - V22</f>
        <v>2.6068056791065217</v>
      </c>
      <c r="Z22" s="60">
        <f t="shared" ref="Z22:Z32" si="30">(R22/DelAmax/X22)*MCO2_MC</f>
        <v>0.77952907928757054</v>
      </c>
      <c r="AA22" s="8"/>
      <c r="AB22" s="28" t="s">
        <v>101</v>
      </c>
      <c r="AC22" s="28"/>
      <c r="AD22" s="28">
        <v>2</v>
      </c>
      <c r="AQ22" s="8"/>
      <c r="AR22" s="8"/>
      <c r="AS22" s="8"/>
      <c r="AT22" s="8"/>
      <c r="AU22" s="8"/>
      <c r="AV22" s="8"/>
      <c r="AW22" s="8"/>
    </row>
    <row r="23" spans="1:49" ht="15.75" thickBot="1">
      <c r="G23" s="11">
        <f t="shared" ref="G23:G32" si="31">IF(E4 &lt;0,0.61078 * EXP(21.87456 * E4 / (E4 + 265.5)),0.61078 * EXP(17.26939 * E4 / (E4 + 237.3)))</f>
        <v>1.2278921229539039</v>
      </c>
      <c r="H23" s="8">
        <f t="shared" ref="H23:H32" si="32">IF(B4 &lt; 0,0.61078 * EXP(21.87456 * B4 / (B4 + 265.5)), 0.61078 * EXP(17.26939 * B4 / (B4 + 237.3)))</f>
        <v>0.40136836884191091</v>
      </c>
      <c r="I23" s="8">
        <f t="shared" si="19"/>
        <v>0.82652375411199297</v>
      </c>
      <c r="J23" s="24">
        <f t="shared" si="20"/>
        <v>0.55555555555555558</v>
      </c>
      <c r="K23" s="8"/>
      <c r="L23" s="8">
        <f t="shared" si="21"/>
        <v>0.96584292419443085</v>
      </c>
      <c r="M23" s="8">
        <f t="shared" si="18"/>
        <v>187</v>
      </c>
      <c r="N23" s="7">
        <f t="shared" si="22"/>
        <v>5.2016436525415266E-2</v>
      </c>
      <c r="O23" s="60">
        <f t="shared" si="23"/>
        <v>1.5604930957624581</v>
      </c>
      <c r="P23" s="8"/>
      <c r="Q23" s="15"/>
      <c r="R23" s="60">
        <f t="shared" si="24"/>
        <v>21.846903340674412</v>
      </c>
      <c r="S23" s="31">
        <f t="shared" si="25"/>
        <v>3.8359940021080413E-3</v>
      </c>
      <c r="T23" s="31">
        <f t="shared" si="26"/>
        <v>1.9179970010540211E-3</v>
      </c>
      <c r="U23" s="8"/>
      <c r="V23" s="60">
        <f t="shared" si="27"/>
        <v>2.4166762213280659</v>
      </c>
      <c r="W23" s="60">
        <f t="shared" si="28"/>
        <v>1.5604930957624581</v>
      </c>
      <c r="X23" s="8">
        <f t="shared" si="29"/>
        <v>13.682408928824644</v>
      </c>
      <c r="Y23" s="8">
        <f t="shared" ref="Y23:Y32" si="33">R23 - V23</f>
        <v>19.430227119346348</v>
      </c>
      <c r="Z23" s="60">
        <f t="shared" si="30"/>
        <v>5.3223291570019988</v>
      </c>
      <c r="AA23" s="8"/>
      <c r="AB23" s="28" t="s">
        <v>102</v>
      </c>
      <c r="AC23" s="28"/>
      <c r="AD23" s="28">
        <v>0.1</v>
      </c>
      <c r="AE23" s="32"/>
      <c r="AQ23" s="8"/>
      <c r="AR23" s="8"/>
      <c r="AS23" s="8"/>
      <c r="AT23" s="8"/>
      <c r="AU23" s="8"/>
      <c r="AV23" s="8"/>
      <c r="AW23" s="8"/>
    </row>
    <row r="24" spans="1:49" ht="15.75" thickBot="1">
      <c r="G24" s="11">
        <f t="shared" si="31"/>
        <v>1.7052285488209411</v>
      </c>
      <c r="H24" s="8">
        <f t="shared" si="32"/>
        <v>0.61077999999999999</v>
      </c>
      <c r="I24" s="8">
        <f t="shared" si="19"/>
        <v>1.094448548820941</v>
      </c>
      <c r="J24" s="24">
        <f t="shared" si="20"/>
        <v>0.84876543209876543</v>
      </c>
      <c r="K24" s="8"/>
      <c r="L24" s="8">
        <f t="shared" si="21"/>
        <v>0.94010911869918679</v>
      </c>
      <c r="M24" s="8">
        <f t="shared" si="18"/>
        <v>187</v>
      </c>
      <c r="N24" s="7">
        <f t="shared" si="22"/>
        <v>7.7352178286569095E-2</v>
      </c>
      <c r="O24" s="60">
        <f t="shared" si="23"/>
        <v>2.3205653485970728</v>
      </c>
      <c r="P24" s="8"/>
      <c r="Q24" s="15"/>
      <c r="R24" s="60">
        <f t="shared" si="24"/>
        <v>32.487914880359021</v>
      </c>
      <c r="S24" s="31">
        <f t="shared" si="25"/>
        <v>5.4249147429630403E-3</v>
      </c>
      <c r="T24" s="31">
        <f t="shared" si="26"/>
        <v>2.7124573714815202E-3</v>
      </c>
      <c r="U24" s="8"/>
      <c r="V24" s="60">
        <f t="shared" si="27"/>
        <v>3.4176962880667152</v>
      </c>
      <c r="W24" s="60">
        <f t="shared" si="28"/>
        <v>2.3205653485970728</v>
      </c>
      <c r="X24" s="8">
        <f t="shared" si="29"/>
        <v>10.332907842338232</v>
      </c>
      <c r="Y24" s="8">
        <f t="shared" si="33"/>
        <v>29.070218592292306</v>
      </c>
      <c r="Z24" s="60">
        <f t="shared" si="30"/>
        <v>10.480299439500437</v>
      </c>
      <c r="AA24" s="8"/>
      <c r="AB24" s="22" t="s">
        <v>40</v>
      </c>
      <c r="AC24" s="28"/>
      <c r="AD24" s="26">
        <f xml:space="preserve"> DelAmax / ((AD26 - AD26*0.68) / (350 - 238))</f>
        <v>0.96249211072040386</v>
      </c>
      <c r="AE24" s="32"/>
      <c r="AF24" s="8"/>
      <c r="AG24" s="8"/>
      <c r="AQ24" s="8"/>
      <c r="AR24" s="8"/>
      <c r="AS24" s="8"/>
      <c r="AT24" s="8"/>
      <c r="AU24" s="8"/>
      <c r="AV24" s="8"/>
      <c r="AW24" s="8"/>
    </row>
    <row r="25" spans="1:49" ht="15.75" thickBot="1">
      <c r="G25" s="11">
        <f t="shared" si="31"/>
        <v>2.3380938419374377</v>
      </c>
      <c r="H25" s="8">
        <f t="shared" si="32"/>
        <v>0.87227141748882542</v>
      </c>
      <c r="I25" s="8">
        <f t="shared" si="19"/>
        <v>1.4658224244486124</v>
      </c>
      <c r="J25" s="24">
        <f t="shared" si="20"/>
        <v>0.98765432098765427</v>
      </c>
      <c r="K25" s="8"/>
      <c r="L25" s="8">
        <f t="shared" si="21"/>
        <v>0.89256823099917959</v>
      </c>
      <c r="M25" s="8">
        <f t="shared" si="18"/>
        <v>187</v>
      </c>
      <c r="N25" s="7">
        <f t="shared" si="22"/>
        <v>8.545805270878544E-2</v>
      </c>
      <c r="O25" s="60">
        <f t="shared" si="23"/>
        <v>2.5637415812635633</v>
      </c>
      <c r="P25" s="8"/>
      <c r="Q25" s="15"/>
      <c r="R25" s="60">
        <f t="shared" si="24"/>
        <v>35.892382137689886</v>
      </c>
      <c r="S25" s="31">
        <f t="shared" si="25"/>
        <v>7.6719880042160826E-3</v>
      </c>
      <c r="T25" s="31">
        <f t="shared" si="26"/>
        <v>3.8359940021080413E-3</v>
      </c>
      <c r="U25" s="8"/>
      <c r="V25" s="60">
        <f t="shared" si="27"/>
        <v>4.8333524426561318</v>
      </c>
      <c r="W25" s="60">
        <f t="shared" si="28"/>
        <v>2.5637415812635633</v>
      </c>
      <c r="X25" s="8">
        <f t="shared" si="29"/>
        <v>7.7150109075467039</v>
      </c>
      <c r="Y25" s="8">
        <f t="shared" si="33"/>
        <v>31.059029695033754</v>
      </c>
      <c r="Z25" s="60">
        <f t="shared" si="30"/>
        <v>15.507441347585232</v>
      </c>
      <c r="AA25" s="8"/>
      <c r="AB25" s="22" t="s">
        <v>115</v>
      </c>
      <c r="AC25" s="28"/>
      <c r="AD25" s="26">
        <f>AE25/IMAX</f>
        <v>16</v>
      </c>
      <c r="AE25" s="22">
        <v>80</v>
      </c>
      <c r="AF25" s="22" t="s">
        <v>142</v>
      </c>
      <c r="AG25" s="8"/>
      <c r="AQ25" s="8"/>
      <c r="AR25" s="8"/>
      <c r="AS25" s="8"/>
      <c r="AT25" s="8"/>
      <c r="AU25" s="8"/>
      <c r="AV25" s="8"/>
      <c r="AW25" s="8"/>
    </row>
    <row r="26" spans="1:49" ht="15.75" thickBot="1">
      <c r="G26" s="11">
        <f t="shared" si="31"/>
        <v>3.1674898302368564</v>
      </c>
      <c r="H26" s="8">
        <f t="shared" si="32"/>
        <v>1.2278921229539039</v>
      </c>
      <c r="I26" s="8">
        <f t="shared" si="19"/>
        <v>1.9395977072829524</v>
      </c>
      <c r="J26" s="24">
        <f t="shared" si="20"/>
        <v>0.97222222222222221</v>
      </c>
      <c r="K26" s="8"/>
      <c r="L26" s="8">
        <f t="shared" si="21"/>
        <v>0.81189803669513572</v>
      </c>
      <c r="M26" s="8">
        <f t="shared" si="18"/>
        <v>187</v>
      </c>
      <c r="N26" s="7">
        <f t="shared" si="22"/>
        <v>7.6519766162443159E-2</v>
      </c>
      <c r="O26" s="60">
        <f t="shared" si="23"/>
        <v>2.295592984873295</v>
      </c>
      <c r="P26" s="8"/>
      <c r="Q26" s="15"/>
      <c r="R26" s="60">
        <f t="shared" si="24"/>
        <v>32.13830178822613</v>
      </c>
      <c r="S26" s="31">
        <f t="shared" si="25"/>
        <v>1.0849829485926081E-2</v>
      </c>
      <c r="T26" s="31">
        <f t="shared" si="26"/>
        <v>5.4249147429630403E-3</v>
      </c>
      <c r="U26" s="8"/>
      <c r="V26" s="60">
        <f t="shared" si="27"/>
        <v>6.8353925761334304</v>
      </c>
      <c r="W26" s="60">
        <f t="shared" si="28"/>
        <v>2.295592984873295</v>
      </c>
      <c r="X26" s="8">
        <f t="shared" si="29"/>
        <v>5.8305059604289591</v>
      </c>
      <c r="Y26" s="8">
        <f t="shared" si="33"/>
        <v>25.3029092120927</v>
      </c>
      <c r="Z26" s="60">
        <f t="shared" si="30"/>
        <v>18.373465983625362</v>
      </c>
      <c r="AA26" s="8"/>
      <c r="AB26" s="22" t="s">
        <v>140</v>
      </c>
      <c r="AC26" s="28" t="s">
        <v>141</v>
      </c>
      <c r="AD26" s="28">
        <v>400</v>
      </c>
      <c r="AE26" s="43" t="s">
        <v>143</v>
      </c>
      <c r="AF26" s="43"/>
      <c r="AG26" s="8"/>
      <c r="AQ26" s="8"/>
      <c r="AR26" s="8"/>
      <c r="AS26" s="8"/>
      <c r="AT26" s="8"/>
      <c r="AU26" s="8"/>
      <c r="AV26" s="8"/>
      <c r="AW26" s="8"/>
    </row>
    <row r="27" spans="1:49" ht="15.75" thickBot="1">
      <c r="G27" s="11">
        <f t="shared" si="31"/>
        <v>4.2426356531114431</v>
      </c>
      <c r="H27" s="8">
        <f t="shared" si="32"/>
        <v>1.7052285488209411</v>
      </c>
      <c r="I27" s="8">
        <f t="shared" si="19"/>
        <v>2.537407104290502</v>
      </c>
      <c r="J27" s="24">
        <f t="shared" si="20"/>
        <v>0.80246913580246915</v>
      </c>
      <c r="K27" s="8"/>
      <c r="L27" s="8">
        <f t="shared" si="21"/>
        <v>0.67807825935480448</v>
      </c>
      <c r="M27" s="8">
        <f t="shared" si="18"/>
        <v>187</v>
      </c>
      <c r="N27" s="7">
        <f t="shared" si="22"/>
        <v>5.2749063951728958E-2</v>
      </c>
      <c r="O27" s="60">
        <f t="shared" si="23"/>
        <v>1.5824719185518688</v>
      </c>
      <c r="P27" s="8"/>
      <c r="Q27" s="15"/>
      <c r="R27" s="60">
        <f t="shared" si="24"/>
        <v>22.154606859726162</v>
      </c>
      <c r="S27" s="31">
        <f t="shared" si="25"/>
        <v>1.5343976008432165E-2</v>
      </c>
      <c r="T27" s="31">
        <f t="shared" si="26"/>
        <v>7.6719880042160826E-3</v>
      </c>
      <c r="U27" s="8"/>
      <c r="V27" s="60">
        <f t="shared" si="27"/>
        <v>9.6667048853122637</v>
      </c>
      <c r="W27" s="60">
        <f t="shared" si="28"/>
        <v>1.5824719185518688</v>
      </c>
      <c r="X27" s="8">
        <f t="shared" si="29"/>
        <v>4.4568472966066368</v>
      </c>
      <c r="Y27" s="8">
        <f t="shared" si="33"/>
        <v>12.487901974413898</v>
      </c>
      <c r="Z27" s="60">
        <f t="shared" si="30"/>
        <v>16.569549553856724</v>
      </c>
      <c r="AA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.75" thickBot="1">
      <c r="G28" s="11">
        <f t="shared" si="31"/>
        <v>5.6220563085635584</v>
      </c>
      <c r="H28" s="8">
        <f t="shared" si="32"/>
        <v>2.3380938419374377</v>
      </c>
      <c r="I28" s="8">
        <f t="shared" si="19"/>
        <v>3.2839624666261207</v>
      </c>
      <c r="J28" s="24">
        <f t="shared" si="20"/>
        <v>0.47839506172839508</v>
      </c>
      <c r="K28" s="8"/>
      <c r="L28" s="8">
        <f t="shared" si="21"/>
        <v>0.46077952588954418</v>
      </c>
      <c r="M28" s="8">
        <f t="shared" si="18"/>
        <v>187</v>
      </c>
      <c r="N28" s="7">
        <f t="shared" si="22"/>
        <v>2.1369111292653502E-2</v>
      </c>
      <c r="O28" s="60">
        <f t="shared" si="23"/>
        <v>0.64107333877960504</v>
      </c>
      <c r="P28" s="8"/>
      <c r="Q28" s="15"/>
      <c r="R28" s="60">
        <f t="shared" si="24"/>
        <v>8.975026742914471</v>
      </c>
      <c r="S28" s="31">
        <f t="shared" si="25"/>
        <v>2.1699658971852161E-2</v>
      </c>
      <c r="T28" s="31">
        <f t="shared" si="26"/>
        <v>1.0849829485926081E-2</v>
      </c>
      <c r="U28" s="8"/>
      <c r="V28" s="60">
        <f t="shared" si="27"/>
        <v>13.670785152266861</v>
      </c>
      <c r="W28" s="60">
        <f t="shared" si="28"/>
        <v>0.64107333877960504</v>
      </c>
      <c r="X28" s="8">
        <f t="shared" si="29"/>
        <v>3.4436556775772398</v>
      </c>
      <c r="Y28" s="8">
        <f t="shared" si="33"/>
        <v>-4.6957584093523899</v>
      </c>
      <c r="Z28" s="60">
        <f t="shared" si="30"/>
        <v>8.6874124141816313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.75" thickBot="1">
      <c r="G29" s="11">
        <f t="shared" si="31"/>
        <v>7.3747231460360023</v>
      </c>
      <c r="H29" s="8">
        <f t="shared" si="32"/>
        <v>3.1674898302368564</v>
      </c>
      <c r="I29" s="8">
        <f t="shared" si="19"/>
        <v>4.2072333157991455</v>
      </c>
      <c r="J29" s="24">
        <f t="shared" si="20"/>
        <v>0</v>
      </c>
      <c r="K29" s="8"/>
      <c r="L29" s="8">
        <f t="shared" si="21"/>
        <v>0.11495939132148625</v>
      </c>
      <c r="M29" s="8">
        <f t="shared" si="18"/>
        <v>187</v>
      </c>
      <c r="N29" s="7">
        <f t="shared" si="22"/>
        <v>0</v>
      </c>
      <c r="O29" s="60">
        <f t="shared" si="23"/>
        <v>0</v>
      </c>
      <c r="P29" s="8"/>
      <c r="Q29" s="15"/>
      <c r="R29" s="60">
        <f t="shared" si="24"/>
        <v>0</v>
      </c>
      <c r="S29" s="31">
        <f t="shared" si="25"/>
        <v>3.068795201686433E-2</v>
      </c>
      <c r="T29" s="31">
        <f t="shared" si="26"/>
        <v>1.5343976008432165E-2</v>
      </c>
      <c r="U29" s="8"/>
      <c r="V29" s="60">
        <f t="shared" si="27"/>
        <v>19.333409770624527</v>
      </c>
      <c r="W29" s="60">
        <f t="shared" si="28"/>
        <v>0</v>
      </c>
      <c r="X29" s="8">
        <f t="shared" si="29"/>
        <v>2.6879507610572184</v>
      </c>
      <c r="Y29" s="8">
        <f t="shared" si="33"/>
        <v>-19.333409770624527</v>
      </c>
      <c r="Z29" s="60">
        <f t="shared" si="30"/>
        <v>0</v>
      </c>
      <c r="AA29" s="8"/>
      <c r="AF29" s="8"/>
      <c r="AG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.75" thickBot="1">
      <c r="G30" s="11">
        <f t="shared" si="31"/>
        <v>9.5812372781996284</v>
      </c>
      <c r="H30" s="8">
        <f t="shared" si="32"/>
        <v>4.2426356531114431</v>
      </c>
      <c r="I30" s="8">
        <f t="shared" si="19"/>
        <v>5.3386016250881854</v>
      </c>
      <c r="J30" s="24">
        <f t="shared" si="20"/>
        <v>0</v>
      </c>
      <c r="K30" s="8"/>
      <c r="L30" s="8">
        <f t="shared" si="21"/>
        <v>0</v>
      </c>
      <c r="M30" s="8">
        <f t="shared" si="18"/>
        <v>187</v>
      </c>
      <c r="N30" s="7">
        <f t="shared" si="22"/>
        <v>0</v>
      </c>
      <c r="O30" s="60">
        <f t="shared" si="23"/>
        <v>0</v>
      </c>
      <c r="P30" s="8"/>
      <c r="Q30" s="15"/>
      <c r="R30" s="60">
        <f t="shared" si="24"/>
        <v>0</v>
      </c>
      <c r="S30" s="31">
        <f t="shared" si="25"/>
        <v>4.3399317943704302E-2</v>
      </c>
      <c r="T30" s="31">
        <f t="shared" si="26"/>
        <v>2.1699658971852161E-2</v>
      </c>
      <c r="U30" s="8"/>
      <c r="V30" s="60">
        <f t="shared" si="27"/>
        <v>27.341570304533718</v>
      </c>
      <c r="W30" s="60">
        <f t="shared" si="28"/>
        <v>0</v>
      </c>
      <c r="X30" s="8">
        <f t="shared" si="29"/>
        <v>2.1183142679167029</v>
      </c>
      <c r="Y30" s="8">
        <f t="shared" si="33"/>
        <v>-27.341570304533718</v>
      </c>
      <c r="Z30" s="60">
        <f t="shared" si="30"/>
        <v>0</v>
      </c>
      <c r="AA30" s="8"/>
      <c r="AB30" s="27" t="s">
        <v>113</v>
      </c>
      <c r="AC30" s="27"/>
      <c r="AD30" s="27">
        <v>1</v>
      </c>
      <c r="AE30" s="24" t="s">
        <v>128</v>
      </c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.75" thickBot="1">
      <c r="G31" s="11">
        <f t="shared" si="31"/>
        <v>12.335046017492973</v>
      </c>
      <c r="H31" s="8">
        <f t="shared" si="32"/>
        <v>5.6220563085635584</v>
      </c>
      <c r="I31" s="8">
        <f t="shared" si="19"/>
        <v>6.7129897089294142</v>
      </c>
      <c r="J31" s="24">
        <f t="shared" si="20"/>
        <v>0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60">
        <f t="shared" si="23"/>
        <v>0</v>
      </c>
      <c r="P31" s="8"/>
      <c r="Q31" s="15"/>
      <c r="R31" s="60">
        <f t="shared" si="24"/>
        <v>0</v>
      </c>
      <c r="S31" s="31">
        <f t="shared" si="25"/>
        <v>6.1375904033728661E-2</v>
      </c>
      <c r="T31" s="31">
        <f t="shared" si="26"/>
        <v>3.068795201686433E-2</v>
      </c>
      <c r="U31" s="8"/>
      <c r="V31" s="60">
        <f t="shared" si="27"/>
        <v>38.666819541249055</v>
      </c>
      <c r="W31" s="60">
        <f t="shared" si="28"/>
        <v>0</v>
      </c>
      <c r="X31" s="8">
        <f t="shared" si="29"/>
        <v>1.6846198912095649</v>
      </c>
      <c r="Y31" s="8">
        <f t="shared" si="33"/>
        <v>-38.666819541249055</v>
      </c>
      <c r="Z31" s="60">
        <f t="shared" si="30"/>
        <v>0</v>
      </c>
      <c r="AA31" s="8"/>
      <c r="AB31" s="7"/>
      <c r="AC31" s="3"/>
      <c r="AD31" s="3"/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.75" thickBot="1">
      <c r="G32" s="12">
        <f t="shared" si="31"/>
        <v>15.743681776119971</v>
      </c>
      <c r="H32" s="13">
        <f t="shared" si="32"/>
        <v>7.3747231460360023</v>
      </c>
      <c r="I32" s="13">
        <f t="shared" si="19"/>
        <v>8.3689586300839682</v>
      </c>
      <c r="J32" s="24">
        <f t="shared" si="20"/>
        <v>0</v>
      </c>
      <c r="K32" s="13"/>
      <c r="L32" s="13">
        <f t="shared" si="21"/>
        <v>0</v>
      </c>
      <c r="M32" s="13">
        <f t="shared" si="18"/>
        <v>187</v>
      </c>
      <c r="N32" s="17">
        <f t="shared" si="22"/>
        <v>0</v>
      </c>
      <c r="O32" s="60">
        <f t="shared" si="23"/>
        <v>0</v>
      </c>
      <c r="P32" s="13"/>
      <c r="Q32" s="16"/>
      <c r="R32" s="60">
        <f t="shared" si="24"/>
        <v>0</v>
      </c>
      <c r="S32" s="31">
        <f t="shared" si="25"/>
        <v>8.6798635887408604E-2</v>
      </c>
      <c r="T32" s="31">
        <f t="shared" si="26"/>
        <v>4.3399317943704302E-2</v>
      </c>
      <c r="U32" s="13"/>
      <c r="V32" s="60">
        <f t="shared" si="27"/>
        <v>54.683140609067422</v>
      </c>
      <c r="W32" s="60">
        <f t="shared" si="28"/>
        <v>0</v>
      </c>
      <c r="X32" s="8">
        <f t="shared" si="29"/>
        <v>1.3512835339507625</v>
      </c>
      <c r="Y32" s="13">
        <f t="shared" si="33"/>
        <v>-54.683140609067422</v>
      </c>
      <c r="Z32" s="60">
        <f t="shared" si="30"/>
        <v>0</v>
      </c>
      <c r="AA32" s="8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ht="15.75" thickBot="1">
      <c r="A33" s="48" t="s">
        <v>175</v>
      </c>
      <c r="D33" s="42"/>
      <c r="E33" s="42"/>
      <c r="G33" s="42" t="s">
        <v>123</v>
      </c>
      <c r="H33" s="42" t="s">
        <v>123</v>
      </c>
      <c r="I33" s="42" t="s">
        <v>176</v>
      </c>
      <c r="J33" s="24" t="s">
        <v>75</v>
      </c>
      <c r="L33" s="24" t="s">
        <v>75</v>
      </c>
      <c r="M33" s="24" t="s">
        <v>114</v>
      </c>
      <c r="N33" s="24" t="s">
        <v>77</v>
      </c>
      <c r="O33" s="51" t="s">
        <v>83</v>
      </c>
      <c r="P33" s="25" t="s">
        <v>121</v>
      </c>
      <c r="Q33" s="15"/>
      <c r="R33" s="51" t="s">
        <v>81</v>
      </c>
      <c r="S33" s="24" t="s">
        <v>77</v>
      </c>
      <c r="T33" s="24" t="s">
        <v>77</v>
      </c>
      <c r="U33" s="24" t="s">
        <v>76</v>
      </c>
      <c r="V33" s="51" t="s">
        <v>81</v>
      </c>
      <c r="W33" s="51" t="s">
        <v>83</v>
      </c>
      <c r="X33" s="24" t="s">
        <v>120</v>
      </c>
      <c r="Y33" s="59" t="s">
        <v>81</v>
      </c>
      <c r="Z33" s="60" t="s">
        <v>125</v>
      </c>
      <c r="AA33" s="8"/>
      <c r="AF33" s="44" t="s">
        <v>126</v>
      </c>
      <c r="AG33" s="44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Y34" s="60"/>
      <c r="AA34" s="4"/>
      <c r="AB34" s="4"/>
      <c r="AC34" s="4"/>
      <c r="AD34" s="4"/>
      <c r="AF34" s="61" t="s">
        <v>127</v>
      </c>
      <c r="AG34" s="61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Y35" s="60" t="s">
        <v>139</v>
      </c>
      <c r="AB35" s="2" t="s">
        <v>177</v>
      </c>
      <c r="AC35" s="2"/>
      <c r="AF35" s="8"/>
      <c r="AG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Y36" s="60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Y37" s="60"/>
    </row>
    <row r="38" spans="1:49">
      <c r="Y38" s="60"/>
    </row>
    <row r="39" spans="1:49">
      <c r="Y39" s="60"/>
    </row>
    <row r="40" spans="1:49">
      <c r="Y40" s="60"/>
    </row>
    <row r="41" spans="1:49">
      <c r="Y41" s="60"/>
    </row>
    <row r="42" spans="1:49">
      <c r="Y42" s="60"/>
    </row>
    <row r="43" spans="1:49">
      <c r="Y43" s="60"/>
    </row>
    <row r="44" spans="1:49">
      <c r="Y44" s="60"/>
    </row>
    <row r="45" spans="1:49">
      <c r="Y45" s="60"/>
    </row>
    <row r="46" spans="1:49">
      <c r="Y46" s="51"/>
    </row>
    <row r="51" spans="24:48">
      <c r="X51" s="2" t="s">
        <v>144</v>
      </c>
      <c r="Y51" s="2"/>
      <c r="Z51" s="2"/>
    </row>
    <row r="52" spans="24:48">
      <c r="X52" s="45" t="s">
        <v>134</v>
      </c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4:48">
      <c r="X53" s="46" t="s">
        <v>136</v>
      </c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4:48">
      <c r="X54" s="46" t="s">
        <v>137</v>
      </c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4:48">
      <c r="X55" s="46" t="s">
        <v>138</v>
      </c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4:48">
      <c r="X56" s="46" t="s">
        <v>133</v>
      </c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4:48">
      <c r="X57" s="46" t="s">
        <v>135</v>
      </c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4:48"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4:48"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7"/>
      <c r="AK59" s="4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24:48"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7"/>
      <c r="AK60" s="4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24:48"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24:48"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24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24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5"/>
  <sheetViews>
    <sheetView workbookViewId="0">
      <selection activeCell="L15" sqref="L15"/>
    </sheetView>
  </sheetViews>
  <sheetFormatPr defaultColWidth="9.140625" defaultRowHeight="15"/>
  <cols>
    <col min="1" max="1" width="9.140625" style="24"/>
    <col min="2" max="2" width="9.140625" style="24" customWidth="1"/>
    <col min="3" max="4" width="9.140625" style="24" hidden="1" customWidth="1"/>
    <col min="5" max="11" width="9.140625" style="24"/>
    <col min="12" max="12" width="16" style="24" customWidth="1"/>
    <col min="13" max="16" width="9.140625" style="24"/>
    <col min="17" max="17" width="12" style="24" bestFit="1" customWidth="1"/>
    <col min="18" max="16384" width="9.140625" style="24"/>
  </cols>
  <sheetData>
    <row r="1" spans="1:19">
      <c r="A1" s="24" t="s">
        <v>222</v>
      </c>
      <c r="B1" s="24" t="s">
        <v>222</v>
      </c>
      <c r="C1" s="24" t="s">
        <v>155</v>
      </c>
      <c r="D1" s="24" t="s">
        <v>249</v>
      </c>
      <c r="E1" s="24" t="s">
        <v>156</v>
      </c>
      <c r="F1" s="24" t="s">
        <v>156</v>
      </c>
      <c r="G1" s="24" t="s">
        <v>156</v>
      </c>
      <c r="H1" s="24" t="s">
        <v>155</v>
      </c>
      <c r="I1" s="24" t="s">
        <v>156</v>
      </c>
      <c r="J1" s="24" t="s">
        <v>259</v>
      </c>
      <c r="O1" s="51" t="s">
        <v>293</v>
      </c>
      <c r="P1" s="51"/>
      <c r="Q1" s="51"/>
      <c r="R1" s="51"/>
    </row>
    <row r="2" spans="1:19">
      <c r="A2" s="57" t="s">
        <v>95</v>
      </c>
      <c r="B2" s="57" t="s">
        <v>93</v>
      </c>
      <c r="C2" s="57" t="s">
        <v>154</v>
      </c>
      <c r="D2" s="57" t="s">
        <v>221</v>
      </c>
      <c r="E2" s="57" t="s">
        <v>95</v>
      </c>
      <c r="F2" s="57" t="s">
        <v>93</v>
      </c>
      <c r="G2" s="57" t="s">
        <v>154</v>
      </c>
      <c r="H2" s="57" t="s">
        <v>154</v>
      </c>
      <c r="I2" s="57" t="s">
        <v>221</v>
      </c>
      <c r="J2" s="57" t="s">
        <v>221</v>
      </c>
      <c r="M2" s="24" t="s">
        <v>276</v>
      </c>
      <c r="O2" s="51" t="s">
        <v>95</v>
      </c>
      <c r="P2" s="51" t="s">
        <v>93</v>
      </c>
      <c r="Q2" s="51" t="s">
        <v>221</v>
      </c>
      <c r="R2" s="51" t="s">
        <v>262</v>
      </c>
    </row>
    <row r="3" spans="1:19">
      <c r="A3" s="24">
        <v>0</v>
      </c>
      <c r="B3" s="24">
        <f>A3</f>
        <v>0</v>
      </c>
      <c r="C3" s="24">
        <f t="shared" ref="C3:C13" si="0">1 - (A3* B3)</f>
        <v>1</v>
      </c>
      <c r="D3" s="24">
        <f t="shared" ref="D3:D24" si="1">1-(C3^$M$8)</f>
        <v>0</v>
      </c>
      <c r="E3" s="24">
        <f>MIN(1,(A3^2)*(1/($M$4^2)))</f>
        <v>0</v>
      </c>
      <c r="F3" s="24">
        <f>MIN(1,(B3^2)*(1/($M$5^2)))</f>
        <v>0</v>
      </c>
      <c r="G3" s="24">
        <f>1 - (E3* F3)</f>
        <v>1</v>
      </c>
      <c r="H3" s="24">
        <f>1 - ((A3^$M$10)* (B3^$M$11))</f>
        <v>1</v>
      </c>
      <c r="I3" s="24">
        <f t="shared" ref="I3:I24" si="2">(1-((G3)^$M$8))*$M$6</f>
        <v>0</v>
      </c>
      <c r="J3" s="24">
        <f t="shared" ref="J3:J24" si="3">1-(H3^$M$8)</f>
        <v>0</v>
      </c>
      <c r="L3" s="28" t="s">
        <v>224</v>
      </c>
      <c r="M3" s="28"/>
      <c r="N3" s="24" t="s">
        <v>266</v>
      </c>
      <c r="O3" s="51">
        <v>1</v>
      </c>
      <c r="P3" s="51">
        <v>0.8</v>
      </c>
      <c r="Q3" s="26">
        <f>1-((1 - ((MIN(1,(O3^2)*(1/($M$4^2))))* (MIN(1,(P3^2)*(1/($M$5^2))))*$M$6))^$M$8)</f>
        <v>1</v>
      </c>
      <c r="R3" s="26">
        <f>1-((1 - ((O3^$M$10)* (P3^$M$11)))^$M$8)</f>
        <v>0.98571044020355092</v>
      </c>
      <c r="S3" s="24" t="s">
        <v>265</v>
      </c>
    </row>
    <row r="4" spans="1:19">
      <c r="A4" s="24">
        <v>0.1</v>
      </c>
      <c r="B4" s="24">
        <f t="shared" ref="B4:B13" si="4">A4</f>
        <v>0.1</v>
      </c>
      <c r="C4" s="24">
        <f t="shared" si="0"/>
        <v>0.99</v>
      </c>
      <c r="D4" s="24">
        <f t="shared" si="1"/>
        <v>4.9009950100000088E-2</v>
      </c>
      <c r="E4" s="24">
        <f>MIN(1,(A4^2)*(1/($M$4^2)))</f>
        <v>1.0000000000000002E-2</v>
      </c>
      <c r="F4" s="24">
        <f t="shared" ref="F4:F13" si="5">MIN(1,(B4^2)*(1/($M$5^2)))</f>
        <v>1.5625E-2</v>
      </c>
      <c r="G4" s="24">
        <f t="shared" ref="G4:G24" si="6">1 - (E4* F4)</f>
        <v>0.99984375000000003</v>
      </c>
      <c r="H4" s="24">
        <f t="shared" ref="H4:H13" si="7">1 - ((A4^$M$10)* (B4^$M$11))</f>
        <v>0.99999000000000005</v>
      </c>
      <c r="I4" s="24">
        <f t="shared" si="2"/>
        <v>7.8100589751872729E-4</v>
      </c>
      <c r="J4" s="24">
        <f t="shared" si="3"/>
        <v>4.9999000009681716E-5</v>
      </c>
      <c r="L4" s="28" t="s">
        <v>219</v>
      </c>
      <c r="M4" s="28">
        <v>1</v>
      </c>
      <c r="N4" s="24" t="s">
        <v>260</v>
      </c>
    </row>
    <row r="5" spans="1:19">
      <c r="A5" s="24">
        <v>0.2</v>
      </c>
      <c r="B5" s="24">
        <f t="shared" si="4"/>
        <v>0.2</v>
      </c>
      <c r="C5" s="24">
        <f t="shared" si="0"/>
        <v>0.96</v>
      </c>
      <c r="D5" s="24">
        <f t="shared" si="1"/>
        <v>0.18462730240000003</v>
      </c>
      <c r="E5" s="24">
        <f t="shared" ref="E5:E13" si="8">MIN(1,(A5^2)*(1/($M$4^2)))</f>
        <v>4.0000000000000008E-2</v>
      </c>
      <c r="F5" s="24">
        <f t="shared" si="5"/>
        <v>6.25E-2</v>
      </c>
      <c r="G5" s="24">
        <f t="shared" si="6"/>
        <v>0.99750000000000005</v>
      </c>
      <c r="H5" s="24">
        <f t="shared" si="7"/>
        <v>0.99968000000000001</v>
      </c>
      <c r="I5" s="24">
        <f t="shared" si="2"/>
        <v>1.2437656054784862E-2</v>
      </c>
      <c r="J5" s="24">
        <f t="shared" si="3"/>
        <v>1.5989763276273994E-3</v>
      </c>
      <c r="L5" s="28" t="s">
        <v>220</v>
      </c>
      <c r="M5" s="28">
        <v>0.8</v>
      </c>
      <c r="N5" s="24" t="s">
        <v>284</v>
      </c>
    </row>
    <row r="6" spans="1:19">
      <c r="A6" s="24">
        <v>0.3</v>
      </c>
      <c r="B6" s="24">
        <f t="shared" si="4"/>
        <v>0.3</v>
      </c>
      <c r="C6" s="24">
        <f t="shared" si="0"/>
        <v>0.91</v>
      </c>
      <c r="D6" s="24">
        <f t="shared" si="1"/>
        <v>0.37596785489999984</v>
      </c>
      <c r="E6" s="24">
        <f t="shared" si="8"/>
        <v>0.09</v>
      </c>
      <c r="F6" s="24">
        <f t="shared" si="5"/>
        <v>0.14062499999999997</v>
      </c>
      <c r="G6" s="24">
        <f t="shared" si="6"/>
        <v>0.98734374999999996</v>
      </c>
      <c r="H6" s="24">
        <f t="shared" si="7"/>
        <v>0.99756999999999996</v>
      </c>
      <c r="I6" s="24">
        <f t="shared" si="2"/>
        <v>6.1699588260176963E-2</v>
      </c>
      <c r="J6" s="24">
        <f t="shared" si="3"/>
        <v>1.2091094314815809E-2</v>
      </c>
      <c r="L6" s="28" t="s">
        <v>263</v>
      </c>
      <c r="M6" s="28">
        <v>1</v>
      </c>
    </row>
    <row r="7" spans="1:19">
      <c r="A7" s="24">
        <v>0.4</v>
      </c>
      <c r="B7" s="24">
        <f t="shared" si="4"/>
        <v>0.4</v>
      </c>
      <c r="C7" s="24">
        <f t="shared" si="0"/>
        <v>0.84</v>
      </c>
      <c r="D7" s="24">
        <f t="shared" si="1"/>
        <v>0.58178805760000007</v>
      </c>
      <c r="E7" s="24">
        <f t="shared" si="8"/>
        <v>0.16000000000000003</v>
      </c>
      <c r="F7" s="24">
        <f t="shared" si="5"/>
        <v>0.25</v>
      </c>
      <c r="G7" s="24">
        <f t="shared" si="6"/>
        <v>0.96</v>
      </c>
      <c r="H7" s="24">
        <f t="shared" si="7"/>
        <v>0.98975999999999997</v>
      </c>
      <c r="I7" s="24">
        <f t="shared" si="2"/>
        <v>0.18462730240000003</v>
      </c>
      <c r="J7" s="24">
        <f t="shared" si="3"/>
        <v>5.0162106555248775E-2</v>
      </c>
      <c r="L7" s="26" t="s">
        <v>300</v>
      </c>
      <c r="M7" s="26">
        <v>1</v>
      </c>
      <c r="N7" s="24" t="s">
        <v>264</v>
      </c>
    </row>
    <row r="8" spans="1:19">
      <c r="A8" s="24">
        <v>0.5</v>
      </c>
      <c r="B8" s="24">
        <f t="shared" si="4"/>
        <v>0.5</v>
      </c>
      <c r="C8" s="24">
        <f t="shared" si="0"/>
        <v>0.75</v>
      </c>
      <c r="D8" s="24">
        <f t="shared" si="1"/>
        <v>0.7626953125</v>
      </c>
      <c r="E8" s="24">
        <f t="shared" si="8"/>
        <v>0.25</v>
      </c>
      <c r="F8" s="24">
        <f t="shared" si="5"/>
        <v>0.39062499999999994</v>
      </c>
      <c r="G8" s="24">
        <f t="shared" si="6"/>
        <v>0.90234375</v>
      </c>
      <c r="H8" s="24">
        <f t="shared" si="7"/>
        <v>0.96875</v>
      </c>
      <c r="I8" s="24">
        <f t="shared" si="2"/>
        <v>0.40178117853884032</v>
      </c>
      <c r="J8" s="24">
        <f t="shared" si="3"/>
        <v>0.14678481221199036</v>
      </c>
      <c r="L8" s="28" t="s">
        <v>223</v>
      </c>
      <c r="M8" s="28">
        <v>5</v>
      </c>
    </row>
    <row r="9" spans="1:19">
      <c r="A9" s="24">
        <v>0.6</v>
      </c>
      <c r="B9" s="24">
        <f t="shared" si="4"/>
        <v>0.6</v>
      </c>
      <c r="C9" s="24">
        <f t="shared" si="0"/>
        <v>0.64</v>
      </c>
      <c r="D9" s="24">
        <f t="shared" si="1"/>
        <v>0.89262581760000004</v>
      </c>
      <c r="E9" s="24">
        <f t="shared" si="8"/>
        <v>0.36</v>
      </c>
      <c r="F9" s="24">
        <f t="shared" si="5"/>
        <v>0.56249999999999989</v>
      </c>
      <c r="G9" s="24">
        <f t="shared" si="6"/>
        <v>0.7975000000000001</v>
      </c>
      <c r="H9" s="24">
        <f t="shared" si="7"/>
        <v>0.92223999999999995</v>
      </c>
      <c r="I9" s="24">
        <f t="shared" si="2"/>
        <v>0.67740809984384742</v>
      </c>
      <c r="J9" s="24">
        <f t="shared" si="3"/>
        <v>0.33285570895256</v>
      </c>
      <c r="L9" s="26" t="s">
        <v>261</v>
      </c>
      <c r="M9" s="26"/>
    </row>
    <row r="10" spans="1:19">
      <c r="A10" s="24">
        <v>0.7</v>
      </c>
      <c r="B10" s="24">
        <f t="shared" si="4"/>
        <v>0.7</v>
      </c>
      <c r="C10" s="24">
        <f t="shared" si="0"/>
        <v>0.51</v>
      </c>
      <c r="D10" s="24">
        <f t="shared" si="1"/>
        <v>0.96549747490000004</v>
      </c>
      <c r="E10" s="24">
        <f t="shared" si="8"/>
        <v>0.48999999999999994</v>
      </c>
      <c r="F10" s="24">
        <f t="shared" si="5"/>
        <v>0.76562499999999978</v>
      </c>
      <c r="G10" s="24">
        <f t="shared" si="6"/>
        <v>0.62484375000000014</v>
      </c>
      <c r="H10" s="24">
        <f t="shared" si="7"/>
        <v>0.83193000000000006</v>
      </c>
      <c r="I10" s="24">
        <f t="shared" si="2"/>
        <v>0.9047517180591802</v>
      </c>
      <c r="J10" s="24">
        <f t="shared" si="3"/>
        <v>0.60149485964651572</v>
      </c>
      <c r="L10" s="26" t="s">
        <v>219</v>
      </c>
      <c r="M10" s="26">
        <v>2.5</v>
      </c>
    </row>
    <row r="11" spans="1:19">
      <c r="A11" s="24">
        <v>0.8</v>
      </c>
      <c r="B11" s="24">
        <f t="shared" si="4"/>
        <v>0.8</v>
      </c>
      <c r="C11" s="24">
        <f t="shared" si="0"/>
        <v>0.35999999999999988</v>
      </c>
      <c r="D11" s="24">
        <f t="shared" si="1"/>
        <v>0.99395338239999997</v>
      </c>
      <c r="E11" s="24">
        <f t="shared" si="8"/>
        <v>0.64000000000000012</v>
      </c>
      <c r="F11" s="24">
        <f t="shared" si="5"/>
        <v>1</v>
      </c>
      <c r="G11" s="24">
        <f t="shared" si="6"/>
        <v>0.35999999999999988</v>
      </c>
      <c r="H11" s="24">
        <f t="shared" si="7"/>
        <v>0.67232000000000003</v>
      </c>
      <c r="I11" s="24">
        <f t="shared" si="2"/>
        <v>0.99395338239999997</v>
      </c>
      <c r="J11" s="24">
        <f t="shared" si="3"/>
        <v>0.86263371484427331</v>
      </c>
      <c r="L11" s="26" t="s">
        <v>220</v>
      </c>
      <c r="M11" s="26">
        <v>2.5</v>
      </c>
    </row>
    <row r="12" spans="1:19">
      <c r="A12" s="24">
        <v>0.9</v>
      </c>
      <c r="B12" s="24">
        <f t="shared" si="4"/>
        <v>0.9</v>
      </c>
      <c r="C12" s="24">
        <f t="shared" si="0"/>
        <v>0.18999999999999995</v>
      </c>
      <c r="D12" s="24">
        <f t="shared" si="1"/>
        <v>0.99975239010000005</v>
      </c>
      <c r="E12" s="24">
        <f t="shared" si="8"/>
        <v>0.81</v>
      </c>
      <c r="F12" s="24">
        <f t="shared" si="5"/>
        <v>1</v>
      </c>
      <c r="G12" s="24">
        <f t="shared" si="6"/>
        <v>0.18999999999999995</v>
      </c>
      <c r="H12" s="24">
        <f t="shared" si="7"/>
        <v>0.40950999999999993</v>
      </c>
      <c r="I12" s="24">
        <f t="shared" si="2"/>
        <v>0.99975239010000005</v>
      </c>
      <c r="J12" s="24">
        <f t="shared" si="3"/>
        <v>0.98848344576282887</v>
      </c>
    </row>
    <row r="13" spans="1:19">
      <c r="A13" s="57">
        <v>1</v>
      </c>
      <c r="B13" s="57">
        <f t="shared" si="4"/>
        <v>1</v>
      </c>
      <c r="C13" s="57">
        <f t="shared" si="0"/>
        <v>0</v>
      </c>
      <c r="D13" s="57">
        <f t="shared" si="1"/>
        <v>1</v>
      </c>
      <c r="E13" s="57">
        <f t="shared" si="8"/>
        <v>1</v>
      </c>
      <c r="F13" s="57">
        <f t="shared" si="5"/>
        <v>1</v>
      </c>
      <c r="G13" s="57">
        <f t="shared" si="6"/>
        <v>0</v>
      </c>
      <c r="H13" s="57">
        <f t="shared" si="7"/>
        <v>0</v>
      </c>
      <c r="I13" s="57">
        <f t="shared" si="2"/>
        <v>1</v>
      </c>
      <c r="J13" s="57">
        <f t="shared" si="3"/>
        <v>1</v>
      </c>
      <c r="L13" s="26" t="s">
        <v>86</v>
      </c>
      <c r="M13" s="26"/>
      <c r="N13" s="26"/>
    </row>
    <row r="14" spans="1:19">
      <c r="A14" s="24">
        <v>1</v>
      </c>
      <c r="B14" s="24">
        <v>0</v>
      </c>
      <c r="C14" s="24">
        <f t="shared" ref="C14:C24" si="9">1 - (A14* B14)</f>
        <v>1</v>
      </c>
      <c r="D14" s="24">
        <f t="shared" si="1"/>
        <v>0</v>
      </c>
      <c r="E14" s="24">
        <f>MIN(1,(A14^2)*(1/($M$4^2)))</f>
        <v>1</v>
      </c>
      <c r="F14" s="24">
        <f>MIN(1,(B14^2)*(1/($M$5^2)))</f>
        <v>0</v>
      </c>
      <c r="G14" s="24">
        <f t="shared" si="6"/>
        <v>1</v>
      </c>
      <c r="H14" s="24">
        <f>1 - ((A14^$M$10)* (B14^$M$11))</f>
        <v>1</v>
      </c>
      <c r="I14" s="24">
        <f t="shared" si="2"/>
        <v>0</v>
      </c>
      <c r="J14" s="24">
        <f t="shared" si="3"/>
        <v>0</v>
      </c>
      <c r="L14" s="28" t="s">
        <v>298</v>
      </c>
      <c r="M14" s="28"/>
      <c r="N14" s="28"/>
    </row>
    <row r="15" spans="1:19">
      <c r="A15" s="24">
        <v>1</v>
      </c>
      <c r="B15" s="24">
        <v>0.1</v>
      </c>
      <c r="C15" s="24">
        <f t="shared" si="9"/>
        <v>0.9</v>
      </c>
      <c r="D15" s="24">
        <f t="shared" si="1"/>
        <v>0.40950999999999982</v>
      </c>
      <c r="E15" s="24">
        <f>MIN(1,(A15^2)*(1/($M$4^2)))</f>
        <v>1</v>
      </c>
      <c r="F15" s="24">
        <f t="shared" ref="F15:F24" si="10">MIN(1,(B15^2)*(1/($M$5^2)))</f>
        <v>1.5625E-2</v>
      </c>
      <c r="G15" s="24">
        <f t="shared" si="6"/>
        <v>0.984375</v>
      </c>
      <c r="H15" s="24">
        <f t="shared" ref="H15:H24" si="11">1 - ((A15^$M$10)* (B15^$M$11))</f>
        <v>0.99683772233983159</v>
      </c>
      <c r="I15" s="24">
        <f t="shared" si="2"/>
        <v>7.5721443630754948E-2</v>
      </c>
      <c r="J15" s="24">
        <f t="shared" si="3"/>
        <v>1.5711704028924411E-2</v>
      </c>
    </row>
    <row r="16" spans="1:19">
      <c r="A16" s="24">
        <v>1</v>
      </c>
      <c r="B16" s="24">
        <v>0.2</v>
      </c>
      <c r="C16" s="24">
        <f t="shared" si="9"/>
        <v>0.8</v>
      </c>
      <c r="D16" s="24">
        <f t="shared" si="1"/>
        <v>0.67231999999999981</v>
      </c>
      <c r="E16" s="24">
        <f t="shared" ref="E16:E24" si="12">MIN(1,(A16^2)*(1/($M$4^2)))</f>
        <v>1</v>
      </c>
      <c r="F16" s="24">
        <f t="shared" si="10"/>
        <v>6.25E-2</v>
      </c>
      <c r="G16" s="24">
        <f t="shared" si="6"/>
        <v>0.9375</v>
      </c>
      <c r="H16" s="24">
        <f t="shared" si="11"/>
        <v>0.98211145618000173</v>
      </c>
      <c r="I16" s="24">
        <f t="shared" si="2"/>
        <v>0.27580356597900391</v>
      </c>
      <c r="J16" s="24">
        <f t="shared" si="3"/>
        <v>8.6299452272002308E-2</v>
      </c>
    </row>
    <row r="17" spans="1:16">
      <c r="A17" s="24">
        <v>1</v>
      </c>
      <c r="B17" s="24">
        <v>0.3</v>
      </c>
      <c r="C17" s="24">
        <f t="shared" si="9"/>
        <v>0.7</v>
      </c>
      <c r="D17" s="24">
        <f t="shared" si="1"/>
        <v>0.83193000000000006</v>
      </c>
      <c r="E17" s="24">
        <f t="shared" si="12"/>
        <v>1</v>
      </c>
      <c r="F17" s="24">
        <f t="shared" si="10"/>
        <v>0.14062499999999997</v>
      </c>
      <c r="G17" s="24">
        <f t="shared" si="6"/>
        <v>0.859375</v>
      </c>
      <c r="H17" s="24">
        <f t="shared" si="11"/>
        <v>0.95070496982453512</v>
      </c>
      <c r="I17" s="24">
        <f t="shared" si="2"/>
        <v>0.53127990011125803</v>
      </c>
      <c r="J17" s="24">
        <f t="shared" si="3"/>
        <v>0.22334378669281185</v>
      </c>
    </row>
    <row r="18" spans="1:16">
      <c r="A18" s="24">
        <v>1</v>
      </c>
      <c r="B18" s="24">
        <v>0.4</v>
      </c>
      <c r="C18" s="24">
        <f t="shared" si="9"/>
        <v>0.6</v>
      </c>
      <c r="D18" s="24">
        <f t="shared" si="1"/>
        <v>0.92223999999999995</v>
      </c>
      <c r="E18" s="24">
        <f t="shared" si="12"/>
        <v>1</v>
      </c>
      <c r="F18" s="24">
        <f t="shared" si="10"/>
        <v>0.25</v>
      </c>
      <c r="G18" s="24">
        <f t="shared" si="6"/>
        <v>0.75</v>
      </c>
      <c r="H18" s="24">
        <f t="shared" si="11"/>
        <v>0.89880711487461185</v>
      </c>
      <c r="I18" s="24">
        <f t="shared" si="2"/>
        <v>0.7626953125</v>
      </c>
      <c r="J18" s="24">
        <f t="shared" si="3"/>
        <v>0.41341289990685182</v>
      </c>
    </row>
    <row r="19" spans="1:16">
      <c r="A19" s="24">
        <v>1</v>
      </c>
      <c r="B19" s="24">
        <v>0.5</v>
      </c>
      <c r="C19" s="24">
        <f t="shared" si="9"/>
        <v>0.5</v>
      </c>
      <c r="D19" s="24">
        <f t="shared" si="1"/>
        <v>0.96875</v>
      </c>
      <c r="E19" s="24">
        <f t="shared" si="12"/>
        <v>1</v>
      </c>
      <c r="F19" s="24">
        <f t="shared" si="10"/>
        <v>0.39062499999999994</v>
      </c>
      <c r="G19" s="24">
        <f t="shared" si="6"/>
        <v>0.609375</v>
      </c>
      <c r="H19" s="24">
        <f t="shared" si="11"/>
        <v>0.82322330470336313</v>
      </c>
      <c r="I19" s="24">
        <f t="shared" si="2"/>
        <v>0.91597216669470072</v>
      </c>
      <c r="J19" s="24">
        <f t="shared" si="3"/>
        <v>0.62191601475488401</v>
      </c>
    </row>
    <row r="20" spans="1:16">
      <c r="A20" s="24">
        <v>1</v>
      </c>
      <c r="B20" s="24">
        <v>0.6</v>
      </c>
      <c r="C20" s="24">
        <f t="shared" si="9"/>
        <v>0.4</v>
      </c>
      <c r="D20" s="24">
        <f t="shared" si="1"/>
        <v>0.98975999999999997</v>
      </c>
      <c r="E20" s="24">
        <f t="shared" si="12"/>
        <v>1</v>
      </c>
      <c r="F20" s="24">
        <f t="shared" si="10"/>
        <v>0.56249999999999989</v>
      </c>
      <c r="G20" s="24">
        <f t="shared" si="6"/>
        <v>0.43750000000000011</v>
      </c>
      <c r="H20" s="24">
        <f t="shared" si="11"/>
        <v>0.72114519907306596</v>
      </c>
      <c r="I20" s="24">
        <f t="shared" si="2"/>
        <v>0.98397159576416016</v>
      </c>
      <c r="J20" s="24">
        <f t="shared" si="3"/>
        <v>0.80496453818258329</v>
      </c>
    </row>
    <row r="21" spans="1:16">
      <c r="A21" s="24">
        <v>1</v>
      </c>
      <c r="B21" s="24">
        <v>0.7</v>
      </c>
      <c r="C21" s="24">
        <f t="shared" si="9"/>
        <v>0.30000000000000004</v>
      </c>
      <c r="D21" s="24">
        <f t="shared" si="1"/>
        <v>0.99756999999999996</v>
      </c>
      <c r="E21" s="24">
        <f t="shared" si="12"/>
        <v>1</v>
      </c>
      <c r="F21" s="24">
        <f t="shared" si="10"/>
        <v>0.76562499999999978</v>
      </c>
      <c r="G21" s="24">
        <f t="shared" si="6"/>
        <v>0.23437500000000022</v>
      </c>
      <c r="H21" s="24">
        <f t="shared" si="11"/>
        <v>0.59003658699830308</v>
      </c>
      <c r="I21" s="24">
        <f t="shared" si="2"/>
        <v>0.99929277691990137</v>
      </c>
      <c r="J21" s="24">
        <f t="shared" si="3"/>
        <v>0.92848540045729167</v>
      </c>
    </row>
    <row r="22" spans="1:16">
      <c r="A22" s="24">
        <v>1</v>
      </c>
      <c r="B22" s="24">
        <v>0.8</v>
      </c>
      <c r="C22" s="24">
        <f t="shared" si="9"/>
        <v>0.19999999999999996</v>
      </c>
      <c r="D22" s="24">
        <f t="shared" si="1"/>
        <v>0.99968000000000001</v>
      </c>
      <c r="E22" s="24">
        <f t="shared" si="12"/>
        <v>1</v>
      </c>
      <c r="F22" s="24">
        <f t="shared" si="10"/>
        <v>1</v>
      </c>
      <c r="G22" s="24">
        <f t="shared" si="6"/>
        <v>0</v>
      </c>
      <c r="H22" s="24">
        <f t="shared" si="11"/>
        <v>0.42756659776005379</v>
      </c>
      <c r="I22" s="24">
        <f t="shared" si="2"/>
        <v>1</v>
      </c>
      <c r="J22" s="24">
        <f t="shared" si="3"/>
        <v>0.98571044020355092</v>
      </c>
    </row>
    <row r="23" spans="1:16">
      <c r="A23" s="24">
        <v>1</v>
      </c>
      <c r="B23" s="24">
        <v>0.9</v>
      </c>
      <c r="C23" s="24">
        <f t="shared" si="9"/>
        <v>9.9999999999999978E-2</v>
      </c>
      <c r="D23" s="24">
        <f t="shared" si="1"/>
        <v>0.99999000000000005</v>
      </c>
      <c r="E23" s="24">
        <f t="shared" si="12"/>
        <v>1</v>
      </c>
      <c r="F23" s="24">
        <f t="shared" si="10"/>
        <v>1</v>
      </c>
      <c r="G23" s="24">
        <f t="shared" si="6"/>
        <v>0</v>
      </c>
      <c r="H23" s="24">
        <f t="shared" si="11"/>
        <v>0.23156652857908377</v>
      </c>
      <c r="I23" s="24">
        <f t="shared" si="2"/>
        <v>1</v>
      </c>
      <c r="J23" s="24">
        <f t="shared" si="3"/>
        <v>0.99933414613362181</v>
      </c>
      <c r="L23" s="2" t="s">
        <v>285</v>
      </c>
      <c r="M23" s="2"/>
      <c r="N23" s="2"/>
      <c r="O23" s="2"/>
      <c r="P23" s="2"/>
    </row>
    <row r="24" spans="1:16">
      <c r="A24" s="57">
        <v>1</v>
      </c>
      <c r="B24" s="57">
        <v>1</v>
      </c>
      <c r="C24" s="57">
        <f t="shared" si="9"/>
        <v>0</v>
      </c>
      <c r="D24" s="57">
        <f t="shared" si="1"/>
        <v>1</v>
      </c>
      <c r="E24" s="57">
        <f t="shared" si="12"/>
        <v>1</v>
      </c>
      <c r="F24" s="57">
        <f t="shared" si="10"/>
        <v>1</v>
      </c>
      <c r="G24" s="57">
        <f t="shared" si="6"/>
        <v>0</v>
      </c>
      <c r="H24" s="57">
        <f t="shared" si="11"/>
        <v>0</v>
      </c>
      <c r="I24" s="57">
        <f t="shared" si="2"/>
        <v>1</v>
      </c>
      <c r="J24" s="57">
        <f t="shared" si="3"/>
        <v>1</v>
      </c>
      <c r="L24" s="2" t="s">
        <v>286</v>
      </c>
      <c r="M24" s="2"/>
      <c r="N24" s="2"/>
      <c r="O24" s="2"/>
      <c r="P24" s="2"/>
    </row>
    <row r="25" spans="1:16">
      <c r="L25" s="2" t="s">
        <v>287</v>
      </c>
      <c r="M25" s="2"/>
      <c r="N25" s="2"/>
      <c r="O25" s="2"/>
      <c r="P25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O33"/>
  <sheetViews>
    <sheetView workbookViewId="0">
      <selection activeCell="E4" sqref="E4"/>
    </sheetView>
  </sheetViews>
  <sheetFormatPr defaultRowHeight="15"/>
  <cols>
    <col min="5" max="5" width="10.140625" customWidth="1"/>
    <col min="8" max="8" width="8.85546875" style="24"/>
    <col min="12" max="12" width="8.85546875" style="24"/>
  </cols>
  <sheetData>
    <row r="1" spans="1:9" s="24" customFormat="1">
      <c r="C1" s="24" t="s">
        <v>254</v>
      </c>
    </row>
    <row r="2" spans="1:9">
      <c r="A2" s="24" t="s">
        <v>189</v>
      </c>
      <c r="C2" s="28" t="s">
        <v>8</v>
      </c>
      <c r="D2" s="28" t="s">
        <v>197</v>
      </c>
      <c r="E2" s="28" t="s">
        <v>289</v>
      </c>
      <c r="F2" s="24" t="s">
        <v>198</v>
      </c>
      <c r="G2" s="53" t="s">
        <v>199</v>
      </c>
      <c r="H2" s="4" t="s">
        <v>202</v>
      </c>
      <c r="I2" s="24"/>
    </row>
    <row r="3" spans="1:9">
      <c r="A3" s="24">
        <v>0</v>
      </c>
      <c r="B3" s="24" t="s">
        <v>297</v>
      </c>
      <c r="C3" s="28">
        <v>2.6</v>
      </c>
      <c r="D3" s="28">
        <v>3</v>
      </c>
      <c r="E3" s="28">
        <v>4</v>
      </c>
      <c r="F3" s="24">
        <f t="shared" ref="F3:F13" si="0">A3^$E$3</f>
        <v>0</v>
      </c>
      <c r="G3" s="53">
        <f>$C$3+(($D$3-$C$3)*F3)</f>
        <v>2.6</v>
      </c>
      <c r="H3" s="24">
        <v>2.6</v>
      </c>
      <c r="I3" s="24"/>
    </row>
    <row r="4" spans="1:9">
      <c r="A4" s="24">
        <v>0.1</v>
      </c>
      <c r="B4" s="24" t="s">
        <v>296</v>
      </c>
      <c r="C4" s="28"/>
      <c r="D4" s="28"/>
      <c r="E4" s="26">
        <v>0</v>
      </c>
      <c r="F4" s="24">
        <f t="shared" si="0"/>
        <v>1.0000000000000005E-4</v>
      </c>
      <c r="G4" s="53">
        <f>$C$3+(($D$3-$C$3)*F4)</f>
        <v>2.6000399999999999</v>
      </c>
      <c r="I4" s="24"/>
    </row>
    <row r="5" spans="1:9">
      <c r="A5" s="24">
        <v>0.2</v>
      </c>
      <c r="B5" s="24"/>
      <c r="C5" s="24"/>
      <c r="D5" s="24"/>
      <c r="E5" s="24"/>
      <c r="F5" s="24">
        <f t="shared" si="0"/>
        <v>1.6000000000000007E-3</v>
      </c>
      <c r="G5" s="53">
        <f t="shared" ref="G5:G13" si="1">$C$3+(($D$3-$C$3)*F5)</f>
        <v>2.6006400000000003</v>
      </c>
      <c r="I5" s="24"/>
    </row>
    <row r="6" spans="1:9">
      <c r="A6" s="24">
        <v>0.3</v>
      </c>
      <c r="B6" s="24"/>
      <c r="C6" s="26" t="s">
        <v>86</v>
      </c>
      <c r="D6" s="26"/>
      <c r="E6" s="26"/>
      <c r="F6" s="24">
        <f t="shared" si="0"/>
        <v>8.0999999999999996E-3</v>
      </c>
      <c r="G6" s="53">
        <f t="shared" si="1"/>
        <v>2.60324</v>
      </c>
      <c r="I6" s="24"/>
    </row>
    <row r="7" spans="1:9">
      <c r="A7" s="24">
        <v>0.4</v>
      </c>
      <c r="B7" s="24"/>
      <c r="C7" s="28" t="s">
        <v>298</v>
      </c>
      <c r="D7" s="28"/>
      <c r="E7" s="28"/>
      <c r="F7" s="24">
        <f t="shared" si="0"/>
        <v>2.5600000000000012E-2</v>
      </c>
      <c r="G7" s="53">
        <f t="shared" si="1"/>
        <v>2.6102400000000001</v>
      </c>
      <c r="I7" s="24"/>
    </row>
    <row r="8" spans="1:9">
      <c r="A8" s="24">
        <v>0.5</v>
      </c>
      <c r="B8" s="24"/>
      <c r="C8" s="24"/>
      <c r="D8" s="24"/>
      <c r="E8" s="24"/>
      <c r="F8" s="24">
        <f t="shared" si="0"/>
        <v>6.25E-2</v>
      </c>
      <c r="G8" s="53">
        <f t="shared" si="1"/>
        <v>2.625</v>
      </c>
      <c r="H8" s="24">
        <v>2.63</v>
      </c>
      <c r="I8" s="24"/>
    </row>
    <row r="9" spans="1:9">
      <c r="A9" s="24">
        <v>0.6</v>
      </c>
      <c r="B9" s="24"/>
      <c r="C9" s="24"/>
      <c r="D9" s="24"/>
      <c r="E9" s="24"/>
      <c r="F9" s="24">
        <f t="shared" si="0"/>
        <v>0.12959999999999999</v>
      </c>
      <c r="G9" s="53">
        <f t="shared" si="1"/>
        <v>2.65184</v>
      </c>
      <c r="I9" s="24"/>
    </row>
    <row r="10" spans="1:9">
      <c r="A10" s="24">
        <v>0.7</v>
      </c>
      <c r="B10" s="24"/>
      <c r="C10" s="24"/>
      <c r="D10" s="24"/>
      <c r="E10" s="24"/>
      <c r="F10" s="24">
        <f t="shared" si="0"/>
        <v>0.24009999999999992</v>
      </c>
      <c r="G10" s="53">
        <f t="shared" si="1"/>
        <v>2.69604</v>
      </c>
      <c r="I10" s="24"/>
    </row>
    <row r="11" spans="1:9">
      <c r="A11" s="24">
        <v>0.8</v>
      </c>
      <c r="B11" s="24"/>
      <c r="C11" s="24"/>
      <c r="D11" s="24"/>
      <c r="E11" s="24"/>
      <c r="F11" s="24">
        <f t="shared" si="0"/>
        <v>0.40960000000000019</v>
      </c>
      <c r="G11" s="53">
        <f t="shared" si="1"/>
        <v>2.7638400000000001</v>
      </c>
      <c r="H11" s="24">
        <v>2.75</v>
      </c>
      <c r="I11" s="24"/>
    </row>
    <row r="12" spans="1:9">
      <c r="A12" s="24">
        <v>0.9</v>
      </c>
      <c r="B12" s="24"/>
      <c r="C12" s="24"/>
      <c r="D12" s="24"/>
      <c r="E12" s="24"/>
      <c r="F12" s="24">
        <f t="shared" si="0"/>
        <v>0.65610000000000013</v>
      </c>
      <c r="G12" s="53">
        <f t="shared" si="1"/>
        <v>2.8624400000000003</v>
      </c>
      <c r="I12" s="24"/>
    </row>
    <row r="13" spans="1:9">
      <c r="A13" s="24">
        <v>1</v>
      </c>
      <c r="B13" s="24"/>
      <c r="C13" s="24"/>
      <c r="D13" s="24"/>
      <c r="E13" s="24"/>
      <c r="F13" s="24">
        <f t="shared" si="0"/>
        <v>1</v>
      </c>
      <c r="G13" s="53">
        <f t="shared" si="1"/>
        <v>3</v>
      </c>
      <c r="H13" s="24">
        <v>3</v>
      </c>
      <c r="I13" s="24"/>
    </row>
    <row r="14" spans="1:9">
      <c r="A14" s="24"/>
      <c r="B14" s="24"/>
      <c r="C14" s="24"/>
      <c r="D14" s="24"/>
      <c r="E14" s="24"/>
      <c r="F14" s="24"/>
      <c r="G14" s="24"/>
    </row>
    <row r="15" spans="1:9">
      <c r="A15" s="24"/>
      <c r="B15" s="24"/>
      <c r="C15" s="24"/>
      <c r="D15" s="24"/>
      <c r="E15" s="24"/>
      <c r="F15" s="24"/>
      <c r="G15" s="24"/>
    </row>
    <row r="16" spans="1:9">
      <c r="A16" s="24"/>
      <c r="B16" s="24"/>
      <c r="C16" s="24"/>
      <c r="D16" s="24"/>
      <c r="E16" s="24"/>
      <c r="F16" s="24"/>
      <c r="G16" s="24"/>
    </row>
    <row r="17" spans="1:15">
      <c r="A17" s="24"/>
      <c r="B17" s="24"/>
      <c r="C17" s="24"/>
      <c r="D17" s="24"/>
      <c r="E17" s="24"/>
      <c r="F17" s="24"/>
      <c r="G17" s="24"/>
      <c r="I17" s="24"/>
    </row>
    <row r="18" spans="1:15">
      <c r="A18" s="24"/>
      <c r="B18" s="24"/>
      <c r="C18" s="24"/>
      <c r="D18" s="24"/>
      <c r="E18" s="24"/>
      <c r="F18" s="24"/>
      <c r="G18" s="24"/>
      <c r="I18" s="24"/>
      <c r="O18" s="24"/>
    </row>
    <row r="19" spans="1:15">
      <c r="A19" s="24"/>
      <c r="B19" s="24"/>
      <c r="C19" s="24"/>
      <c r="D19" s="24"/>
      <c r="E19" s="24"/>
      <c r="F19" s="24"/>
      <c r="G19" s="24"/>
      <c r="I19" s="24"/>
      <c r="O19" s="24"/>
    </row>
    <row r="20" spans="1:15">
      <c r="A20" s="24"/>
      <c r="B20" s="24"/>
      <c r="C20" s="24"/>
      <c r="D20" s="24"/>
      <c r="E20" s="24"/>
      <c r="F20" s="24"/>
      <c r="G20" s="24"/>
      <c r="I20" s="24"/>
      <c r="O20" s="24"/>
    </row>
    <row r="21" spans="1:15">
      <c r="A21" s="24"/>
      <c r="B21" s="24"/>
      <c r="C21" s="24"/>
      <c r="D21" s="24"/>
      <c r="E21" s="24"/>
      <c r="F21" s="24"/>
      <c r="G21" s="24"/>
      <c r="I21" s="24"/>
      <c r="O21" s="24"/>
    </row>
    <row r="22" spans="1:15">
      <c r="A22" s="24"/>
      <c r="B22" s="24"/>
      <c r="C22" s="24"/>
      <c r="D22" s="24"/>
      <c r="E22" s="24"/>
      <c r="F22" s="24"/>
      <c r="G22" s="24"/>
    </row>
    <row r="23" spans="1:15">
      <c r="A23" s="24"/>
      <c r="B23" s="24"/>
      <c r="C23" s="24"/>
      <c r="D23" s="24"/>
      <c r="E23" s="24"/>
      <c r="F23" s="24"/>
      <c r="G23" s="24"/>
    </row>
    <row r="24" spans="1:15">
      <c r="A24" s="24"/>
      <c r="B24" s="24"/>
      <c r="C24" s="24"/>
      <c r="D24" s="24"/>
      <c r="E24" s="24"/>
      <c r="F24" s="24"/>
      <c r="G24" s="24"/>
    </row>
    <row r="25" spans="1:15">
      <c r="A25" s="24"/>
      <c r="B25" s="24"/>
      <c r="C25" s="24"/>
      <c r="D25" s="24"/>
      <c r="E25" s="24"/>
      <c r="F25" s="24"/>
      <c r="G25" s="24"/>
    </row>
    <row r="26" spans="1:15">
      <c r="A26" s="24"/>
      <c r="B26" s="24"/>
      <c r="C26" s="24"/>
      <c r="D26" s="24"/>
      <c r="E26" s="24"/>
      <c r="F26" s="24"/>
      <c r="G26" s="24"/>
    </row>
    <row r="27" spans="1:15">
      <c r="A27" s="24"/>
      <c r="B27" s="24"/>
      <c r="C27" s="24"/>
      <c r="D27" s="24"/>
      <c r="E27" s="24"/>
      <c r="F27" s="24"/>
      <c r="G27" s="24"/>
    </row>
    <row r="28" spans="1:15">
      <c r="A28" s="24"/>
      <c r="B28" s="24"/>
      <c r="C28" s="24"/>
      <c r="D28" s="24"/>
      <c r="E28" s="24"/>
      <c r="F28" s="24"/>
      <c r="G28" s="24"/>
    </row>
    <row r="29" spans="1:15">
      <c r="A29" s="24"/>
      <c r="B29" s="24"/>
      <c r="C29" s="24"/>
      <c r="D29" s="24"/>
      <c r="E29" s="24"/>
      <c r="F29" s="24"/>
      <c r="G29" s="24"/>
    </row>
    <row r="30" spans="1:15">
      <c r="A30" s="24"/>
      <c r="B30" s="24"/>
      <c r="C30" s="24"/>
      <c r="D30" s="24"/>
      <c r="E30" s="24"/>
      <c r="F30" s="24"/>
      <c r="G30" s="24"/>
    </row>
    <row r="31" spans="1:15">
      <c r="A31" s="24"/>
      <c r="B31" s="24"/>
      <c r="C31" s="24"/>
      <c r="D31" s="24"/>
      <c r="E31" s="24"/>
      <c r="F31" s="24"/>
      <c r="G31" s="24"/>
    </row>
    <row r="32" spans="1:15">
      <c r="A32" s="24"/>
      <c r="B32" s="24"/>
      <c r="C32" s="24"/>
      <c r="D32" s="24"/>
      <c r="E32" s="24"/>
      <c r="F32" s="24"/>
      <c r="G32" s="24"/>
    </row>
    <row r="33" spans="1:7">
      <c r="A33" s="24"/>
      <c r="B33" s="24"/>
      <c r="C33" s="24"/>
      <c r="D33" s="24"/>
      <c r="E33" s="24"/>
      <c r="F33" s="24"/>
      <c r="G33" s="2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I12"/>
  <sheetViews>
    <sheetView workbookViewId="0">
      <selection activeCell="C3" sqref="C3:E3"/>
    </sheetView>
  </sheetViews>
  <sheetFormatPr defaultColWidth="9.140625" defaultRowHeight="15"/>
  <cols>
    <col min="1" max="1" width="9.140625" style="24"/>
    <col min="2" max="2" width="10.140625" style="24" customWidth="1"/>
    <col min="3" max="3" width="11.5703125" style="24" customWidth="1"/>
    <col min="4" max="4" width="10.42578125" style="24" customWidth="1"/>
    <col min="5" max="5" width="12.42578125" style="24" customWidth="1"/>
    <col min="6" max="6" width="9.85546875" style="24" customWidth="1"/>
    <col min="7" max="7" width="11.42578125" style="24" customWidth="1"/>
    <col min="8" max="8" width="6.5703125" style="24" customWidth="1"/>
    <col min="9" max="16384" width="9.140625" style="24"/>
  </cols>
  <sheetData>
    <row r="1" spans="1:9">
      <c r="A1" s="24" t="s">
        <v>189</v>
      </c>
      <c r="C1" s="28" t="s">
        <v>288</v>
      </c>
      <c r="D1" s="28" t="s">
        <v>201</v>
      </c>
      <c r="E1" s="28" t="s">
        <v>211</v>
      </c>
      <c r="F1" s="24" t="s">
        <v>200</v>
      </c>
      <c r="G1" s="54" t="s">
        <v>196</v>
      </c>
      <c r="H1" s="4" t="s">
        <v>202</v>
      </c>
      <c r="I1" s="24" t="s">
        <v>189</v>
      </c>
    </row>
    <row r="2" spans="1:9">
      <c r="A2" s="24">
        <v>0</v>
      </c>
      <c r="B2" s="24" t="s">
        <v>297</v>
      </c>
      <c r="C2" s="28">
        <v>3</v>
      </c>
      <c r="D2" s="28">
        <v>0.02</v>
      </c>
      <c r="E2" s="28">
        <v>0.03</v>
      </c>
      <c r="F2" s="24">
        <f>A2^$C$2</f>
        <v>0</v>
      </c>
      <c r="G2" s="54">
        <f>$D$2+(($E$2-$D$2)*F2)</f>
        <v>0.02</v>
      </c>
      <c r="H2" s="4">
        <v>0.02</v>
      </c>
      <c r="I2" s="24">
        <v>0</v>
      </c>
    </row>
    <row r="3" spans="1:9">
      <c r="A3" s="24">
        <v>0.1</v>
      </c>
      <c r="B3" s="24" t="s">
        <v>296</v>
      </c>
      <c r="C3" s="26">
        <v>0</v>
      </c>
      <c r="D3" s="26">
        <v>1</v>
      </c>
      <c r="E3" s="26">
        <v>1</v>
      </c>
      <c r="F3" s="24">
        <f>A3^$C$2</f>
        <v>1.0000000000000002E-3</v>
      </c>
      <c r="G3" s="54">
        <f t="shared" ref="G3:G12" si="0">$D$2+(($E$2-$D$2)*F3)</f>
        <v>2.001E-2</v>
      </c>
      <c r="H3" s="4"/>
      <c r="I3" s="24">
        <v>0.1</v>
      </c>
    </row>
    <row r="4" spans="1:9">
      <c r="A4" s="24">
        <v>0.2</v>
      </c>
      <c r="F4" s="24">
        <f>A4^$C$2</f>
        <v>8.0000000000000019E-3</v>
      </c>
      <c r="G4" s="54">
        <f t="shared" si="0"/>
        <v>2.0080000000000001E-2</v>
      </c>
      <c r="H4" s="4"/>
      <c r="I4" s="24">
        <v>0.2</v>
      </c>
    </row>
    <row r="5" spans="1:9">
      <c r="A5" s="24">
        <v>0.3</v>
      </c>
      <c r="C5" s="26" t="s">
        <v>86</v>
      </c>
      <c r="D5" s="26"/>
      <c r="E5" s="26"/>
      <c r="F5" s="24">
        <f t="shared" ref="F5:F12" si="1">A5^$C$2</f>
        <v>2.7E-2</v>
      </c>
      <c r="G5" s="54">
        <f t="shared" si="0"/>
        <v>2.027E-2</v>
      </c>
      <c r="H5" s="4"/>
      <c r="I5" s="24">
        <v>0.3</v>
      </c>
    </row>
    <row r="6" spans="1:9">
      <c r="A6" s="24">
        <v>0.4</v>
      </c>
      <c r="C6" s="28" t="s">
        <v>298</v>
      </c>
      <c r="D6" s="28"/>
      <c r="E6" s="28"/>
      <c r="F6" s="24">
        <f t="shared" si="1"/>
        <v>6.4000000000000015E-2</v>
      </c>
      <c r="G6" s="54">
        <f t="shared" si="0"/>
        <v>2.0640000000000002E-2</v>
      </c>
      <c r="H6" s="4"/>
      <c r="I6" s="24">
        <v>0.4</v>
      </c>
    </row>
    <row r="7" spans="1:9">
      <c r="A7" s="24">
        <v>0.5</v>
      </c>
      <c r="F7" s="24">
        <f t="shared" si="1"/>
        <v>0.125</v>
      </c>
      <c r="G7" s="54">
        <f t="shared" si="0"/>
        <v>2.1250000000000002E-2</v>
      </c>
      <c r="H7" s="4">
        <v>2.1000000000000001E-2</v>
      </c>
      <c r="I7" s="24">
        <v>0.5</v>
      </c>
    </row>
    <row r="8" spans="1:9">
      <c r="A8" s="24">
        <v>0.6</v>
      </c>
      <c r="F8" s="24">
        <f t="shared" si="1"/>
        <v>0.216</v>
      </c>
      <c r="G8" s="54">
        <f t="shared" si="0"/>
        <v>2.2159999999999999E-2</v>
      </c>
      <c r="H8" s="4"/>
      <c r="I8" s="24">
        <v>0.6</v>
      </c>
    </row>
    <row r="9" spans="1:9">
      <c r="A9" s="24">
        <v>0.7</v>
      </c>
      <c r="F9" s="24">
        <f t="shared" si="1"/>
        <v>0.34299999999999992</v>
      </c>
      <c r="G9" s="54">
        <f t="shared" si="0"/>
        <v>2.3429999999999999E-2</v>
      </c>
      <c r="H9" s="4"/>
      <c r="I9" s="24">
        <v>0.7</v>
      </c>
    </row>
    <row r="10" spans="1:9">
      <c r="A10" s="24">
        <v>0.8</v>
      </c>
      <c r="F10" s="24">
        <f t="shared" si="1"/>
        <v>0.51200000000000012</v>
      </c>
      <c r="G10" s="54">
        <f t="shared" si="0"/>
        <v>2.512E-2</v>
      </c>
      <c r="H10" s="4">
        <v>2.5000000000000001E-2</v>
      </c>
      <c r="I10" s="24">
        <v>0.8</v>
      </c>
    </row>
    <row r="11" spans="1:9">
      <c r="A11" s="24">
        <v>0.9</v>
      </c>
      <c r="F11" s="24">
        <f t="shared" si="1"/>
        <v>0.72900000000000009</v>
      </c>
      <c r="G11" s="54">
        <f t="shared" si="0"/>
        <v>2.7290000000000002E-2</v>
      </c>
      <c r="H11" s="4"/>
      <c r="I11" s="24">
        <v>0.9</v>
      </c>
    </row>
    <row r="12" spans="1:9">
      <c r="A12" s="24">
        <v>1</v>
      </c>
      <c r="F12" s="24">
        <f t="shared" si="1"/>
        <v>1</v>
      </c>
      <c r="G12" s="54">
        <f t="shared" si="0"/>
        <v>0.03</v>
      </c>
      <c r="H12" s="4">
        <v>1</v>
      </c>
      <c r="I12" s="24">
        <v>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P22"/>
  <sheetViews>
    <sheetView workbookViewId="0">
      <selection activeCell="I5" sqref="I5:K6"/>
    </sheetView>
  </sheetViews>
  <sheetFormatPr defaultColWidth="9.140625" defaultRowHeight="15"/>
  <cols>
    <col min="1" max="1" width="13" style="24" customWidth="1"/>
    <col min="2" max="2" width="7" style="24" customWidth="1"/>
    <col min="3" max="16384" width="9.140625" style="24"/>
  </cols>
  <sheetData>
    <row r="1" spans="1:16">
      <c r="B1" s="24" t="s">
        <v>213</v>
      </c>
      <c r="C1" s="24" t="s">
        <v>184</v>
      </c>
      <c r="D1" s="24" t="s">
        <v>185</v>
      </c>
      <c r="E1" s="24" t="s">
        <v>204</v>
      </c>
      <c r="F1" s="24" t="s">
        <v>205</v>
      </c>
      <c r="G1" s="24" t="s">
        <v>206</v>
      </c>
    </row>
    <row r="2" spans="1:16">
      <c r="A2" s="24" t="s">
        <v>253</v>
      </c>
      <c r="C2" s="24">
        <v>302</v>
      </c>
      <c r="D2" s="24">
        <v>252</v>
      </c>
      <c r="E2" s="24">
        <v>201</v>
      </c>
      <c r="F2" s="24">
        <v>151</v>
      </c>
      <c r="G2" s="24">
        <v>101.4</v>
      </c>
      <c r="H2" s="2" t="s">
        <v>294</v>
      </c>
      <c r="I2" s="2"/>
      <c r="J2" s="2"/>
      <c r="K2" s="2"/>
      <c r="L2" s="2"/>
      <c r="M2" s="2"/>
      <c r="N2" s="2"/>
      <c r="O2" s="2"/>
      <c r="P2" s="2"/>
    </row>
    <row r="3" spans="1:16">
      <c r="A3" s="24" t="s">
        <v>187</v>
      </c>
      <c r="C3" s="28">
        <v>-0.05</v>
      </c>
      <c r="D3" s="28">
        <v>-0.04</v>
      </c>
      <c r="E3" s="28">
        <v>-0.03</v>
      </c>
      <c r="F3" s="28">
        <v>-0.02</v>
      </c>
      <c r="G3" s="28">
        <v>-0.01</v>
      </c>
      <c r="H3" s="2" t="s">
        <v>283</v>
      </c>
      <c r="I3" s="2"/>
      <c r="J3" s="2"/>
      <c r="K3" s="2"/>
      <c r="L3" s="2"/>
      <c r="M3" s="2"/>
      <c r="N3" s="28" t="s">
        <v>258</v>
      </c>
      <c r="O3" s="28"/>
      <c r="P3" s="28"/>
    </row>
    <row r="4" spans="1:16">
      <c r="A4" s="24" t="s">
        <v>203</v>
      </c>
      <c r="B4" s="26">
        <f>L4</f>
        <v>385</v>
      </c>
      <c r="C4" s="26">
        <f>C$3*$L$4 + (C$2 - (350*C$3))</f>
        <v>300.25</v>
      </c>
      <c r="D4" s="26">
        <f>D$3*$L$4 + (D$2 - (350*D$3))</f>
        <v>250.6</v>
      </c>
      <c r="E4" s="26">
        <f>E$3*$L$4 + (E$2 - (350*E$3))</f>
        <v>199.95</v>
      </c>
      <c r="F4" s="26">
        <f>F$3*$L$4 + (F$2 - (350*F$3))</f>
        <v>150.30000000000001</v>
      </c>
      <c r="G4" s="26">
        <f>G$3*$L$4 + (G$2 - (350*G$3))</f>
        <v>101.05000000000001</v>
      </c>
      <c r="H4" s="24" t="s">
        <v>212</v>
      </c>
      <c r="L4" s="28">
        <v>385</v>
      </c>
      <c r="M4" s="2" t="s">
        <v>282</v>
      </c>
      <c r="N4" s="2"/>
      <c r="O4" s="2"/>
      <c r="P4" s="2"/>
    </row>
    <row r="5" spans="1:16">
      <c r="C5" s="24" t="s">
        <v>207</v>
      </c>
      <c r="E5" s="24" t="s">
        <v>209</v>
      </c>
      <c r="G5" s="24" t="s">
        <v>208</v>
      </c>
      <c r="I5" s="26" t="s">
        <v>86</v>
      </c>
      <c r="J5" s="26"/>
      <c r="K5" s="26"/>
    </row>
    <row r="6" spans="1:16">
      <c r="A6" s="24" t="s">
        <v>195</v>
      </c>
      <c r="C6" s="24" t="s">
        <v>188</v>
      </c>
      <c r="D6" s="24" t="s">
        <v>188</v>
      </c>
      <c r="E6" s="24" t="s">
        <v>188</v>
      </c>
      <c r="F6" s="24" t="s">
        <v>188</v>
      </c>
      <c r="G6" s="24" t="s">
        <v>188</v>
      </c>
      <c r="I6" s="28" t="s">
        <v>298</v>
      </c>
      <c r="J6" s="28"/>
      <c r="K6" s="28"/>
    </row>
    <row r="7" spans="1:16">
      <c r="A7" s="24">
        <v>300</v>
      </c>
      <c r="C7" s="24">
        <f>C$3*A7 + (C$2 - (350*C$3))</f>
        <v>304.5</v>
      </c>
      <c r="D7" s="24">
        <f>D$3*$A7 + (D$2 - (350*D$3))</f>
        <v>254</v>
      </c>
      <c r="E7" s="24">
        <f>E$3*$A7 + (E$2 - (350*E$3))</f>
        <v>202.5</v>
      </c>
      <c r="F7" s="24">
        <f>F$3*$A7 + (F$2 - (350*F$3))</f>
        <v>152</v>
      </c>
      <c r="G7" s="24">
        <f>G$3*$A7 + (G$2 - (350*G$3))</f>
        <v>101.9</v>
      </c>
    </row>
    <row r="8" spans="1:16">
      <c r="A8" s="24">
        <v>350</v>
      </c>
      <c r="C8" s="24">
        <f t="shared" ref="C8:C21" si="0">C$3*A8 + (C$2 - (350*C$3))</f>
        <v>302</v>
      </c>
      <c r="D8" s="24">
        <f t="shared" ref="D8:G21" si="1">D$3*$A8 + (D$2 - (350*D$3))</f>
        <v>252</v>
      </c>
      <c r="E8" s="24">
        <f t="shared" si="1"/>
        <v>201</v>
      </c>
      <c r="F8" s="24">
        <f t="shared" si="1"/>
        <v>151</v>
      </c>
      <c r="G8" s="24">
        <f t="shared" si="1"/>
        <v>101.4</v>
      </c>
      <c r="H8" s="2" t="s">
        <v>295</v>
      </c>
      <c r="I8" s="2"/>
      <c r="J8" s="2"/>
      <c r="K8" s="2"/>
      <c r="L8" s="2"/>
      <c r="M8" s="2"/>
      <c r="N8" s="2"/>
    </row>
    <row r="9" spans="1:16">
      <c r="A9" s="24">
        <v>400</v>
      </c>
      <c r="C9" s="24">
        <f t="shared" si="0"/>
        <v>299.5</v>
      </c>
      <c r="D9" s="24">
        <f t="shared" si="1"/>
        <v>250</v>
      </c>
      <c r="E9" s="24">
        <f t="shared" si="1"/>
        <v>199.5</v>
      </c>
      <c r="F9" s="24">
        <f t="shared" si="1"/>
        <v>150</v>
      </c>
      <c r="G9" s="24">
        <f t="shared" si="1"/>
        <v>100.9</v>
      </c>
    </row>
    <row r="10" spans="1:16">
      <c r="A10" s="24">
        <v>450</v>
      </c>
      <c r="C10" s="24">
        <f t="shared" si="0"/>
        <v>297</v>
      </c>
      <c r="D10" s="24">
        <f t="shared" si="1"/>
        <v>248</v>
      </c>
      <c r="E10" s="24">
        <f t="shared" si="1"/>
        <v>198</v>
      </c>
      <c r="F10" s="24">
        <f t="shared" si="1"/>
        <v>149</v>
      </c>
      <c r="G10" s="24">
        <f t="shared" si="1"/>
        <v>100.4</v>
      </c>
    </row>
    <row r="11" spans="1:16">
      <c r="A11" s="24">
        <v>500</v>
      </c>
      <c r="C11" s="24">
        <f t="shared" si="0"/>
        <v>294.5</v>
      </c>
      <c r="D11" s="24">
        <f t="shared" si="1"/>
        <v>246</v>
      </c>
      <c r="E11" s="24">
        <f t="shared" si="1"/>
        <v>196.5</v>
      </c>
      <c r="F11" s="24">
        <f t="shared" si="1"/>
        <v>148</v>
      </c>
      <c r="G11" s="24">
        <f t="shared" si="1"/>
        <v>99.9</v>
      </c>
    </row>
    <row r="12" spans="1:16">
      <c r="A12" s="24">
        <v>550</v>
      </c>
      <c r="C12" s="24">
        <f t="shared" si="0"/>
        <v>292</v>
      </c>
      <c r="D12" s="24">
        <f t="shared" si="1"/>
        <v>244</v>
      </c>
      <c r="E12" s="24">
        <f t="shared" si="1"/>
        <v>195</v>
      </c>
      <c r="F12" s="24">
        <f t="shared" si="1"/>
        <v>147</v>
      </c>
      <c r="G12" s="24">
        <f t="shared" si="1"/>
        <v>99.4</v>
      </c>
    </row>
    <row r="13" spans="1:16">
      <c r="A13" s="24">
        <v>600</v>
      </c>
      <c r="C13" s="24">
        <f t="shared" si="0"/>
        <v>289.5</v>
      </c>
      <c r="D13" s="24">
        <f t="shared" si="1"/>
        <v>242</v>
      </c>
      <c r="E13" s="24">
        <f t="shared" si="1"/>
        <v>193.5</v>
      </c>
      <c r="F13" s="24">
        <f t="shared" si="1"/>
        <v>146</v>
      </c>
      <c r="G13" s="24">
        <f t="shared" si="1"/>
        <v>98.9</v>
      </c>
    </row>
    <row r="14" spans="1:16">
      <c r="A14" s="24">
        <v>650</v>
      </c>
      <c r="C14" s="24">
        <f t="shared" si="0"/>
        <v>287</v>
      </c>
      <c r="D14" s="24">
        <f t="shared" si="1"/>
        <v>240</v>
      </c>
      <c r="E14" s="24">
        <f t="shared" si="1"/>
        <v>192</v>
      </c>
      <c r="F14" s="24">
        <f t="shared" si="1"/>
        <v>145</v>
      </c>
      <c r="G14" s="24">
        <f t="shared" si="1"/>
        <v>98.4</v>
      </c>
    </row>
    <row r="15" spans="1:16">
      <c r="A15" s="24">
        <v>700</v>
      </c>
      <c r="C15" s="24">
        <f t="shared" si="0"/>
        <v>284.5</v>
      </c>
      <c r="D15" s="24">
        <f t="shared" si="1"/>
        <v>238</v>
      </c>
      <c r="E15" s="24">
        <f t="shared" si="1"/>
        <v>190.5</v>
      </c>
      <c r="F15" s="24">
        <f t="shared" si="1"/>
        <v>144</v>
      </c>
      <c r="G15" s="24">
        <f t="shared" si="1"/>
        <v>97.9</v>
      </c>
    </row>
    <row r="16" spans="1:16">
      <c r="A16" s="24">
        <v>750</v>
      </c>
      <c r="C16" s="24">
        <f t="shared" si="0"/>
        <v>282</v>
      </c>
      <c r="D16" s="24">
        <f t="shared" si="1"/>
        <v>236</v>
      </c>
      <c r="E16" s="24">
        <f t="shared" si="1"/>
        <v>189</v>
      </c>
      <c r="F16" s="24">
        <f t="shared" si="1"/>
        <v>143</v>
      </c>
      <c r="G16" s="24">
        <f t="shared" si="1"/>
        <v>97.4</v>
      </c>
    </row>
    <row r="17" spans="1:7">
      <c r="A17" s="24">
        <v>800</v>
      </c>
      <c r="C17" s="24">
        <f t="shared" si="0"/>
        <v>279.5</v>
      </c>
      <c r="D17" s="24">
        <f t="shared" si="1"/>
        <v>234</v>
      </c>
      <c r="E17" s="24">
        <f t="shared" si="1"/>
        <v>187.5</v>
      </c>
      <c r="F17" s="24">
        <f t="shared" si="1"/>
        <v>142</v>
      </c>
      <c r="G17" s="24">
        <f t="shared" si="1"/>
        <v>96.9</v>
      </c>
    </row>
    <row r="18" spans="1:7">
      <c r="A18" s="24">
        <v>850</v>
      </c>
      <c r="C18" s="24">
        <f t="shared" si="0"/>
        <v>277</v>
      </c>
      <c r="D18" s="24">
        <f t="shared" si="1"/>
        <v>232</v>
      </c>
      <c r="E18" s="24">
        <f t="shared" si="1"/>
        <v>186</v>
      </c>
      <c r="F18" s="24">
        <f t="shared" si="1"/>
        <v>141</v>
      </c>
      <c r="G18" s="24">
        <f t="shared" si="1"/>
        <v>96.4</v>
      </c>
    </row>
    <row r="19" spans="1:7">
      <c r="A19" s="24">
        <v>900</v>
      </c>
      <c r="C19" s="24">
        <f t="shared" si="0"/>
        <v>274.5</v>
      </c>
      <c r="D19" s="24">
        <f t="shared" si="1"/>
        <v>230</v>
      </c>
      <c r="E19" s="24">
        <f t="shared" si="1"/>
        <v>184.5</v>
      </c>
      <c r="F19" s="24">
        <f t="shared" si="1"/>
        <v>140</v>
      </c>
      <c r="G19" s="24">
        <f t="shared" si="1"/>
        <v>95.9</v>
      </c>
    </row>
    <row r="20" spans="1:7">
      <c r="A20" s="24">
        <v>950</v>
      </c>
      <c r="C20" s="24">
        <f t="shared" si="0"/>
        <v>272</v>
      </c>
      <c r="D20" s="24">
        <f t="shared" si="1"/>
        <v>228</v>
      </c>
      <c r="E20" s="24">
        <f t="shared" si="1"/>
        <v>183</v>
      </c>
      <c r="F20" s="24">
        <f t="shared" si="1"/>
        <v>139</v>
      </c>
      <c r="G20" s="24">
        <f t="shared" si="1"/>
        <v>95.4</v>
      </c>
    </row>
    <row r="21" spans="1:7">
      <c r="A21" s="24">
        <v>1000</v>
      </c>
      <c r="C21" s="24">
        <f t="shared" si="0"/>
        <v>269.5</v>
      </c>
      <c r="D21" s="24">
        <f t="shared" si="1"/>
        <v>226</v>
      </c>
      <c r="E21" s="24">
        <f t="shared" si="1"/>
        <v>181.5</v>
      </c>
      <c r="F21" s="24">
        <f t="shared" si="1"/>
        <v>138</v>
      </c>
      <c r="G21" s="24">
        <f t="shared" si="1"/>
        <v>94.9</v>
      </c>
    </row>
    <row r="22" spans="1:7">
      <c r="C22" s="24">
        <f>C10/C8</f>
        <v>0.98344370860927155</v>
      </c>
      <c r="D22" s="24">
        <f>D10/D8</f>
        <v>0.98412698412698407</v>
      </c>
      <c r="E22" s="24">
        <f>E10/E8</f>
        <v>0.9850746268656716</v>
      </c>
      <c r="F22" s="24">
        <f>F10/F8</f>
        <v>0.98675496688741726</v>
      </c>
      <c r="G22" s="24">
        <f>G10/G8</f>
        <v>0.99013806706114393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9"/>
  <sheetViews>
    <sheetView workbookViewId="0">
      <selection activeCell="A2" sqref="A2"/>
    </sheetView>
  </sheetViews>
  <sheetFormatPr defaultRowHeight="15"/>
  <sheetData>
    <row r="1" spans="1:10">
      <c r="A1" t="s">
        <v>8</v>
      </c>
      <c r="B1" t="s">
        <v>279</v>
      </c>
      <c r="C1" s="24" t="s">
        <v>280</v>
      </c>
      <c r="D1" s="28" t="s">
        <v>178</v>
      </c>
      <c r="E1" s="28">
        <v>-46</v>
      </c>
      <c r="F1" s="28">
        <v>5.3</v>
      </c>
      <c r="H1" s="26" t="s">
        <v>86</v>
      </c>
      <c r="I1" s="26"/>
      <c r="J1" s="26"/>
    </row>
    <row r="2" spans="1:10">
      <c r="A2">
        <v>0</v>
      </c>
      <c r="B2" s="24">
        <f>A2*$E$2+$E$1</f>
        <v>-46</v>
      </c>
      <c r="C2" s="24">
        <f>A2*$F$2+$F$1</f>
        <v>5.3</v>
      </c>
      <c r="D2" s="28" t="s">
        <v>179</v>
      </c>
      <c r="E2" s="28">
        <v>71.900000000000006</v>
      </c>
      <c r="F2" s="28">
        <v>21.5</v>
      </c>
      <c r="H2" s="28" t="s">
        <v>298</v>
      </c>
      <c r="I2" s="28"/>
      <c r="J2" s="28"/>
    </row>
    <row r="3" spans="1:10">
      <c r="A3">
        <v>0.5</v>
      </c>
      <c r="B3" s="24">
        <f t="shared" ref="B3:B9" si="0">A3*$E$2+$E$1</f>
        <v>-10.049999999999997</v>
      </c>
      <c r="C3" s="24">
        <f t="shared" ref="C3:C9" si="1">A3*$F$2+$F$1</f>
        <v>16.05</v>
      </c>
      <c r="E3" t="s">
        <v>226</v>
      </c>
      <c r="F3" t="s">
        <v>227</v>
      </c>
    </row>
    <row r="4" spans="1:10">
      <c r="A4">
        <v>1</v>
      </c>
      <c r="B4" s="24">
        <f t="shared" si="0"/>
        <v>25.900000000000006</v>
      </c>
      <c r="C4" s="24">
        <f t="shared" si="1"/>
        <v>26.8</v>
      </c>
      <c r="D4" s="26" t="s">
        <v>178</v>
      </c>
      <c r="E4" s="26">
        <v>-46</v>
      </c>
      <c r="F4" s="26">
        <v>5.3</v>
      </c>
      <c r="G4" s="24" t="s">
        <v>250</v>
      </c>
    </row>
    <row r="5" spans="1:10">
      <c r="A5">
        <v>1.5</v>
      </c>
      <c r="B5" s="24">
        <f t="shared" si="0"/>
        <v>61.850000000000009</v>
      </c>
      <c r="C5" s="24">
        <f t="shared" si="1"/>
        <v>37.549999999999997</v>
      </c>
      <c r="D5" s="26" t="s">
        <v>179</v>
      </c>
      <c r="E5" s="26">
        <v>71.900000000000006</v>
      </c>
      <c r="F5" s="26">
        <v>21.5</v>
      </c>
      <c r="G5" s="24"/>
    </row>
    <row r="6" spans="1:10">
      <c r="A6">
        <v>2</v>
      </c>
      <c r="B6" s="24">
        <f t="shared" si="0"/>
        <v>97.800000000000011</v>
      </c>
      <c r="C6" s="24">
        <f t="shared" si="1"/>
        <v>48.3</v>
      </c>
    </row>
    <row r="7" spans="1:10">
      <c r="A7">
        <v>2.5</v>
      </c>
      <c r="B7" s="24">
        <f t="shared" si="0"/>
        <v>133.75</v>
      </c>
      <c r="C7" s="24">
        <f t="shared" si="1"/>
        <v>59.05</v>
      </c>
    </row>
    <row r="8" spans="1:10">
      <c r="A8">
        <v>3</v>
      </c>
      <c r="B8" s="24">
        <f t="shared" si="0"/>
        <v>169.70000000000002</v>
      </c>
      <c r="C8" s="24">
        <f t="shared" si="1"/>
        <v>69.8</v>
      </c>
    </row>
    <row r="9" spans="1:10">
      <c r="A9">
        <v>3.5</v>
      </c>
      <c r="B9" s="24">
        <f t="shared" si="0"/>
        <v>205.65000000000003</v>
      </c>
      <c r="C9" s="24">
        <f t="shared" si="1"/>
        <v>80.55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D20"/>
  <sheetViews>
    <sheetView topLeftCell="H1" workbookViewId="0">
      <selection activeCell="AA15" sqref="AA15"/>
    </sheetView>
  </sheetViews>
  <sheetFormatPr defaultRowHeight="15"/>
  <cols>
    <col min="6" max="7" width="0" hidden="1" customWidth="1"/>
    <col min="10" max="10" width="9.140625" style="24"/>
    <col min="12" max="12" width="9.140625" style="24"/>
    <col min="15" max="15" width="9.140625" style="24"/>
    <col min="19" max="19" width="12.5703125" bestFit="1" customWidth="1"/>
    <col min="26" max="26" width="6.85546875" customWidth="1"/>
    <col min="27" max="27" width="11.5703125" customWidth="1"/>
  </cols>
  <sheetData>
    <row r="1" spans="1:30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26</v>
      </c>
      <c r="G1" t="s">
        <v>27</v>
      </c>
      <c r="H1" t="s">
        <v>28</v>
      </c>
      <c r="I1" t="s">
        <v>9</v>
      </c>
      <c r="J1" s="24" t="s">
        <v>251</v>
      </c>
      <c r="K1" t="s">
        <v>4</v>
      </c>
      <c r="L1" s="24" t="s">
        <v>34</v>
      </c>
      <c r="M1" s="4" t="s">
        <v>31</v>
      </c>
      <c r="N1" t="s">
        <v>60</v>
      </c>
      <c r="O1" s="24" t="s">
        <v>148</v>
      </c>
      <c r="P1" t="s">
        <v>146</v>
      </c>
      <c r="Q1" s="24" t="s">
        <v>147</v>
      </c>
      <c r="R1" t="s">
        <v>15</v>
      </c>
      <c r="S1" t="s">
        <v>12</v>
      </c>
      <c r="T1" t="s">
        <v>149</v>
      </c>
      <c r="U1" s="24" t="s">
        <v>150</v>
      </c>
      <c r="V1" t="s">
        <v>23</v>
      </c>
      <c r="W1" t="s">
        <v>22</v>
      </c>
      <c r="X1" t="s">
        <v>33</v>
      </c>
      <c r="Y1" t="s">
        <v>25</v>
      </c>
      <c r="AA1" s="28" t="s">
        <v>1</v>
      </c>
      <c r="AB1" s="28">
        <v>4.5</v>
      </c>
    </row>
    <row r="2" spans="1:30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AB$2)/2</f>
        <v>12.5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AB$8 * H2^ AB$9)</f>
        <v>0.99116670419529562</v>
      </c>
      <c r="J2" s="24">
        <f>MAX(0,(($AB$2+($AB$2-$AB$1)) - D2) * (D2 - $AB$1) / (((($AB$2+($AB$2-$AB$1)) - $AB$1) / 2)*(($AB$2+($AB$2-$AB$1)) - $AB$1) / 2))</f>
        <v>0</v>
      </c>
      <c r="K2">
        <f>MAX(0,IF(D2&lt;$AB$2,((($AB$19-D2)*(D2-$AB$1))/(($AB$19-$AB$1)/2)^2),($AB$3-D2)*(D2-($AB$2+($AB$2-$AB$3)))/((($AB$3-($AB$2+($AB$2-$AB$3)))/2)^2)))</f>
        <v>0</v>
      </c>
      <c r="L2" s="24">
        <f>IF(D2&gt;AB$2,1,MAX(0,((($AB$2+($AB$2-$AB$1))-D2)*(D2-AB$1))/(((($AB$2+($AB$2-$AB$1))-AB$1)/2)^2)))</f>
        <v>0</v>
      </c>
      <c r="M2">
        <f t="shared" ref="M2:M13" si="2">AB$10*(AB$7*I2*AB$11*12)/1000000000</f>
        <v>2.1725371888189602</v>
      </c>
      <c r="N2">
        <f>L2*M2</f>
        <v>0</v>
      </c>
      <c r="O2" s="24">
        <f>K2*M2</f>
        <v>0</v>
      </c>
      <c r="P2" s="24">
        <f xml:space="preserve"> AB$12*AB$13* N2 * AB$14</f>
        <v>0</v>
      </c>
      <c r="Q2" s="24">
        <f xml:space="preserve"> AB$12*AB$13* O2 * AB$14</f>
        <v>0</v>
      </c>
      <c r="R2">
        <f t="shared" ref="R2:R13" si="3">AB$18^((D2-AB$2)/10)</f>
        <v>0.125</v>
      </c>
      <c r="S2">
        <f t="shared" ref="S2:S13" si="4">AB$17*R2</f>
        <v>1.2500000000000001E-2</v>
      </c>
      <c r="T2">
        <f>P2+W2</f>
        <v>0.54797472000000014</v>
      </c>
      <c r="U2" s="24">
        <f>Q2+W2</f>
        <v>0.54797472000000014</v>
      </c>
      <c r="V2">
        <f>AB$17*R2*AB$10*86400*12/1000000000*AB$7</f>
        <v>5.4797472000000014E-2</v>
      </c>
      <c r="W2">
        <f>AB$12*V2*AB$14</f>
        <v>0.54797472000000014</v>
      </c>
      <c r="X2">
        <f t="shared" ref="X2:X13" si="5">AB$16/H2</f>
        <v>25.932841941192954</v>
      </c>
      <c r="Y2">
        <f t="shared" ref="Y2:Y13" si="6">U2*(44/12)/X2</f>
        <v>7.7478613587985787E-2</v>
      </c>
      <c r="AA2" s="28" t="s">
        <v>2</v>
      </c>
      <c r="AB2" s="28">
        <v>30</v>
      </c>
    </row>
    <row r="3" spans="1:30">
      <c r="A3">
        <v>-10</v>
      </c>
      <c r="B3">
        <v>10</v>
      </c>
      <c r="C3">
        <f t="shared" ref="C3:C10" si="7">(A3+B3)/2</f>
        <v>0</v>
      </c>
      <c r="D3">
        <f t="shared" ref="D3:D13" si="8">(C3+B3)/2</f>
        <v>5</v>
      </c>
      <c r="E3">
        <f t="shared" si="0"/>
        <v>15</v>
      </c>
      <c r="F3">
        <f t="shared" ref="F3:F13" si="9">0.61078 * EXP(17.26939 * D3 / (D3 + 237.3))</f>
        <v>0.87227141748882542</v>
      </c>
      <c r="G3">
        <f t="shared" ref="G3:G13" si="10">0.61078 * EXP(17.26939 * A3 / (A3 + 237.3))</f>
        <v>0.28570929427727804</v>
      </c>
      <c r="H3">
        <f t="shared" ref="H3:H13" si="11">F3-G3</f>
        <v>0.58656212321154744</v>
      </c>
      <c r="I3">
        <f t="shared" si="1"/>
        <v>0.98279724378067812</v>
      </c>
      <c r="J3" s="24">
        <f t="shared" ref="J3:J13" si="12">MAX(0,(($AB$2+($AB$2-$AB$1)) - D3) * (D3 - $AB$1) / (((($AB$2+($AB$2-$AB$1)) - $AB$1) / 2)*(($AB$2+($AB$2-$AB$1)) - $AB$1) / 2))</f>
        <v>3.8831218762014612E-2</v>
      </c>
      <c r="K3" s="24">
        <f t="shared" ref="K3:K13" si="13">MAX(0,IF(D3&lt;$AB$2,((($AB$19-D3)*(D3-$AB$1))/(($AB$19-$AB$1)/2)^2),($AB$3-D3)*(D3-($AB$2+($AB$2-$AB$3)))/((($AB$3-($AB$2+($AB$2-$AB$3)))/2)^2)))</f>
        <v>3.8831218762014612E-2</v>
      </c>
      <c r="L3" s="24">
        <f t="shared" ref="L3:L13" si="14">IF(D3&gt;AB$2,1,MAX(0,((($AB$2+($AB$2-$AB$1))-D3)*(D3-AB$1))/(((($AB$2+($AB$2-$AB$1))-AB$1)/2)^2)))</f>
        <v>3.8831218762014612E-2</v>
      </c>
      <c r="M3" s="24">
        <f t="shared" si="2"/>
        <v>2.1541921779099553</v>
      </c>
      <c r="N3" s="24">
        <f t="shared" ref="N3:N13" si="15">L3*M3</f>
        <v>8.3649907715842173E-2</v>
      </c>
      <c r="O3" s="24">
        <f t="shared" ref="O3:O13" si="16">K3*M3</f>
        <v>8.3649907715842173E-2</v>
      </c>
      <c r="P3" s="24">
        <f t="shared" ref="P3:P13" si="17" xml:space="preserve"> AB$12*AB$13* N3 * AB$14</f>
        <v>0.83649907715842176</v>
      </c>
      <c r="Q3" s="24">
        <f t="shared" ref="Q3:Q13" si="18" xml:space="preserve"> AB$12*AB$13* O3 * AB$14</f>
        <v>0.83649907715842176</v>
      </c>
      <c r="R3" s="24">
        <f t="shared" si="3"/>
        <v>0.17677669529663687</v>
      </c>
      <c r="S3" s="24">
        <f t="shared" si="4"/>
        <v>1.7677669529663688E-2</v>
      </c>
      <c r="T3" s="24">
        <f t="shared" ref="T3:T13" si="19">P3+W3</f>
        <v>1.6114523580200211</v>
      </c>
      <c r="U3" s="24">
        <f t="shared" ref="U3:U13" si="20">Q3+W3</f>
        <v>1.6114523580200211</v>
      </c>
      <c r="V3" s="24">
        <f t="shared" ref="V3:V13" si="21">AB$17*R3*AB$10*86400*12/1000000000*AB$7</f>
        <v>7.7495328086159929E-2</v>
      </c>
      <c r="W3" s="24">
        <f t="shared" ref="W3:W13" si="22">AB$12*V3*AB$14</f>
        <v>0.77495328086159931</v>
      </c>
      <c r="X3">
        <f t="shared" si="5"/>
        <v>18.582856902386187</v>
      </c>
      <c r="Y3">
        <f t="shared" si="6"/>
        <v>0.31796287713514554</v>
      </c>
      <c r="AA3" s="28" t="s">
        <v>3</v>
      </c>
      <c r="AB3" s="28">
        <v>39</v>
      </c>
      <c r="AC3" t="s">
        <v>252</v>
      </c>
    </row>
    <row r="4" spans="1:30">
      <c r="A4">
        <v>-5</v>
      </c>
      <c r="B4">
        <v>15</v>
      </c>
      <c r="C4">
        <f t="shared" si="7"/>
        <v>5</v>
      </c>
      <c r="D4">
        <f t="shared" si="8"/>
        <v>10</v>
      </c>
      <c r="E4">
        <f t="shared" si="0"/>
        <v>17.5</v>
      </c>
      <c r="F4">
        <f t="shared" si="9"/>
        <v>1.2278921229539039</v>
      </c>
      <c r="G4">
        <f t="shared" si="10"/>
        <v>0.42116823077156701</v>
      </c>
      <c r="H4">
        <f t="shared" si="11"/>
        <v>0.80672389218233698</v>
      </c>
      <c r="I4">
        <f t="shared" si="1"/>
        <v>0.96745982808910902</v>
      </c>
      <c r="J4" s="24">
        <f t="shared" si="12"/>
        <v>0.38485198000768933</v>
      </c>
      <c r="K4" s="24">
        <f t="shared" si="13"/>
        <v>0.38485198000768933</v>
      </c>
      <c r="L4" s="24">
        <f t="shared" si="14"/>
        <v>0.38485198000768933</v>
      </c>
      <c r="M4" s="24">
        <f t="shared" si="2"/>
        <v>2.1205741136335114</v>
      </c>
      <c r="N4" s="24">
        <f t="shared" si="15"/>
        <v>0.81610714638490767</v>
      </c>
      <c r="O4" s="24">
        <f t="shared" si="16"/>
        <v>0.81610714638490767</v>
      </c>
      <c r="P4" s="24">
        <f t="shared" si="17"/>
        <v>8.1610714638490762</v>
      </c>
      <c r="Q4" s="24">
        <f t="shared" si="18"/>
        <v>8.1610714638490762</v>
      </c>
      <c r="R4" s="24">
        <f t="shared" si="3"/>
        <v>0.25</v>
      </c>
      <c r="S4" s="24">
        <f t="shared" si="4"/>
        <v>2.5000000000000001E-2</v>
      </c>
      <c r="T4" s="24">
        <f t="shared" si="19"/>
        <v>9.2570209038490763</v>
      </c>
      <c r="U4" s="24">
        <f t="shared" si="20"/>
        <v>9.2570209038490763</v>
      </c>
      <c r="V4" s="24">
        <f t="shared" si="21"/>
        <v>0.10959494400000003</v>
      </c>
      <c r="W4" s="24">
        <f t="shared" si="22"/>
        <v>1.0959494400000003</v>
      </c>
      <c r="X4">
        <f t="shared" si="5"/>
        <v>13.511438183036192</v>
      </c>
      <c r="Y4">
        <f t="shared" si="6"/>
        <v>2.5121241366737062</v>
      </c>
      <c r="AA4" s="28" t="s">
        <v>6</v>
      </c>
      <c r="AB4" s="28">
        <v>-46</v>
      </c>
    </row>
    <row r="5" spans="1:30">
      <c r="A5">
        <v>0</v>
      </c>
      <c r="B5">
        <v>20</v>
      </c>
      <c r="C5">
        <f t="shared" si="7"/>
        <v>10</v>
      </c>
      <c r="D5">
        <f t="shared" si="8"/>
        <v>15</v>
      </c>
      <c r="E5">
        <f t="shared" si="0"/>
        <v>20</v>
      </c>
      <c r="F5">
        <f t="shared" si="9"/>
        <v>1.7052285488209411</v>
      </c>
      <c r="G5">
        <f t="shared" si="10"/>
        <v>0.61077999999999999</v>
      </c>
      <c r="H5">
        <f t="shared" si="11"/>
        <v>1.094448548820941</v>
      </c>
      <c r="I5">
        <f t="shared" si="1"/>
        <v>0.94010911869918679</v>
      </c>
      <c r="J5" s="24">
        <f t="shared" si="12"/>
        <v>0.65397923875432529</v>
      </c>
      <c r="K5" s="24">
        <f t="shared" si="13"/>
        <v>0.65397923875432529</v>
      </c>
      <c r="L5" s="24">
        <f t="shared" si="14"/>
        <v>0.65397923875432529</v>
      </c>
      <c r="M5" s="24">
        <f t="shared" si="2"/>
        <v>2.0606241243545345</v>
      </c>
      <c r="N5" s="24">
        <f t="shared" si="15"/>
        <v>1.3476053962041765</v>
      </c>
      <c r="O5" s="24">
        <f t="shared" si="16"/>
        <v>1.3476053962041765</v>
      </c>
      <c r="P5" s="24">
        <f t="shared" si="17"/>
        <v>13.476053962041766</v>
      </c>
      <c r="Q5" s="24">
        <f t="shared" si="18"/>
        <v>13.476053962041766</v>
      </c>
      <c r="R5" s="24">
        <f t="shared" si="3"/>
        <v>0.35355339059327379</v>
      </c>
      <c r="S5" s="24">
        <f t="shared" si="4"/>
        <v>3.5355339059327383E-2</v>
      </c>
      <c r="T5" s="24">
        <f t="shared" si="19"/>
        <v>15.025960523764965</v>
      </c>
      <c r="U5" s="24">
        <f t="shared" si="20"/>
        <v>15.025960523764965</v>
      </c>
      <c r="V5" s="24">
        <f t="shared" si="21"/>
        <v>0.15499065617231989</v>
      </c>
      <c r="W5" s="24">
        <f t="shared" si="22"/>
        <v>1.5499065617231989</v>
      </c>
      <c r="X5">
        <f t="shared" si="5"/>
        <v>9.9593535134590532</v>
      </c>
      <c r="Y5">
        <f t="shared" si="6"/>
        <v>5.532004513413713</v>
      </c>
      <c r="AA5" s="28" t="s">
        <v>7</v>
      </c>
      <c r="AB5" s="28">
        <v>71.900000000000006</v>
      </c>
    </row>
    <row r="6" spans="1:30">
      <c r="A6">
        <v>5</v>
      </c>
      <c r="B6">
        <v>25</v>
      </c>
      <c r="C6">
        <f t="shared" si="7"/>
        <v>15</v>
      </c>
      <c r="D6">
        <f t="shared" si="8"/>
        <v>20</v>
      </c>
      <c r="E6">
        <f t="shared" si="0"/>
        <v>22.5</v>
      </c>
      <c r="F6">
        <f t="shared" si="9"/>
        <v>2.3380938419374377</v>
      </c>
      <c r="G6">
        <f t="shared" si="10"/>
        <v>0.87227141748882542</v>
      </c>
      <c r="H6">
        <f t="shared" si="11"/>
        <v>1.4658224244486124</v>
      </c>
      <c r="I6">
        <f t="shared" si="1"/>
        <v>0.89256823099917959</v>
      </c>
      <c r="J6" s="24">
        <f t="shared" si="12"/>
        <v>0.84621299500192237</v>
      </c>
      <c r="K6" s="24">
        <f t="shared" si="13"/>
        <v>0.84621299500192237</v>
      </c>
      <c r="L6" s="24">
        <f t="shared" si="14"/>
        <v>0.84621299500192237</v>
      </c>
      <c r="M6" s="24">
        <f t="shared" si="2"/>
        <v>1.9564193058506831</v>
      </c>
      <c r="N6" s="24">
        <f t="shared" si="15"/>
        <v>1.6555474402834887</v>
      </c>
      <c r="O6" s="24">
        <f t="shared" si="16"/>
        <v>1.6555474402834887</v>
      </c>
      <c r="P6" s="24">
        <f t="shared" si="17"/>
        <v>16.555474402834886</v>
      </c>
      <c r="Q6" s="24">
        <f t="shared" si="18"/>
        <v>16.555474402834886</v>
      </c>
      <c r="R6" s="24">
        <f t="shared" si="3"/>
        <v>0.5</v>
      </c>
      <c r="S6" s="24">
        <f t="shared" si="4"/>
        <v>0.05</v>
      </c>
      <c r="T6" s="24">
        <f t="shared" si="19"/>
        <v>18.747373282834886</v>
      </c>
      <c r="U6" s="24">
        <f t="shared" si="20"/>
        <v>18.747373282834886</v>
      </c>
      <c r="V6" s="24">
        <f t="shared" si="21"/>
        <v>0.21918988800000005</v>
      </c>
      <c r="W6" s="24">
        <f t="shared" si="22"/>
        <v>2.1918988800000005</v>
      </c>
      <c r="X6">
        <f t="shared" si="5"/>
        <v>7.4360985465890748</v>
      </c>
      <c r="Y6">
        <f t="shared" si="6"/>
        <v>9.2441443954853177</v>
      </c>
      <c r="AA6" s="28" t="s">
        <v>8</v>
      </c>
      <c r="AB6" s="28">
        <v>2.6</v>
      </c>
    </row>
    <row r="7" spans="1:30">
      <c r="A7">
        <v>10</v>
      </c>
      <c r="B7">
        <v>30</v>
      </c>
      <c r="C7">
        <f t="shared" si="7"/>
        <v>20</v>
      </c>
      <c r="D7">
        <f t="shared" si="8"/>
        <v>25</v>
      </c>
      <c r="E7">
        <f t="shared" si="0"/>
        <v>25</v>
      </c>
      <c r="F7">
        <f t="shared" si="9"/>
        <v>3.1674898302368564</v>
      </c>
      <c r="G7">
        <f t="shared" si="10"/>
        <v>1.2278921229539039</v>
      </c>
      <c r="H7">
        <f t="shared" si="11"/>
        <v>1.9395977072829524</v>
      </c>
      <c r="I7">
        <f t="shared" si="1"/>
        <v>0.81189803669513572</v>
      </c>
      <c r="J7" s="24">
        <f t="shared" si="12"/>
        <v>0.96155324875048054</v>
      </c>
      <c r="K7" s="24">
        <f t="shared" si="13"/>
        <v>0.96155324875048054</v>
      </c>
      <c r="L7" s="24">
        <f t="shared" si="14"/>
        <v>0.96155324875048054</v>
      </c>
      <c r="M7" s="24">
        <f t="shared" si="2"/>
        <v>1.7795983973062672</v>
      </c>
      <c r="N7" s="24">
        <f t="shared" si="15"/>
        <v>1.7111786204009898</v>
      </c>
      <c r="O7" s="24">
        <f t="shared" si="16"/>
        <v>1.7111786204009898</v>
      </c>
      <c r="P7" s="24">
        <f t="shared" si="17"/>
        <v>17.111786204009899</v>
      </c>
      <c r="Q7" s="24">
        <f t="shared" si="18"/>
        <v>17.111786204009899</v>
      </c>
      <c r="R7" s="24">
        <f t="shared" si="3"/>
        <v>0.70710678118654746</v>
      </c>
      <c r="S7" s="24">
        <f t="shared" si="4"/>
        <v>7.0710678118654752E-2</v>
      </c>
      <c r="T7" s="24">
        <f t="shared" si="19"/>
        <v>20.211599327456298</v>
      </c>
      <c r="U7" s="24">
        <f t="shared" si="20"/>
        <v>20.211599327456298</v>
      </c>
      <c r="V7" s="24">
        <f t="shared" si="21"/>
        <v>0.30998131234463971</v>
      </c>
      <c r="W7" s="24">
        <f t="shared" si="22"/>
        <v>3.0998131234463973</v>
      </c>
      <c r="X7">
        <f t="shared" si="5"/>
        <v>5.6197220480679224</v>
      </c>
      <c r="Y7">
        <f t="shared" si="6"/>
        <v>13.187342167480578</v>
      </c>
      <c r="AA7" s="28" t="s">
        <v>5</v>
      </c>
      <c r="AB7" s="26">
        <f>AB4+AB5*AB6</f>
        <v>140.94000000000003</v>
      </c>
    </row>
    <row r="8" spans="1:30">
      <c r="A8">
        <v>15</v>
      </c>
      <c r="B8">
        <v>35</v>
      </c>
      <c r="C8">
        <f t="shared" si="7"/>
        <v>25</v>
      </c>
      <c r="D8">
        <f t="shared" si="8"/>
        <v>30</v>
      </c>
      <c r="E8">
        <f t="shared" si="0"/>
        <v>27.5</v>
      </c>
      <c r="F8">
        <f t="shared" si="9"/>
        <v>4.2426356531114431</v>
      </c>
      <c r="G8">
        <f t="shared" si="10"/>
        <v>1.7052285488209411</v>
      </c>
      <c r="H8">
        <f t="shared" si="11"/>
        <v>2.537407104290502</v>
      </c>
      <c r="I8">
        <f t="shared" si="1"/>
        <v>0.67807825935480448</v>
      </c>
      <c r="J8" s="24">
        <f t="shared" si="12"/>
        <v>1</v>
      </c>
      <c r="K8" s="24">
        <f t="shared" si="13"/>
        <v>1</v>
      </c>
      <c r="L8" s="24">
        <f t="shared" si="14"/>
        <v>1</v>
      </c>
      <c r="M8" s="24">
        <f t="shared" si="2"/>
        <v>1.4862789772321459</v>
      </c>
      <c r="N8" s="24">
        <f t="shared" si="15"/>
        <v>1.4862789772321459</v>
      </c>
      <c r="O8" s="24">
        <f t="shared" si="16"/>
        <v>1.4862789772321459</v>
      </c>
      <c r="P8" s="24">
        <f t="shared" si="17"/>
        <v>14.862789772321459</v>
      </c>
      <c r="Q8" s="24">
        <f t="shared" si="18"/>
        <v>14.862789772321459</v>
      </c>
      <c r="R8" s="24">
        <f t="shared" si="3"/>
        <v>1</v>
      </c>
      <c r="S8" s="24">
        <f t="shared" si="4"/>
        <v>0.1</v>
      </c>
      <c r="T8" s="24">
        <f t="shared" si="19"/>
        <v>19.24658753232146</v>
      </c>
      <c r="U8" s="24">
        <f t="shared" si="20"/>
        <v>19.24658753232146</v>
      </c>
      <c r="V8" s="24">
        <f t="shared" si="21"/>
        <v>0.43837977600000011</v>
      </c>
      <c r="W8" s="24">
        <f t="shared" si="22"/>
        <v>4.3837977600000011</v>
      </c>
      <c r="X8">
        <f t="shared" si="5"/>
        <v>4.29572376524413</v>
      </c>
      <c r="Y8">
        <f t="shared" si="6"/>
        <v>16.428156187048202</v>
      </c>
      <c r="AA8" s="28" t="s">
        <v>29</v>
      </c>
      <c r="AB8" s="28">
        <v>0.05</v>
      </c>
    </row>
    <row r="9" spans="1:30">
      <c r="A9">
        <v>20</v>
      </c>
      <c r="B9">
        <v>40</v>
      </c>
      <c r="C9">
        <f t="shared" si="7"/>
        <v>30</v>
      </c>
      <c r="D9">
        <f t="shared" si="8"/>
        <v>35</v>
      </c>
      <c r="E9">
        <f t="shared" si="0"/>
        <v>30</v>
      </c>
      <c r="F9">
        <f t="shared" si="9"/>
        <v>5.6220563085635584</v>
      </c>
      <c r="G9">
        <f t="shared" si="10"/>
        <v>2.3380938419374377</v>
      </c>
      <c r="H9">
        <f t="shared" si="11"/>
        <v>3.2839624666261207</v>
      </c>
      <c r="I9">
        <f t="shared" si="1"/>
        <v>0.46077952588954418</v>
      </c>
      <c r="J9" s="24">
        <f t="shared" si="12"/>
        <v>0.96155324875048054</v>
      </c>
      <c r="K9" s="24">
        <f t="shared" si="13"/>
        <v>0.69135802469135799</v>
      </c>
      <c r="L9" s="24">
        <f t="shared" si="14"/>
        <v>1</v>
      </c>
      <c r="M9" s="24">
        <f t="shared" si="2"/>
        <v>1.0099821267242231</v>
      </c>
      <c r="N9" s="24">
        <f t="shared" si="15"/>
        <v>1.0099821267242231</v>
      </c>
      <c r="O9" s="24">
        <f t="shared" si="16"/>
        <v>0.69825924810563567</v>
      </c>
      <c r="P9" s="24">
        <f t="shared" si="17"/>
        <v>10.099821267242231</v>
      </c>
      <c r="Q9" s="24">
        <f t="shared" si="18"/>
        <v>6.9825924810563569</v>
      </c>
      <c r="R9" s="24">
        <f t="shared" si="3"/>
        <v>1.4142135623730951</v>
      </c>
      <c r="S9" s="24">
        <f t="shared" si="4"/>
        <v>0.14142135623730953</v>
      </c>
      <c r="T9" s="24">
        <f t="shared" si="19"/>
        <v>16.299447514135025</v>
      </c>
      <c r="U9" s="24">
        <f t="shared" si="20"/>
        <v>13.182218727949152</v>
      </c>
      <c r="V9" s="24">
        <f t="shared" si="21"/>
        <v>0.61996262468927954</v>
      </c>
      <c r="W9" s="24">
        <f t="shared" si="22"/>
        <v>6.1996262468927954</v>
      </c>
      <c r="X9">
        <f t="shared" si="5"/>
        <v>3.3191609559406592</v>
      </c>
      <c r="Y9">
        <f t="shared" si="6"/>
        <v>14.562355560362397</v>
      </c>
      <c r="AA9" s="28" t="s">
        <v>30</v>
      </c>
      <c r="AB9" s="28">
        <v>2</v>
      </c>
    </row>
    <row r="10" spans="1:30">
      <c r="A10">
        <v>25</v>
      </c>
      <c r="B10">
        <v>45</v>
      </c>
      <c r="C10">
        <f t="shared" si="7"/>
        <v>35</v>
      </c>
      <c r="D10">
        <f t="shared" si="8"/>
        <v>40</v>
      </c>
      <c r="E10">
        <f t="shared" si="0"/>
        <v>32.5</v>
      </c>
      <c r="F10">
        <f t="shared" si="9"/>
        <v>7.3747231460360023</v>
      </c>
      <c r="G10">
        <f t="shared" si="10"/>
        <v>3.1674898302368564</v>
      </c>
      <c r="H10">
        <f t="shared" si="11"/>
        <v>4.2072333157991455</v>
      </c>
      <c r="I10">
        <f t="shared" si="1"/>
        <v>0.11495939132148625</v>
      </c>
      <c r="J10" s="24">
        <f t="shared" si="12"/>
        <v>0.84621299500192237</v>
      </c>
      <c r="K10" s="24">
        <f t="shared" si="13"/>
        <v>0</v>
      </c>
      <c r="L10" s="24">
        <f t="shared" si="14"/>
        <v>1</v>
      </c>
      <c r="M10" s="24">
        <f t="shared" si="2"/>
        <v>0.25197936108304753</v>
      </c>
      <c r="N10" s="24">
        <f t="shared" si="15"/>
        <v>0.25197936108304753</v>
      </c>
      <c r="O10" s="24">
        <f t="shared" si="16"/>
        <v>0</v>
      </c>
      <c r="P10" s="24">
        <f t="shared" si="17"/>
        <v>2.519793610830475</v>
      </c>
      <c r="Q10" s="24">
        <f t="shared" si="18"/>
        <v>0</v>
      </c>
      <c r="R10" s="24">
        <f t="shared" si="3"/>
        <v>2</v>
      </c>
      <c r="S10" s="24">
        <f t="shared" si="4"/>
        <v>0.2</v>
      </c>
      <c r="T10" s="24">
        <f t="shared" si="19"/>
        <v>11.287389130830476</v>
      </c>
      <c r="U10" s="24">
        <f t="shared" si="20"/>
        <v>8.7675955200000022</v>
      </c>
      <c r="V10" s="24">
        <f t="shared" si="21"/>
        <v>0.87675955200000022</v>
      </c>
      <c r="W10" s="24">
        <f t="shared" si="22"/>
        <v>8.7675955200000022</v>
      </c>
      <c r="X10">
        <f t="shared" si="5"/>
        <v>2.5907762136860701</v>
      </c>
      <c r="Y10">
        <f t="shared" si="6"/>
        <v>12.408578583582528</v>
      </c>
      <c r="AA10" s="28" t="s">
        <v>10</v>
      </c>
      <c r="AB10" s="28">
        <v>30</v>
      </c>
      <c r="AD10" t="s">
        <v>151</v>
      </c>
    </row>
    <row r="11" spans="1:30">
      <c r="A11">
        <v>30</v>
      </c>
      <c r="B11">
        <v>50</v>
      </c>
      <c r="C11">
        <f>(A11+B11)/2</f>
        <v>40</v>
      </c>
      <c r="D11">
        <f t="shared" si="8"/>
        <v>45</v>
      </c>
      <c r="E11">
        <f t="shared" si="0"/>
        <v>35</v>
      </c>
      <c r="F11">
        <f t="shared" si="9"/>
        <v>9.5812372781996284</v>
      </c>
      <c r="G11">
        <f t="shared" si="10"/>
        <v>4.2426356531114431</v>
      </c>
      <c r="H11">
        <f t="shared" si="11"/>
        <v>5.3386016250881854</v>
      </c>
      <c r="I11">
        <f t="shared" si="1"/>
        <v>0</v>
      </c>
      <c r="J11" s="24">
        <f t="shared" si="12"/>
        <v>0.65397923875432529</v>
      </c>
      <c r="K11" s="24">
        <f t="shared" si="13"/>
        <v>0</v>
      </c>
      <c r="L11" s="24">
        <f t="shared" si="14"/>
        <v>1</v>
      </c>
      <c r="M11" s="24">
        <f t="shared" si="2"/>
        <v>0</v>
      </c>
      <c r="N11" s="24">
        <f t="shared" si="15"/>
        <v>0</v>
      </c>
      <c r="O11" s="24">
        <f t="shared" si="16"/>
        <v>0</v>
      </c>
      <c r="P11" s="24">
        <f t="shared" si="17"/>
        <v>0</v>
      </c>
      <c r="Q11" s="24">
        <f t="shared" si="18"/>
        <v>0</v>
      </c>
      <c r="R11" s="24">
        <f t="shared" si="3"/>
        <v>2.8284271247461898</v>
      </c>
      <c r="S11" s="24">
        <f t="shared" si="4"/>
        <v>0.28284271247461901</v>
      </c>
      <c r="T11" s="24">
        <f t="shared" si="19"/>
        <v>12.399252493785589</v>
      </c>
      <c r="U11" s="24">
        <f t="shared" si="20"/>
        <v>12.399252493785589</v>
      </c>
      <c r="V11" s="24">
        <f t="shared" si="21"/>
        <v>1.2399252493785589</v>
      </c>
      <c r="W11" s="24">
        <f t="shared" si="22"/>
        <v>12.399252493785589</v>
      </c>
      <c r="X11">
        <f t="shared" si="5"/>
        <v>2.0417331663738723</v>
      </c>
      <c r="Y11">
        <f t="shared" si="6"/>
        <v>22.26732001973172</v>
      </c>
      <c r="AA11" s="28" t="s">
        <v>11</v>
      </c>
      <c r="AB11" s="26">
        <f>AC11*60*60</f>
        <v>43200</v>
      </c>
      <c r="AC11">
        <v>12</v>
      </c>
      <c r="AD11" t="s">
        <v>117</v>
      </c>
    </row>
    <row r="12" spans="1:30">
      <c r="A12">
        <v>35</v>
      </c>
      <c r="B12">
        <v>55</v>
      </c>
      <c r="C12">
        <f>(A12+B12)/2</f>
        <v>45</v>
      </c>
      <c r="D12">
        <f t="shared" si="8"/>
        <v>50</v>
      </c>
      <c r="E12">
        <f t="shared" si="0"/>
        <v>37.5</v>
      </c>
      <c r="F12">
        <f t="shared" si="9"/>
        <v>12.335046017492973</v>
      </c>
      <c r="G12">
        <f t="shared" si="10"/>
        <v>5.6220563085635584</v>
      </c>
      <c r="H12">
        <f t="shared" si="11"/>
        <v>6.7129897089294142</v>
      </c>
      <c r="I12">
        <f t="shared" si="1"/>
        <v>0</v>
      </c>
      <c r="J12" s="24">
        <f t="shared" si="12"/>
        <v>0.38485198000768933</v>
      </c>
      <c r="K12" s="24">
        <f t="shared" si="13"/>
        <v>0</v>
      </c>
      <c r="L12" s="24">
        <f t="shared" si="14"/>
        <v>1</v>
      </c>
      <c r="M12" s="24">
        <f t="shared" si="2"/>
        <v>0</v>
      </c>
      <c r="N12" s="24">
        <f t="shared" si="15"/>
        <v>0</v>
      </c>
      <c r="O12" s="24">
        <f t="shared" si="16"/>
        <v>0</v>
      </c>
      <c r="P12" s="24">
        <f t="shared" si="17"/>
        <v>0</v>
      </c>
      <c r="Q12" s="24">
        <f t="shared" si="18"/>
        <v>0</v>
      </c>
      <c r="R12" s="24">
        <f t="shared" si="3"/>
        <v>4</v>
      </c>
      <c r="S12" s="24">
        <f t="shared" si="4"/>
        <v>0.4</v>
      </c>
      <c r="T12" s="24">
        <f t="shared" si="19"/>
        <v>17.535191040000004</v>
      </c>
      <c r="U12" s="24">
        <f t="shared" si="20"/>
        <v>17.535191040000004</v>
      </c>
      <c r="V12" s="24">
        <f t="shared" si="21"/>
        <v>1.7535191040000004</v>
      </c>
      <c r="W12" s="24">
        <f t="shared" si="22"/>
        <v>17.535191040000004</v>
      </c>
      <c r="X12">
        <f t="shared" si="5"/>
        <v>1.6237176686717028</v>
      </c>
      <c r="Y12">
        <f t="shared" si="6"/>
        <v>39.597832628499816</v>
      </c>
      <c r="AA12" s="28" t="s">
        <v>20</v>
      </c>
      <c r="AB12" s="28">
        <v>1</v>
      </c>
    </row>
    <row r="13" spans="1:30">
      <c r="A13">
        <v>40</v>
      </c>
      <c r="B13">
        <v>60</v>
      </c>
      <c r="C13">
        <f>(A13+B13)/2</f>
        <v>50</v>
      </c>
      <c r="D13">
        <f t="shared" si="8"/>
        <v>55</v>
      </c>
      <c r="E13">
        <f t="shared" si="0"/>
        <v>40</v>
      </c>
      <c r="F13">
        <f t="shared" si="9"/>
        <v>15.743681776119971</v>
      </c>
      <c r="G13">
        <f t="shared" si="10"/>
        <v>7.3747231460360023</v>
      </c>
      <c r="H13">
        <f t="shared" si="11"/>
        <v>8.3689586300839682</v>
      </c>
      <c r="I13">
        <f t="shared" si="1"/>
        <v>0</v>
      </c>
      <c r="J13" s="24">
        <f t="shared" si="12"/>
        <v>3.8831218762014612E-2</v>
      </c>
      <c r="K13" s="24">
        <f t="shared" si="13"/>
        <v>0</v>
      </c>
      <c r="L13" s="24">
        <f t="shared" si="14"/>
        <v>1</v>
      </c>
      <c r="M13" s="24">
        <f t="shared" si="2"/>
        <v>0</v>
      </c>
      <c r="N13" s="24">
        <f t="shared" si="15"/>
        <v>0</v>
      </c>
      <c r="O13" s="24">
        <f t="shared" si="16"/>
        <v>0</v>
      </c>
      <c r="P13" s="24">
        <f t="shared" si="17"/>
        <v>0</v>
      </c>
      <c r="Q13" s="24">
        <f t="shared" si="18"/>
        <v>0</v>
      </c>
      <c r="R13" s="24">
        <f t="shared" si="3"/>
        <v>5.6568542494923806</v>
      </c>
      <c r="S13" s="24">
        <f t="shared" si="4"/>
        <v>0.56568542494923812</v>
      </c>
      <c r="T13" s="24">
        <f t="shared" si="19"/>
        <v>24.798504987571182</v>
      </c>
      <c r="U13" s="24">
        <f t="shared" si="20"/>
        <v>24.798504987571182</v>
      </c>
      <c r="V13" s="24">
        <f t="shared" si="21"/>
        <v>2.4798504987571182</v>
      </c>
      <c r="W13" s="24">
        <f t="shared" si="22"/>
        <v>24.798504987571182</v>
      </c>
      <c r="X13">
        <f t="shared" si="5"/>
        <v>1.3024320565784224</v>
      </c>
      <c r="Y13">
        <f t="shared" si="6"/>
        <v>69.813892526546056</v>
      </c>
      <c r="AA13" s="28" t="s">
        <v>21</v>
      </c>
      <c r="AB13" s="28">
        <v>1</v>
      </c>
    </row>
    <row r="14" spans="1:30">
      <c r="AA14" s="28" t="s">
        <v>301</v>
      </c>
      <c r="AB14" s="28">
        <v>10</v>
      </c>
    </row>
    <row r="15" spans="1:30">
      <c r="A15" s="24"/>
      <c r="B15" s="24"/>
      <c r="C15" s="24"/>
      <c r="D15" s="24"/>
      <c r="E15" s="24"/>
      <c r="F15" s="24"/>
      <c r="G15" s="24"/>
      <c r="H15" s="24"/>
      <c r="I15" s="24"/>
      <c r="K15" s="24"/>
      <c r="AA15" s="28" t="s">
        <v>24</v>
      </c>
      <c r="AB15" s="28">
        <v>5</v>
      </c>
    </row>
    <row r="16" spans="1:30">
      <c r="A16" s="24"/>
      <c r="B16" s="24"/>
      <c r="C16" s="24"/>
      <c r="D16" s="24"/>
      <c r="E16" s="24"/>
      <c r="F16" s="24"/>
      <c r="G16" s="24"/>
      <c r="H16" s="24"/>
      <c r="I16" s="24"/>
      <c r="K16" s="24"/>
      <c r="AA16" s="28" t="s">
        <v>32</v>
      </c>
      <c r="AB16" s="28">
        <v>10.9</v>
      </c>
      <c r="AC16" t="s">
        <v>299</v>
      </c>
    </row>
    <row r="17" spans="1:28">
      <c r="A17" s="2" t="s">
        <v>230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AA17" s="28" t="s">
        <v>13</v>
      </c>
      <c r="AB17" s="28">
        <v>0.1</v>
      </c>
    </row>
    <row r="18" spans="1:28">
      <c r="A18" s="2" t="s">
        <v>281</v>
      </c>
      <c r="B18" s="2"/>
      <c r="C18" s="2"/>
      <c r="D18" s="2"/>
      <c r="E18" s="2"/>
      <c r="F18" s="2"/>
      <c r="G18" s="2"/>
      <c r="H18" s="2"/>
      <c r="I18" s="2"/>
      <c r="J18" s="2"/>
      <c r="K18" s="2"/>
      <c r="T18" s="2" t="s">
        <v>174</v>
      </c>
      <c r="U18" s="2"/>
      <c r="AA18" s="28" t="s">
        <v>145</v>
      </c>
      <c r="AB18" s="28">
        <v>2</v>
      </c>
    </row>
    <row r="19" spans="1:28">
      <c r="AA19" s="24" t="s">
        <v>228</v>
      </c>
      <c r="AB19">
        <f>$AB$2+($AB$2-$AB$1)</f>
        <v>55.5</v>
      </c>
    </row>
    <row r="20" spans="1:28">
      <c r="AA20" s="24" t="s">
        <v>229</v>
      </c>
      <c r="AB20">
        <f>$AB$2+($AB$2-$AB$3)</f>
        <v>21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Y32"/>
  <sheetViews>
    <sheetView topLeftCell="D1" workbookViewId="0">
      <selection activeCell="S15" sqref="S15:S16"/>
    </sheetView>
  </sheetViews>
  <sheetFormatPr defaultRowHeight="15"/>
  <cols>
    <col min="8" max="8" width="9.140625" style="24"/>
    <col min="9" max="17" width="9.140625" style="4"/>
    <col min="18" max="18" width="12.5703125" customWidth="1"/>
    <col min="22" max="22" width="9.140625" style="4"/>
    <col min="25" max="25" width="10.42578125" style="4" customWidth="1"/>
    <col min="27" max="27" width="8.140625" customWidth="1"/>
  </cols>
  <sheetData>
    <row r="1" spans="1:25">
      <c r="A1" t="s">
        <v>171</v>
      </c>
      <c r="B1" s="4" t="s">
        <v>36</v>
      </c>
      <c r="C1" s="4" t="s">
        <v>50</v>
      </c>
      <c r="D1" s="4" t="s">
        <v>37</v>
      </c>
      <c r="E1" s="4" t="s">
        <v>41</v>
      </c>
      <c r="F1" s="4" t="s">
        <v>38</v>
      </c>
      <c r="G1" s="4" t="s">
        <v>39</v>
      </c>
      <c r="H1" s="49" t="s">
        <v>182</v>
      </c>
      <c r="I1" s="4" t="s">
        <v>40</v>
      </c>
      <c r="J1" s="4" t="s">
        <v>42</v>
      </c>
      <c r="K1" s="4" t="s">
        <v>5</v>
      </c>
      <c r="L1" s="49" t="s">
        <v>183</v>
      </c>
      <c r="M1" s="4" t="s">
        <v>9</v>
      </c>
      <c r="N1" s="4" t="s">
        <v>44</v>
      </c>
      <c r="O1" s="4" t="s">
        <v>172</v>
      </c>
      <c r="R1" s="29" t="s">
        <v>152</v>
      </c>
      <c r="S1" s="28"/>
      <c r="T1" s="28"/>
      <c r="U1" s="28"/>
      <c r="V1" s="2" t="s">
        <v>192</v>
      </c>
      <c r="W1" s="2"/>
      <c r="X1" s="2"/>
      <c r="Y1" s="2"/>
    </row>
    <row r="2" spans="1:25">
      <c r="A2">
        <v>300</v>
      </c>
      <c r="B2" s="5">
        <f t="shared" ref="B2:B16" si="0" xml:space="preserve"> (-0.075 * $S$3)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50">
        <f>(A2-40)/(A2+2*40)*(350+2*40)/(350-40)</f>
        <v>0.9490662139219016</v>
      </c>
      <c r="I2" s="5">
        <f xml:space="preserve"> G2 / ((A2 - A2*B2) / (350 - C2))</f>
        <v>1.0218486580010462</v>
      </c>
      <c r="J2" s="5">
        <f t="shared" ref="J2:J16" si="1">($S$7/$S$6)*(1+1-I2)</f>
        <v>5.6114998040992621</v>
      </c>
      <c r="K2" s="5">
        <f t="shared" ref="K2:K16" si="2" xml:space="preserve"> G2*($S$4 +$S$5 * $S$3)</f>
        <v>142.33767892435716</v>
      </c>
      <c r="L2" s="50">
        <f>H2*($S$4 +$S$5*$S$3)</f>
        <v>154.23275042444826</v>
      </c>
      <c r="M2" s="4">
        <f t="shared" ref="M2:M16" si="3">MAX(0,1-$S$8*($S$6^$S$9))</f>
        <v>0.81950000000000001</v>
      </c>
      <c r="N2" s="4">
        <f t="shared" ref="N2:N16" si="4">$S$10*(K2*M2*$S$11*$S$15/1000000000)</f>
        <v>1.9652472232971483</v>
      </c>
      <c r="O2" s="4">
        <f t="shared" ref="O2:O16" si="5">N2/J2/G2*$S$16</f>
        <v>17.593454673155264</v>
      </c>
      <c r="R2" s="28"/>
      <c r="S2" s="28"/>
      <c r="T2" s="28"/>
      <c r="U2" s="28"/>
      <c r="V2" s="2" t="s">
        <v>193</v>
      </c>
      <c r="W2" s="2"/>
      <c r="X2" s="2"/>
      <c r="Y2" s="2"/>
    </row>
    <row r="3" spans="1:25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50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5">
        <f t="shared" si="1"/>
        <v>5.7368421052631584</v>
      </c>
      <c r="K3" s="5">
        <f t="shared" si="2"/>
        <v>162.51000000000002</v>
      </c>
      <c r="L3" s="50">
        <f t="shared" ref="L3:L16" si="13">H3*($S$4 +$S$5*$S$3)</f>
        <v>162.51000000000002</v>
      </c>
      <c r="M3" s="4">
        <f t="shared" si="3"/>
        <v>0.81950000000000001</v>
      </c>
      <c r="N3" s="4">
        <f t="shared" si="4"/>
        <v>2.2437651693600005</v>
      </c>
      <c r="O3" s="4">
        <f t="shared" si="5"/>
        <v>17.20906129894459</v>
      </c>
      <c r="R3" s="28" t="s">
        <v>8</v>
      </c>
      <c r="S3" s="28">
        <v>2.9</v>
      </c>
      <c r="T3" s="28" t="s">
        <v>49</v>
      </c>
      <c r="U3" s="28"/>
      <c r="V3" s="2" t="s">
        <v>278</v>
      </c>
      <c r="W3" s="2"/>
      <c r="X3" s="2"/>
      <c r="Y3" s="2"/>
    </row>
    <row r="4" spans="1:25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50">
        <f t="shared" si="11"/>
        <v>1.0403225806451613</v>
      </c>
      <c r="I4" s="5">
        <f t="shared" si="12"/>
        <v>0.96571541614251499</v>
      </c>
      <c r="J4" s="5">
        <f t="shared" si="1"/>
        <v>5.9335273494982044</v>
      </c>
      <c r="K4" s="5">
        <f t="shared" si="2"/>
        <v>179.35818545979444</v>
      </c>
      <c r="L4" s="50">
        <f t="shared" si="13"/>
        <v>169.06282258064519</v>
      </c>
      <c r="M4" s="4">
        <f t="shared" si="3"/>
        <v>0.81950000000000001</v>
      </c>
      <c r="N4" s="4">
        <f t="shared" si="4"/>
        <v>2.4763869877195122</v>
      </c>
      <c r="O4" s="4">
        <f t="shared" si="5"/>
        <v>16.638613363801074</v>
      </c>
      <c r="R4" s="28" t="s">
        <v>6</v>
      </c>
      <c r="S4" s="28">
        <v>-46</v>
      </c>
      <c r="T4" s="28"/>
      <c r="U4" s="28"/>
      <c r="V4" s="26" t="s">
        <v>86</v>
      </c>
      <c r="W4" s="26"/>
      <c r="X4" s="26"/>
    </row>
    <row r="5" spans="1:25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50">
        <f t="shared" si="11"/>
        <v>1.0730371272063299</v>
      </c>
      <c r="I5" s="5">
        <f t="shared" si="12"/>
        <v>0.92677336334557081</v>
      </c>
      <c r="J5" s="5">
        <f t="shared" si="1"/>
        <v>6.1569317576490947</v>
      </c>
      <c r="K5" s="5">
        <f t="shared" si="2"/>
        <v>193.64135049937124</v>
      </c>
      <c r="L5" s="50">
        <f t="shared" si="13"/>
        <v>174.37926354230069</v>
      </c>
      <c r="M5" s="4">
        <f t="shared" si="3"/>
        <v>0.81950000000000001</v>
      </c>
      <c r="N5" s="4">
        <f t="shared" si="4"/>
        <v>2.6735937332983868</v>
      </c>
      <c r="O5" s="4">
        <f t="shared" si="5"/>
        <v>16.034880901382039</v>
      </c>
      <c r="R5" s="28" t="s">
        <v>7</v>
      </c>
      <c r="S5" s="28">
        <v>71.900000000000006</v>
      </c>
      <c r="T5" s="28"/>
      <c r="U5" s="28"/>
      <c r="V5" s="28" t="s">
        <v>298</v>
      </c>
      <c r="W5" s="28"/>
      <c r="X5" s="28"/>
    </row>
    <row r="6" spans="1:25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50">
        <f t="shared" si="11"/>
        <v>1.100111234705228</v>
      </c>
      <c r="I6" s="5">
        <f t="shared" si="12"/>
        <v>0.88691572350311454</v>
      </c>
      <c r="J6" s="5">
        <f t="shared" si="1"/>
        <v>6.3855887441137122</v>
      </c>
      <c r="K6" s="5">
        <f t="shared" si="2"/>
        <v>205.90382032355882</v>
      </c>
      <c r="L6" s="50">
        <f t="shared" si="13"/>
        <v>178.77907675194663</v>
      </c>
      <c r="M6" s="4">
        <f t="shared" si="3"/>
        <v>0.81950000000000001</v>
      </c>
      <c r="N6" s="4">
        <f t="shared" si="4"/>
        <v>2.8429008693628761</v>
      </c>
      <c r="O6" s="4">
        <f t="shared" si="5"/>
        <v>15.460699304014238</v>
      </c>
      <c r="R6" s="28" t="s">
        <v>28</v>
      </c>
      <c r="S6" s="28">
        <v>1.9</v>
      </c>
      <c r="T6" s="28"/>
      <c r="U6" s="28"/>
    </row>
    <row r="7" spans="1:25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50">
        <f t="shared" si="11"/>
        <v>1.1228878648233487</v>
      </c>
      <c r="I7" s="5">
        <f t="shared" si="12"/>
        <v>0.847960436310225</v>
      </c>
      <c r="J7" s="5">
        <f t="shared" si="1"/>
        <v>6.6090690759045003</v>
      </c>
      <c r="K7" s="5">
        <f t="shared" si="2"/>
        <v>216.54607936464592</v>
      </c>
      <c r="L7" s="50">
        <f t="shared" si="13"/>
        <v>182.48050691244242</v>
      </c>
      <c r="M7" s="4">
        <f t="shared" si="3"/>
        <v>0.81950000000000001</v>
      </c>
      <c r="N7" s="4">
        <f t="shared" si="4"/>
        <v>2.989837858838587</v>
      </c>
      <c r="O7" s="4">
        <f t="shared" si="5"/>
        <v>14.937908246681273</v>
      </c>
      <c r="R7" s="28" t="s">
        <v>43</v>
      </c>
      <c r="S7" s="28">
        <v>10.9</v>
      </c>
      <c r="T7" s="28" t="s">
        <v>292</v>
      </c>
      <c r="U7" s="28"/>
    </row>
    <row r="8" spans="1:25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50">
        <f t="shared" si="11"/>
        <v>1.142314990512334</v>
      </c>
      <c r="I8" s="5">
        <f t="shared" si="12"/>
        <v>0.81076312309684917</v>
      </c>
      <c r="J8" s="5">
        <f t="shared" si="1"/>
        <v>6.8224641885496551</v>
      </c>
      <c r="K8" s="5">
        <f t="shared" si="2"/>
        <v>225.86934023051822</v>
      </c>
      <c r="L8" s="50">
        <f t="shared" si="13"/>
        <v>185.63760910815941</v>
      </c>
      <c r="M8" s="4">
        <f t="shared" si="3"/>
        <v>0.81950000000000001</v>
      </c>
      <c r="N8" s="4">
        <f t="shared" si="4"/>
        <v>3.1185635249249901</v>
      </c>
      <c r="O8" s="4">
        <f t="shared" si="5"/>
        <v>14.470675803258041</v>
      </c>
      <c r="R8" s="28" t="s">
        <v>29</v>
      </c>
      <c r="S8" s="28">
        <v>0.05</v>
      </c>
      <c r="T8" s="28"/>
      <c r="U8" s="28"/>
    </row>
    <row r="9" spans="1:25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50">
        <f t="shared" si="11"/>
        <v>1.1590808661069378</v>
      </c>
      <c r="I9" s="5">
        <f t="shared" si="12"/>
        <v>0.77568318000531811</v>
      </c>
      <c r="J9" s="5">
        <f t="shared" si="1"/>
        <v>7.0237122831273862</v>
      </c>
      <c r="K9" s="5">
        <f t="shared" si="2"/>
        <v>234.10450808209077</v>
      </c>
      <c r="L9" s="50">
        <f t="shared" si="13"/>
        <v>188.36223155103849</v>
      </c>
      <c r="M9" s="4">
        <f t="shared" si="3"/>
        <v>0.81950000000000001</v>
      </c>
      <c r="N9" s="4">
        <f t="shared" si="4"/>
        <v>3.2322659604009103</v>
      </c>
      <c r="O9" s="4">
        <f t="shared" si="5"/>
        <v>14.056052337024449</v>
      </c>
      <c r="R9" s="28" t="s">
        <v>30</v>
      </c>
      <c r="S9" s="28">
        <v>2</v>
      </c>
      <c r="T9" s="28"/>
      <c r="U9" s="28"/>
    </row>
    <row r="10" spans="1:25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50">
        <f t="shared" si="11"/>
        <v>1.1736972704714641</v>
      </c>
      <c r="I10" s="5">
        <f t="shared" si="12"/>
        <v>0.74282063591354974</v>
      </c>
      <c r="J10" s="5">
        <f t="shared" si="1"/>
        <v>7.212239509759109</v>
      </c>
      <c r="K10" s="5">
        <f t="shared" si="2"/>
        <v>241.43156308462196</v>
      </c>
      <c r="L10" s="50">
        <f t="shared" si="13"/>
        <v>190.73754342431766</v>
      </c>
      <c r="M10" s="4">
        <f t="shared" si="3"/>
        <v>0.81950000000000001</v>
      </c>
      <c r="N10" s="4">
        <f t="shared" si="4"/>
        <v>3.3334301398893378</v>
      </c>
      <c r="O10" s="4">
        <f t="shared" si="5"/>
        <v>13.688628520759909</v>
      </c>
      <c r="R10" s="28" t="s">
        <v>45</v>
      </c>
      <c r="S10" s="28">
        <v>30</v>
      </c>
      <c r="T10" s="28" t="s">
        <v>47</v>
      </c>
      <c r="U10" s="28"/>
    </row>
    <row r="11" spans="1:25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50">
        <f t="shared" si="11"/>
        <v>1.1865526622619509</v>
      </c>
      <c r="I11" s="5">
        <f t="shared" si="12"/>
        <v>0.7121408163841596</v>
      </c>
      <c r="J11" s="5">
        <f t="shared" si="1"/>
        <v>7.3882447902171906</v>
      </c>
      <c r="K11" s="5">
        <f t="shared" si="2"/>
        <v>247.99286586554953</v>
      </c>
      <c r="L11" s="50">
        <f t="shared" si="13"/>
        <v>192.82667314418967</v>
      </c>
      <c r="M11" s="4">
        <f t="shared" si="3"/>
        <v>0.81950000000000001</v>
      </c>
      <c r="N11" s="4">
        <f t="shared" si="4"/>
        <v>3.4240216274622273</v>
      </c>
      <c r="O11" s="4">
        <f t="shared" si="5"/>
        <v>13.362533356036487</v>
      </c>
      <c r="R11" s="28" t="s">
        <v>173</v>
      </c>
      <c r="S11" s="26">
        <f>T11*60*60</f>
        <v>46800</v>
      </c>
      <c r="T11" s="28">
        <v>13</v>
      </c>
      <c r="U11" s="28" t="s">
        <v>117</v>
      </c>
    </row>
    <row r="12" spans="1:25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50">
        <f t="shared" si="11"/>
        <v>1.1979472140762464</v>
      </c>
      <c r="I12" s="5">
        <f t="shared" si="12"/>
        <v>0.68354158562520528</v>
      </c>
      <c r="J12" s="5">
        <f t="shared" si="1"/>
        <v>7.5523140614132975</v>
      </c>
      <c r="K12" s="5">
        <f t="shared" si="2"/>
        <v>253.902498468462</v>
      </c>
      <c r="L12" s="50">
        <f t="shared" si="13"/>
        <v>194.67840175953083</v>
      </c>
      <c r="M12" s="4">
        <f t="shared" si="3"/>
        <v>0.81950000000000001</v>
      </c>
      <c r="N12" s="4">
        <f t="shared" si="4"/>
        <v>3.5056155465941528</v>
      </c>
      <c r="O12" s="4">
        <f t="shared" si="5"/>
        <v>13.072240726356267</v>
      </c>
      <c r="R12" s="28"/>
      <c r="S12" s="28"/>
      <c r="T12" s="28"/>
      <c r="U12" s="28"/>
    </row>
    <row r="13" spans="1:25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50">
        <f t="shared" si="11"/>
        <v>1.2081165452653486</v>
      </c>
      <c r="I13" s="5">
        <f t="shared" si="12"/>
        <v>0.65689013752105918</v>
      </c>
      <c r="J13" s="5">
        <f t="shared" si="1"/>
        <v>7.7052092110633978</v>
      </c>
      <c r="K13" s="5">
        <f t="shared" si="2"/>
        <v>259.25295374647209</v>
      </c>
      <c r="L13" s="50">
        <f t="shared" si="13"/>
        <v>196.33101977107182</v>
      </c>
      <c r="M13" s="4">
        <f t="shared" si="3"/>
        <v>0.81950000000000001</v>
      </c>
      <c r="N13" s="4">
        <f t="shared" si="4"/>
        <v>3.5794889401884999</v>
      </c>
      <c r="O13" s="4">
        <f t="shared" si="5"/>
        <v>12.812847094415863</v>
      </c>
      <c r="R13" s="28"/>
      <c r="S13" s="28"/>
      <c r="T13" s="28"/>
      <c r="U13" s="28"/>
    </row>
    <row r="14" spans="1:25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50">
        <f t="shared" si="11"/>
        <v>1.21724818959842</v>
      </c>
      <c r="I14" s="5">
        <f t="shared" si="12"/>
        <v>0.63204318421283179</v>
      </c>
      <c r="J14" s="5">
        <f t="shared" si="1"/>
        <v>7.8477522589895443</v>
      </c>
      <c r="K14" s="5">
        <f t="shared" si="2"/>
        <v>264.12001165652737</v>
      </c>
      <c r="L14" s="50">
        <f t="shared" si="13"/>
        <v>197.81500329163924</v>
      </c>
      <c r="M14" s="4">
        <f t="shared" si="3"/>
        <v>0.81950000000000001</v>
      </c>
      <c r="N14" s="4">
        <f t="shared" si="4"/>
        <v>3.646688097260927</v>
      </c>
      <c r="O14" s="4">
        <f t="shared" si="5"/>
        <v>12.580120293521047</v>
      </c>
      <c r="R14" s="29" t="s">
        <v>35</v>
      </c>
      <c r="S14" s="28"/>
      <c r="T14" s="28"/>
      <c r="U14" s="28"/>
    </row>
    <row r="15" spans="1:25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50">
        <f t="shared" si="11"/>
        <v>1.2254932665205136</v>
      </c>
      <c r="I15" s="5">
        <f t="shared" si="12"/>
        <v>0.60885790251596417</v>
      </c>
      <c r="J15" s="5">
        <f t="shared" si="1"/>
        <v>7.9807625592505218</v>
      </c>
      <c r="K15" s="5">
        <f t="shared" si="2"/>
        <v>268.56635100278822</v>
      </c>
      <c r="L15" s="50">
        <f t="shared" si="13"/>
        <v>199.15491074224869</v>
      </c>
      <c r="M15" s="4">
        <f t="shared" si="3"/>
        <v>0.81950000000000001</v>
      </c>
      <c r="N15" s="4">
        <f t="shared" si="4"/>
        <v>3.7080784200490329</v>
      </c>
      <c r="O15" s="4">
        <f t="shared" si="5"/>
        <v>12.370455419376791</v>
      </c>
      <c r="R15" s="28" t="s">
        <v>46</v>
      </c>
      <c r="S15" s="26">
        <v>12</v>
      </c>
      <c r="T15" s="28" t="s">
        <v>48</v>
      </c>
      <c r="U15" s="28"/>
    </row>
    <row r="16" spans="1:25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50">
        <f t="shared" si="11"/>
        <v>1.2329749103942653</v>
      </c>
      <c r="I16" s="5">
        <f t="shared" si="12"/>
        <v>0.5871976627756651</v>
      </c>
      <c r="J16" s="5">
        <f t="shared" si="1"/>
        <v>8.1050239346027642</v>
      </c>
      <c r="K16" s="5">
        <f t="shared" si="2"/>
        <v>272.64426336478101</v>
      </c>
      <c r="L16" s="50">
        <f t="shared" si="13"/>
        <v>200.37075268817208</v>
      </c>
      <c r="M16" s="4">
        <f t="shared" si="3"/>
        <v>0.81950000000000001</v>
      </c>
      <c r="N16" s="4">
        <f t="shared" si="4"/>
        <v>3.7643818950446759</v>
      </c>
      <c r="O16" s="4">
        <f t="shared" si="5"/>
        <v>12.180799001758736</v>
      </c>
      <c r="R16" s="28" t="s">
        <v>51</v>
      </c>
      <c r="S16" s="26">
        <v>44</v>
      </c>
      <c r="T16" s="28" t="s">
        <v>52</v>
      </c>
      <c r="U16" s="28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 xr:uid="{00000000-0004-0000-0300-00000000000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19"/>
  <sheetViews>
    <sheetView workbookViewId="0">
      <selection activeCell="I10" sqref="I10"/>
    </sheetView>
  </sheetViews>
  <sheetFormatPr defaultColWidth="9.140625" defaultRowHeight="15"/>
  <cols>
    <col min="1" max="1" width="12.42578125" style="24" customWidth="1"/>
    <col min="2" max="2" width="9.140625" style="24"/>
    <col min="3" max="3" width="10.42578125" style="24" customWidth="1"/>
    <col min="4" max="4" width="11" style="24" customWidth="1"/>
    <col min="5" max="5" width="11.5703125" style="24" customWidth="1"/>
    <col min="6" max="6" width="12.42578125" style="24" customWidth="1"/>
    <col min="7" max="7" width="13.42578125" style="24" customWidth="1"/>
    <col min="8" max="8" width="9.140625" style="24"/>
    <col min="9" max="9" width="10.140625" style="24" customWidth="1"/>
    <col min="10" max="16384" width="9.140625" style="24"/>
  </cols>
  <sheetData>
    <row r="1" spans="1:13">
      <c r="A1" s="29" t="s">
        <v>166</v>
      </c>
      <c r="B1" s="28"/>
      <c r="C1" s="24" t="s">
        <v>225</v>
      </c>
    </row>
    <row r="2" spans="1:13">
      <c r="A2" s="28" t="s">
        <v>8</v>
      </c>
      <c r="B2" s="28">
        <v>2.5</v>
      </c>
      <c r="C2" s="26" t="s">
        <v>86</v>
      </c>
      <c r="D2" s="26"/>
      <c r="E2" s="26"/>
    </row>
    <row r="3" spans="1:13">
      <c r="A3" s="28" t="s">
        <v>2</v>
      </c>
      <c r="B3" s="28">
        <v>25</v>
      </c>
      <c r="C3" s="28" t="s">
        <v>298</v>
      </c>
      <c r="D3" s="28"/>
      <c r="E3" s="28"/>
    </row>
    <row r="4" spans="1:13">
      <c r="A4" s="28" t="s">
        <v>157</v>
      </c>
      <c r="B4" s="28">
        <v>0.1</v>
      </c>
    </row>
    <row r="5" spans="1:13">
      <c r="A5" s="28" t="s">
        <v>6</v>
      </c>
      <c r="B5" s="28">
        <v>-46</v>
      </c>
    </row>
    <row r="6" spans="1:13">
      <c r="A6" s="28" t="s">
        <v>7</v>
      </c>
      <c r="B6" s="28">
        <v>72</v>
      </c>
    </row>
    <row r="7" spans="1:13">
      <c r="A7" s="28" t="s">
        <v>5</v>
      </c>
      <c r="B7" s="26">
        <f>B5+B6*B2</f>
        <v>134</v>
      </c>
      <c r="C7" s="24" t="s">
        <v>277</v>
      </c>
    </row>
    <row r="9" spans="1:13">
      <c r="A9" s="24" t="s">
        <v>158</v>
      </c>
      <c r="B9" s="24" t="s">
        <v>19</v>
      </c>
      <c r="C9" s="24" t="s">
        <v>159</v>
      </c>
      <c r="D9" s="24" t="s">
        <v>167</v>
      </c>
      <c r="E9" s="24" t="s">
        <v>168</v>
      </c>
      <c r="F9" s="24" t="s">
        <v>160</v>
      </c>
      <c r="G9" s="24" t="s">
        <v>161</v>
      </c>
      <c r="H9" s="24" t="s">
        <v>162</v>
      </c>
      <c r="I9" s="24" t="s">
        <v>163</v>
      </c>
      <c r="J9" s="24" t="s">
        <v>164</v>
      </c>
      <c r="K9" s="24" t="s">
        <v>165</v>
      </c>
      <c r="L9" s="24" t="s">
        <v>169</v>
      </c>
      <c r="M9" s="24" t="s">
        <v>170</v>
      </c>
    </row>
    <row r="10" spans="1:13">
      <c r="A10" s="24">
        <f>$B$3</f>
        <v>25</v>
      </c>
      <c r="B10" s="24">
        <v>0</v>
      </c>
      <c r="C10" s="24">
        <f>(B10+A10)/2</f>
        <v>12.5</v>
      </c>
      <c r="D10" s="24">
        <f>$B$4</f>
        <v>0.1</v>
      </c>
      <c r="E10" s="24">
        <f>0.14-0.002*B10</f>
        <v>0.14000000000000001</v>
      </c>
      <c r="F10" s="24">
        <f>$B$7*D10</f>
        <v>13.4</v>
      </c>
      <c r="G10" s="24">
        <f t="shared" ref="G10:G19" si="0">$B$7*(0.14-0.002*B10)</f>
        <v>18.760000000000002</v>
      </c>
      <c r="H10" s="24">
        <f>2^((B10-A10)/10)</f>
        <v>0.17677669529663687</v>
      </c>
      <c r="I10" s="24">
        <f>(3.22-0.046*C10)^((B10-A10)/10)</f>
        <v>8.7889260244402412E-2</v>
      </c>
      <c r="J10" s="24">
        <f>F10*H10</f>
        <v>2.368807716974934</v>
      </c>
      <c r="K10" s="24">
        <f>G10*I10</f>
        <v>1.6488025221849893</v>
      </c>
      <c r="L10" s="24">
        <f>3.22-0.046*C10</f>
        <v>2.6450000000000005</v>
      </c>
      <c r="M10" s="24">
        <v>2</v>
      </c>
    </row>
    <row r="11" spans="1:13">
      <c r="A11" s="24">
        <f t="shared" ref="A11:A19" si="1">$B$3</f>
        <v>25</v>
      </c>
      <c r="B11" s="24">
        <v>5</v>
      </c>
      <c r="C11" s="24">
        <f t="shared" ref="C11:C19" si="2">(B11+A11)/2</f>
        <v>15</v>
      </c>
      <c r="D11" s="24">
        <f t="shared" ref="D11:D19" si="3">$B$4</f>
        <v>0.1</v>
      </c>
      <c r="E11" s="24">
        <f t="shared" ref="E11:E19" si="4">0.14-0.002*B11</f>
        <v>0.13</v>
      </c>
      <c r="F11" s="24">
        <f t="shared" ref="F11:F19" si="5">$B$7*D11</f>
        <v>13.4</v>
      </c>
      <c r="G11" s="24">
        <f t="shared" si="0"/>
        <v>17.420000000000002</v>
      </c>
      <c r="H11" s="24">
        <f t="shared" ref="H11:H19" si="6">2^((B11-A11)/10)</f>
        <v>0.25</v>
      </c>
      <c r="I11" s="24">
        <f t="shared" ref="I11:I19" si="7">(3.22-0.046*C11)^((B11-A11)/10)</f>
        <v>0.15622803043322031</v>
      </c>
      <c r="J11" s="24">
        <f t="shared" ref="J11:K19" si="8">F11*H11</f>
        <v>3.35</v>
      </c>
      <c r="K11" s="24">
        <f t="shared" si="8"/>
        <v>2.7214922901466982</v>
      </c>
      <c r="L11" s="24">
        <f t="shared" ref="L11:L19" si="9">3.22-0.046*C11</f>
        <v>2.5300000000000002</v>
      </c>
      <c r="M11" s="24">
        <v>2</v>
      </c>
    </row>
    <row r="12" spans="1:13">
      <c r="A12" s="24">
        <f t="shared" si="1"/>
        <v>25</v>
      </c>
      <c r="B12" s="24">
        <v>10</v>
      </c>
      <c r="C12" s="24">
        <f t="shared" si="2"/>
        <v>17.5</v>
      </c>
      <c r="D12" s="24">
        <f t="shared" si="3"/>
        <v>0.1</v>
      </c>
      <c r="E12" s="24">
        <f t="shared" si="4"/>
        <v>0.12000000000000001</v>
      </c>
      <c r="F12" s="24">
        <f t="shared" si="5"/>
        <v>13.4</v>
      </c>
      <c r="G12" s="24">
        <f t="shared" si="0"/>
        <v>16.080000000000002</v>
      </c>
      <c r="H12" s="24">
        <f t="shared" si="6"/>
        <v>0.35355339059327379</v>
      </c>
      <c r="I12" s="24">
        <f t="shared" si="7"/>
        <v>0.26645525966367983</v>
      </c>
      <c r="J12" s="24">
        <f t="shared" si="8"/>
        <v>4.7376154339498688</v>
      </c>
      <c r="K12" s="24">
        <f t="shared" si="8"/>
        <v>4.2846005753919725</v>
      </c>
      <c r="L12" s="24">
        <f t="shared" si="9"/>
        <v>2.415</v>
      </c>
      <c r="M12" s="24">
        <v>2</v>
      </c>
    </row>
    <row r="13" spans="1:13">
      <c r="A13" s="24">
        <f t="shared" si="1"/>
        <v>25</v>
      </c>
      <c r="B13" s="24">
        <v>15</v>
      </c>
      <c r="C13" s="24">
        <f t="shared" si="2"/>
        <v>20</v>
      </c>
      <c r="D13" s="24">
        <f t="shared" si="3"/>
        <v>0.1</v>
      </c>
      <c r="E13" s="24">
        <f t="shared" si="4"/>
        <v>0.11000000000000001</v>
      </c>
      <c r="F13" s="24">
        <f t="shared" si="5"/>
        <v>13.4</v>
      </c>
      <c r="G13" s="24">
        <f t="shared" si="0"/>
        <v>14.740000000000002</v>
      </c>
      <c r="H13" s="24">
        <f t="shared" si="6"/>
        <v>0.5</v>
      </c>
      <c r="I13" s="24">
        <f t="shared" si="7"/>
        <v>0.43478260869565211</v>
      </c>
      <c r="J13" s="24">
        <f t="shared" si="8"/>
        <v>6.7</v>
      </c>
      <c r="K13" s="24">
        <f t="shared" si="8"/>
        <v>6.4086956521739129</v>
      </c>
      <c r="L13" s="24">
        <f t="shared" si="9"/>
        <v>2.3000000000000003</v>
      </c>
      <c r="M13" s="24">
        <v>2</v>
      </c>
    </row>
    <row r="14" spans="1:13">
      <c r="A14" s="24">
        <f t="shared" si="1"/>
        <v>25</v>
      </c>
      <c r="B14" s="24">
        <v>20</v>
      </c>
      <c r="C14" s="24">
        <f t="shared" si="2"/>
        <v>22.5</v>
      </c>
      <c r="D14" s="24">
        <f t="shared" si="3"/>
        <v>0.1</v>
      </c>
      <c r="E14" s="24">
        <f t="shared" si="4"/>
        <v>0.1</v>
      </c>
      <c r="F14" s="24">
        <f t="shared" si="5"/>
        <v>13.4</v>
      </c>
      <c r="G14" s="24">
        <f t="shared" si="0"/>
        <v>13.4</v>
      </c>
      <c r="H14" s="24">
        <f t="shared" si="6"/>
        <v>0.70710678118654746</v>
      </c>
      <c r="I14" s="24">
        <f t="shared" si="7"/>
        <v>0.67651009149173824</v>
      </c>
      <c r="J14" s="24">
        <f t="shared" si="8"/>
        <v>9.4752308678997359</v>
      </c>
      <c r="K14" s="24">
        <f t="shared" si="8"/>
        <v>9.0652352259892925</v>
      </c>
      <c r="L14" s="24">
        <f t="shared" si="9"/>
        <v>2.1850000000000005</v>
      </c>
      <c r="M14" s="24">
        <v>2</v>
      </c>
    </row>
    <row r="15" spans="1:13">
      <c r="A15" s="24">
        <f t="shared" si="1"/>
        <v>25</v>
      </c>
      <c r="B15" s="24">
        <v>25</v>
      </c>
      <c r="C15" s="24">
        <f t="shared" si="2"/>
        <v>25</v>
      </c>
      <c r="D15" s="24">
        <f t="shared" si="3"/>
        <v>0.1</v>
      </c>
      <c r="E15" s="24">
        <f t="shared" si="4"/>
        <v>9.0000000000000011E-2</v>
      </c>
      <c r="F15" s="24">
        <f t="shared" si="5"/>
        <v>13.4</v>
      </c>
      <c r="G15" s="24">
        <f t="shared" si="0"/>
        <v>12.060000000000002</v>
      </c>
      <c r="H15" s="24">
        <f t="shared" si="6"/>
        <v>1</v>
      </c>
      <c r="I15" s="24">
        <f t="shared" si="7"/>
        <v>1</v>
      </c>
      <c r="J15" s="24">
        <f t="shared" si="8"/>
        <v>13.4</v>
      </c>
      <c r="K15" s="24">
        <f t="shared" si="8"/>
        <v>12.060000000000002</v>
      </c>
      <c r="L15" s="24">
        <f t="shared" si="9"/>
        <v>2.0700000000000003</v>
      </c>
      <c r="M15" s="24">
        <v>2</v>
      </c>
    </row>
    <row r="16" spans="1:13">
      <c r="A16" s="24">
        <f t="shared" si="1"/>
        <v>25</v>
      </c>
      <c r="B16" s="24">
        <v>30</v>
      </c>
      <c r="C16" s="24">
        <f t="shared" si="2"/>
        <v>27.5</v>
      </c>
      <c r="D16" s="24">
        <f t="shared" si="3"/>
        <v>0.1</v>
      </c>
      <c r="E16" s="24">
        <f t="shared" si="4"/>
        <v>8.0000000000000016E-2</v>
      </c>
      <c r="F16" s="24">
        <f t="shared" si="5"/>
        <v>13.4</v>
      </c>
      <c r="G16" s="24">
        <f t="shared" si="0"/>
        <v>10.720000000000002</v>
      </c>
      <c r="H16" s="24">
        <f t="shared" si="6"/>
        <v>1.4142135623730951</v>
      </c>
      <c r="I16" s="24">
        <f t="shared" si="7"/>
        <v>1.3982131454109563</v>
      </c>
      <c r="J16" s="24">
        <f t="shared" si="8"/>
        <v>18.950461735799475</v>
      </c>
      <c r="K16" s="24">
        <f t="shared" si="8"/>
        <v>14.988844918805455</v>
      </c>
      <c r="L16" s="24">
        <f t="shared" si="9"/>
        <v>1.9550000000000003</v>
      </c>
      <c r="M16" s="24">
        <v>2</v>
      </c>
    </row>
    <row r="17" spans="1:13">
      <c r="A17" s="24">
        <f t="shared" si="1"/>
        <v>25</v>
      </c>
      <c r="B17" s="24">
        <v>35</v>
      </c>
      <c r="C17" s="24">
        <f t="shared" si="2"/>
        <v>30</v>
      </c>
      <c r="D17" s="24">
        <f t="shared" si="3"/>
        <v>0.1</v>
      </c>
      <c r="E17" s="24">
        <f t="shared" si="4"/>
        <v>7.0000000000000007E-2</v>
      </c>
      <c r="F17" s="24">
        <f t="shared" si="5"/>
        <v>13.4</v>
      </c>
      <c r="G17" s="24">
        <f t="shared" si="0"/>
        <v>9.3800000000000008</v>
      </c>
      <c r="H17" s="24">
        <f t="shared" si="6"/>
        <v>2</v>
      </c>
      <c r="I17" s="24">
        <f t="shared" si="7"/>
        <v>1.8400000000000003</v>
      </c>
      <c r="J17" s="24">
        <f t="shared" si="8"/>
        <v>26.8</v>
      </c>
      <c r="K17" s="24">
        <f t="shared" si="8"/>
        <v>17.259200000000003</v>
      </c>
      <c r="L17" s="24">
        <f t="shared" si="9"/>
        <v>1.8400000000000003</v>
      </c>
      <c r="M17" s="24">
        <v>2</v>
      </c>
    </row>
    <row r="18" spans="1:13">
      <c r="A18" s="24">
        <f t="shared" si="1"/>
        <v>25</v>
      </c>
      <c r="B18" s="24">
        <v>40</v>
      </c>
      <c r="C18" s="24">
        <f t="shared" si="2"/>
        <v>32.5</v>
      </c>
      <c r="D18" s="24">
        <f t="shared" si="3"/>
        <v>0.1</v>
      </c>
      <c r="E18" s="24">
        <f t="shared" si="4"/>
        <v>6.0000000000000012E-2</v>
      </c>
      <c r="F18" s="24">
        <f t="shared" si="5"/>
        <v>13.4</v>
      </c>
      <c r="G18" s="24">
        <f t="shared" si="0"/>
        <v>8.0400000000000009</v>
      </c>
      <c r="H18" s="24">
        <f t="shared" si="6"/>
        <v>2.8284271247461898</v>
      </c>
      <c r="I18" s="24">
        <f t="shared" si="7"/>
        <v>2.2656021550572381</v>
      </c>
      <c r="J18" s="24">
        <f t="shared" si="8"/>
        <v>37.900923471598944</v>
      </c>
      <c r="K18" s="24">
        <f t="shared" si="8"/>
        <v>18.215441326660198</v>
      </c>
      <c r="L18" s="24">
        <f t="shared" si="9"/>
        <v>1.7250000000000003</v>
      </c>
      <c r="M18" s="24">
        <v>2</v>
      </c>
    </row>
    <row r="19" spans="1:13">
      <c r="A19" s="24">
        <f t="shared" si="1"/>
        <v>25</v>
      </c>
      <c r="B19" s="24">
        <v>45</v>
      </c>
      <c r="C19" s="24">
        <f t="shared" si="2"/>
        <v>35</v>
      </c>
      <c r="D19" s="24">
        <f t="shared" si="3"/>
        <v>0.1</v>
      </c>
      <c r="E19" s="24">
        <f t="shared" si="4"/>
        <v>5.0000000000000017E-2</v>
      </c>
      <c r="F19" s="24">
        <f t="shared" si="5"/>
        <v>13.4</v>
      </c>
      <c r="G19" s="24">
        <f t="shared" si="0"/>
        <v>6.700000000000002</v>
      </c>
      <c r="H19" s="24">
        <f t="shared" si="6"/>
        <v>4</v>
      </c>
      <c r="I19" s="24">
        <f t="shared" si="7"/>
        <v>2.5921000000000012</v>
      </c>
      <c r="J19" s="24">
        <f t="shared" si="8"/>
        <v>53.6</v>
      </c>
      <c r="K19" s="24">
        <f t="shared" si="8"/>
        <v>17.367070000000012</v>
      </c>
      <c r="L19" s="24">
        <f t="shared" si="9"/>
        <v>1.6100000000000003</v>
      </c>
      <c r="M19" s="2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6"/>
  <sheetViews>
    <sheetView workbookViewId="0">
      <selection activeCell="K16" sqref="K16:K23"/>
    </sheetView>
  </sheetViews>
  <sheetFormatPr defaultRowHeight="15"/>
  <cols>
    <col min="1" max="1" width="20.5703125" style="24" customWidth="1"/>
    <col min="3" max="3" width="11.42578125" customWidth="1"/>
    <col min="4" max="4" width="18" customWidth="1"/>
    <col min="5" max="5" width="13.5703125" customWidth="1"/>
    <col min="6" max="6" width="14" customWidth="1"/>
  </cols>
  <sheetData>
    <row r="1" spans="1:13" s="24" customFormat="1">
      <c r="A1" s="2" t="s">
        <v>256</v>
      </c>
      <c r="B1" s="2"/>
      <c r="C1" s="2"/>
      <c r="D1" s="2"/>
      <c r="E1" s="28" t="s">
        <v>272</v>
      </c>
      <c r="F1" s="28"/>
      <c r="I1" s="26" t="s">
        <v>86</v>
      </c>
      <c r="J1" s="26"/>
      <c r="K1" s="26"/>
    </row>
    <row r="2" spans="1:13">
      <c r="A2" s="24" t="s">
        <v>240</v>
      </c>
      <c r="B2" t="s">
        <v>186</v>
      </c>
      <c r="E2" s="28" t="s">
        <v>235</v>
      </c>
      <c r="F2" s="28" t="s">
        <v>236</v>
      </c>
      <c r="G2" s="26" t="s">
        <v>234</v>
      </c>
      <c r="I2" s="28" t="s">
        <v>298</v>
      </c>
      <c r="J2" s="28"/>
      <c r="K2" s="28"/>
    </row>
    <row r="3" spans="1:13">
      <c r="A3" s="24">
        <v>1</v>
      </c>
      <c r="B3" s="26">
        <f>$F$3-((A3-1)*$G$3/(5-1))</f>
        <v>333</v>
      </c>
      <c r="D3" s="56" t="s">
        <v>241</v>
      </c>
      <c r="E3" s="28">
        <v>85</v>
      </c>
      <c r="F3" s="28">
        <v>333</v>
      </c>
      <c r="G3" s="26">
        <f>F3-E3</f>
        <v>248</v>
      </c>
      <c r="H3" t="s">
        <v>242</v>
      </c>
      <c r="J3" s="2" t="s">
        <v>257</v>
      </c>
      <c r="K3" s="2"/>
      <c r="L3" s="2"/>
      <c r="M3" s="2"/>
    </row>
    <row r="4" spans="1:13">
      <c r="A4" s="24">
        <v>2</v>
      </c>
      <c r="B4" s="26">
        <f>$F$3-((A4-1)*$G$3/(5-1))</f>
        <v>271</v>
      </c>
      <c r="D4" s="56" t="s">
        <v>244</v>
      </c>
      <c r="E4">
        <v>85</v>
      </c>
      <c r="F4">
        <v>333</v>
      </c>
    </row>
    <row r="5" spans="1:13">
      <c r="A5" s="24">
        <v>3</v>
      </c>
      <c r="B5" s="26">
        <f>$F$3-((A5-1)*$G$3/(5-1))</f>
        <v>209</v>
      </c>
    </row>
    <row r="6" spans="1:13">
      <c r="A6" s="24">
        <v>4</v>
      </c>
      <c r="B6" s="26">
        <f>$F$3-((A6-1)*$G$3/(5-1))</f>
        <v>147</v>
      </c>
      <c r="E6" s="28" t="s">
        <v>237</v>
      </c>
      <c r="F6" s="28"/>
      <c r="G6" s="28"/>
    </row>
    <row r="7" spans="1:13">
      <c r="A7" s="24">
        <v>5</v>
      </c>
      <c r="B7" s="26">
        <f>$F$3-((A7-1)*$G$3/(5-1))</f>
        <v>85</v>
      </c>
      <c r="E7" t="s">
        <v>238</v>
      </c>
      <c r="G7" s="28">
        <v>4.83</v>
      </c>
      <c r="H7" s="24" t="s">
        <v>243</v>
      </c>
    </row>
    <row r="8" spans="1:13">
      <c r="B8" s="24" t="s">
        <v>273</v>
      </c>
      <c r="E8" t="s">
        <v>239</v>
      </c>
      <c r="G8" s="26">
        <f>$F$3-((G7-1)*$G$3/(5-1))</f>
        <v>95.539999999999992</v>
      </c>
      <c r="H8" s="24" t="s">
        <v>242</v>
      </c>
    </row>
    <row r="9" spans="1:13">
      <c r="B9" s="24"/>
    </row>
    <row r="10" spans="1:13">
      <c r="B10" s="24"/>
    </row>
    <row r="11" spans="1:13">
      <c r="B11" s="24"/>
    </row>
    <row r="12" spans="1:13">
      <c r="A12" s="2" t="s">
        <v>309</v>
      </c>
      <c r="B12" s="2"/>
      <c r="C12" s="2"/>
      <c r="D12" s="2"/>
    </row>
    <row r="13" spans="1:13">
      <c r="B13" s="28" t="s">
        <v>307</v>
      </c>
      <c r="C13" s="28" t="s">
        <v>308</v>
      </c>
    </row>
    <row r="14" spans="1:13">
      <c r="B14" s="28">
        <v>100</v>
      </c>
      <c r="C14" s="28">
        <v>300</v>
      </c>
    </row>
    <row r="15" spans="1:13">
      <c r="A15" s="24" t="s">
        <v>304</v>
      </c>
      <c r="B15" t="s">
        <v>305</v>
      </c>
      <c r="C15" t="s">
        <v>306</v>
      </c>
    </row>
    <row r="16" spans="1:13">
      <c r="A16" s="24">
        <v>1000</v>
      </c>
      <c r="B16" s="26">
        <f>$A16/($A16+B$14)</f>
        <v>0.90909090909090906</v>
      </c>
      <c r="C16" s="26">
        <f>$A16/($A16+C$14)</f>
        <v>0.76923076923076927</v>
      </c>
      <c r="K16">
        <f>(-B$14*B16)/(B16-1)</f>
        <v>999.99999999999966</v>
      </c>
    </row>
    <row r="17" spans="1:11">
      <c r="A17" s="24">
        <v>950</v>
      </c>
      <c r="B17" s="26">
        <f t="shared" ref="B17:C36" si="0">$A17/($A17+B$14)</f>
        <v>0.90476190476190477</v>
      </c>
      <c r="C17" s="26">
        <f t="shared" si="0"/>
        <v>0.76</v>
      </c>
      <c r="K17" s="24">
        <f t="shared" ref="K17:K23" si="1">(-B$14*B17)/(B17-1)</f>
        <v>950.00000000000011</v>
      </c>
    </row>
    <row r="18" spans="1:11">
      <c r="A18" s="24">
        <v>900</v>
      </c>
      <c r="B18" s="26">
        <f t="shared" si="0"/>
        <v>0.9</v>
      </c>
      <c r="C18" s="26">
        <f t="shared" si="0"/>
        <v>0.75</v>
      </c>
      <c r="K18" s="24">
        <f t="shared" si="1"/>
        <v>900.00000000000023</v>
      </c>
    </row>
    <row r="19" spans="1:11">
      <c r="A19" s="24">
        <v>850</v>
      </c>
      <c r="B19" s="26">
        <f t="shared" si="0"/>
        <v>0.89473684210526316</v>
      </c>
      <c r="C19" s="26">
        <f t="shared" si="0"/>
        <v>0.73913043478260865</v>
      </c>
      <c r="K19" s="24">
        <f t="shared" si="1"/>
        <v>850</v>
      </c>
    </row>
    <row r="20" spans="1:11">
      <c r="A20" s="24">
        <v>800</v>
      </c>
      <c r="B20" s="26">
        <f t="shared" si="0"/>
        <v>0.88888888888888884</v>
      </c>
      <c r="C20" s="26">
        <f t="shared" si="0"/>
        <v>0.72727272727272729</v>
      </c>
      <c r="K20" s="24">
        <f t="shared" si="1"/>
        <v>799.99999999999966</v>
      </c>
    </row>
    <row r="21" spans="1:11">
      <c r="A21" s="24">
        <v>750</v>
      </c>
      <c r="B21" s="26">
        <f t="shared" si="0"/>
        <v>0.88235294117647056</v>
      </c>
      <c r="C21" s="26">
        <f t="shared" si="0"/>
        <v>0.7142857142857143</v>
      </c>
      <c r="K21" s="24">
        <f t="shared" si="1"/>
        <v>749.99999999999977</v>
      </c>
    </row>
    <row r="22" spans="1:11">
      <c r="A22" s="24">
        <v>700</v>
      </c>
      <c r="B22" s="26">
        <f t="shared" si="0"/>
        <v>0.875</v>
      </c>
      <c r="C22" s="26">
        <f t="shared" si="0"/>
        <v>0.7</v>
      </c>
      <c r="K22" s="24">
        <f t="shared" si="1"/>
        <v>700</v>
      </c>
    </row>
    <row r="23" spans="1:11">
      <c r="A23" s="24">
        <v>650</v>
      </c>
      <c r="B23" s="26">
        <f t="shared" si="0"/>
        <v>0.8666666666666667</v>
      </c>
      <c r="C23" s="26">
        <f t="shared" si="0"/>
        <v>0.68421052631578949</v>
      </c>
      <c r="K23" s="24">
        <f t="shared" si="1"/>
        <v>650.00000000000023</v>
      </c>
    </row>
    <row r="24" spans="1:11">
      <c r="A24" s="24">
        <v>600</v>
      </c>
      <c r="B24" s="26">
        <f t="shared" si="0"/>
        <v>0.8571428571428571</v>
      </c>
      <c r="C24" s="26">
        <f t="shared" si="0"/>
        <v>0.66666666666666663</v>
      </c>
    </row>
    <row r="25" spans="1:11">
      <c r="A25" s="24">
        <v>550</v>
      </c>
      <c r="B25" s="26">
        <f t="shared" si="0"/>
        <v>0.84615384615384615</v>
      </c>
      <c r="C25" s="26">
        <f t="shared" si="0"/>
        <v>0.6470588235294118</v>
      </c>
    </row>
    <row r="26" spans="1:11">
      <c r="A26" s="24">
        <v>500</v>
      </c>
      <c r="B26" s="26">
        <f t="shared" si="0"/>
        <v>0.83333333333333337</v>
      </c>
      <c r="C26" s="26">
        <f t="shared" si="0"/>
        <v>0.625</v>
      </c>
    </row>
    <row r="27" spans="1:11">
      <c r="A27" s="24">
        <v>450</v>
      </c>
      <c r="B27" s="26">
        <f t="shared" si="0"/>
        <v>0.81818181818181823</v>
      </c>
      <c r="C27" s="26">
        <f t="shared" si="0"/>
        <v>0.6</v>
      </c>
    </row>
    <row r="28" spans="1:11">
      <c r="A28" s="24">
        <v>400</v>
      </c>
      <c r="B28" s="26">
        <f t="shared" si="0"/>
        <v>0.8</v>
      </c>
      <c r="C28" s="26">
        <f t="shared" si="0"/>
        <v>0.5714285714285714</v>
      </c>
    </row>
    <row r="29" spans="1:11">
      <c r="A29" s="24">
        <v>350</v>
      </c>
      <c r="B29" s="26">
        <f t="shared" si="0"/>
        <v>0.77777777777777779</v>
      </c>
      <c r="C29" s="26">
        <f t="shared" si="0"/>
        <v>0.53846153846153844</v>
      </c>
    </row>
    <row r="30" spans="1:11">
      <c r="A30" s="24">
        <v>300</v>
      </c>
      <c r="B30" s="26">
        <f t="shared" si="0"/>
        <v>0.75</v>
      </c>
      <c r="C30" s="26">
        <f t="shared" si="0"/>
        <v>0.5</v>
      </c>
    </row>
    <row r="31" spans="1:11">
      <c r="A31" s="24">
        <v>250</v>
      </c>
      <c r="B31" s="26">
        <f t="shared" si="0"/>
        <v>0.7142857142857143</v>
      </c>
      <c r="C31" s="26">
        <f t="shared" si="0"/>
        <v>0.45454545454545453</v>
      </c>
    </row>
    <row r="32" spans="1:11">
      <c r="A32" s="24">
        <v>200</v>
      </c>
      <c r="B32" s="26">
        <f t="shared" si="0"/>
        <v>0.66666666666666663</v>
      </c>
      <c r="C32" s="26">
        <f t="shared" si="0"/>
        <v>0.4</v>
      </c>
    </row>
    <row r="33" spans="1:3">
      <c r="A33" s="24">
        <v>150</v>
      </c>
      <c r="B33" s="26">
        <f t="shared" si="0"/>
        <v>0.6</v>
      </c>
      <c r="C33" s="26">
        <f t="shared" si="0"/>
        <v>0.33333333333333331</v>
      </c>
    </row>
    <row r="34" spans="1:3">
      <c r="A34" s="24">
        <v>100</v>
      </c>
      <c r="B34" s="26">
        <f t="shared" si="0"/>
        <v>0.5</v>
      </c>
      <c r="C34" s="26">
        <f t="shared" si="0"/>
        <v>0.25</v>
      </c>
    </row>
    <row r="35" spans="1:3">
      <c r="A35" s="24">
        <v>50</v>
      </c>
      <c r="B35" s="26">
        <f t="shared" si="0"/>
        <v>0.33333333333333331</v>
      </c>
      <c r="C35" s="26">
        <f t="shared" si="0"/>
        <v>0.14285714285714285</v>
      </c>
    </row>
    <row r="36" spans="1:3">
      <c r="A36" s="24">
        <v>0</v>
      </c>
      <c r="B36" s="26">
        <f t="shared" si="0"/>
        <v>0</v>
      </c>
      <c r="C36" s="26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Y34"/>
  <sheetViews>
    <sheetView tabSelected="1" zoomScaleNormal="100" workbookViewId="0">
      <selection activeCell="G25" sqref="G25"/>
    </sheetView>
  </sheetViews>
  <sheetFormatPr defaultRowHeight="15"/>
  <cols>
    <col min="1" max="1" width="13" customWidth="1"/>
    <col min="12" max="12" width="13.5703125" customWidth="1"/>
    <col min="22" max="22" width="15" customWidth="1"/>
  </cols>
  <sheetData>
    <row r="1" spans="1:25">
      <c r="A1" t="s">
        <v>214</v>
      </c>
      <c r="B1" s="24" t="s">
        <v>95</v>
      </c>
      <c r="D1" s="24" t="s">
        <v>215</v>
      </c>
      <c r="E1" s="24" t="s">
        <v>216</v>
      </c>
      <c r="F1" s="24" t="s">
        <v>217</v>
      </c>
      <c r="G1" s="24" t="s">
        <v>218</v>
      </c>
      <c r="L1" s="24" t="s">
        <v>214</v>
      </c>
      <c r="M1" s="24" t="s">
        <v>95</v>
      </c>
      <c r="N1" s="26" t="s">
        <v>86</v>
      </c>
      <c r="O1" s="26"/>
      <c r="P1" s="26"/>
      <c r="W1" s="28" t="s">
        <v>268</v>
      </c>
      <c r="X1" s="28"/>
      <c r="Y1" s="58" t="s">
        <v>269</v>
      </c>
    </row>
    <row r="2" spans="1:25">
      <c r="D2" s="28">
        <v>0</v>
      </c>
      <c r="E2" s="28">
        <v>5</v>
      </c>
      <c r="F2" s="28">
        <v>118</v>
      </c>
      <c r="G2" s="28">
        <v>160</v>
      </c>
      <c r="H2" t="s">
        <v>274</v>
      </c>
      <c r="N2" s="28" t="s">
        <v>298</v>
      </c>
      <c r="O2" s="28"/>
      <c r="P2" s="28"/>
      <c r="V2" s="2" t="s">
        <v>255</v>
      </c>
      <c r="W2" s="28" t="s">
        <v>267</v>
      </c>
      <c r="X2" s="28"/>
      <c r="Y2" s="58" t="s">
        <v>270</v>
      </c>
    </row>
    <row r="3" spans="1:25">
      <c r="V3" t="s">
        <v>233</v>
      </c>
      <c r="W3" t="s">
        <v>215</v>
      </c>
      <c r="X3" t="s">
        <v>216</v>
      </c>
      <c r="Y3" s="55" t="s">
        <v>245</v>
      </c>
    </row>
    <row r="4" spans="1:25">
      <c r="A4">
        <v>-100</v>
      </c>
      <c r="B4" s="24">
        <f>IF(A4&lt;=$D$2,0,IF(A4&lt;=$E$2,(1-($E$2-A4)/($E$2-$D$2)),IF(A4&gt;=$G$2,0,IF(A4&gt;=$F$2,(1-(A4-$F$2)/($G$2-$F$2)),1))))</f>
        <v>0</v>
      </c>
      <c r="L4" s="24">
        <v>-10</v>
      </c>
      <c r="M4" s="26">
        <f>IF(L4&lt;=$D$2,0,IF(L4&lt;=$E$2,(1-($E$2-L4)/($E$2-$D$2)),IF(L4&gt;=$G$2,0,IF(L4&gt;=$F$2,H22=(1-(L4-$F$2)/($G$2-$F$2)),1))))</f>
        <v>0</v>
      </c>
      <c r="V4" t="s">
        <v>231</v>
      </c>
      <c r="W4">
        <v>0</v>
      </c>
      <c r="X4">
        <v>5</v>
      </c>
      <c r="Y4">
        <v>0</v>
      </c>
    </row>
    <row r="5" spans="1:25">
      <c r="A5">
        <f>A4+10</f>
        <v>-90</v>
      </c>
      <c r="B5" s="24">
        <f t="shared" ref="B5:B34" si="0">IF(A5&lt;=$D$2,0,IF(A5&lt;=$E$2,(1-($E$2-A5)/($E$2-$D$2)),IF(A5&gt;=$G$2,0,IF(A5&gt;=$F$2,(1-(A5-$F$2)/($G$2-$F$2)),1))))</f>
        <v>0</v>
      </c>
      <c r="L5" s="24">
        <f>L4+1</f>
        <v>-9</v>
      </c>
      <c r="M5" s="26">
        <f t="shared" ref="M5:M24" si="1">IF(L5&lt;=$D$2,0,IF(L5&lt;=$E$2,(1-($E$2-L5)/($E$2-$D$2)),IF(L5&gt;=$G$2,0,IF(L5&gt;=$F$2,(1-(L5-$F$2)/($G$2-$F$2)),1))))</f>
        <v>0</v>
      </c>
      <c r="V5" t="s">
        <v>246</v>
      </c>
      <c r="W5">
        <v>-1.35</v>
      </c>
      <c r="X5">
        <v>4</v>
      </c>
      <c r="Y5">
        <v>0.252</v>
      </c>
    </row>
    <row r="6" spans="1:25">
      <c r="A6" s="24">
        <f t="shared" ref="A6:A34" si="2">A5+10</f>
        <v>-80</v>
      </c>
      <c r="B6" s="24">
        <f t="shared" si="0"/>
        <v>0</v>
      </c>
      <c r="L6" s="24">
        <f t="shared" ref="L6:L24" si="3">L5+1</f>
        <v>-8</v>
      </c>
      <c r="M6" s="26">
        <f t="shared" si="1"/>
        <v>0</v>
      </c>
      <c r="V6" t="s">
        <v>247</v>
      </c>
      <c r="W6">
        <v>-3</v>
      </c>
      <c r="X6">
        <v>3</v>
      </c>
      <c r="Y6">
        <v>0.5</v>
      </c>
    </row>
    <row r="7" spans="1:25">
      <c r="A7" s="24">
        <f t="shared" si="2"/>
        <v>-70</v>
      </c>
      <c r="B7" s="24">
        <f t="shared" si="0"/>
        <v>0</v>
      </c>
      <c r="L7" s="24">
        <f t="shared" si="3"/>
        <v>-7</v>
      </c>
      <c r="M7" s="26">
        <f t="shared" si="1"/>
        <v>0</v>
      </c>
      <c r="V7" t="s">
        <v>232</v>
      </c>
      <c r="W7">
        <v>-5</v>
      </c>
      <c r="X7">
        <v>2</v>
      </c>
      <c r="Y7">
        <v>0.71399999999999997</v>
      </c>
    </row>
    <row r="8" spans="1:25">
      <c r="A8" s="24">
        <f t="shared" si="2"/>
        <v>-60</v>
      </c>
      <c r="B8" s="24">
        <f t="shared" si="0"/>
        <v>0</v>
      </c>
      <c r="L8" s="24">
        <f t="shared" si="3"/>
        <v>-6</v>
      </c>
      <c r="M8" s="26">
        <f t="shared" si="1"/>
        <v>0</v>
      </c>
      <c r="V8" t="s">
        <v>210</v>
      </c>
      <c r="W8">
        <v>-9</v>
      </c>
      <c r="X8">
        <v>1</v>
      </c>
      <c r="Y8">
        <v>0.9</v>
      </c>
    </row>
    <row r="9" spans="1:25">
      <c r="A9" s="24">
        <f t="shared" si="2"/>
        <v>-50</v>
      </c>
      <c r="B9" s="24">
        <f t="shared" si="0"/>
        <v>0</v>
      </c>
      <c r="L9" s="24">
        <f t="shared" si="3"/>
        <v>-5</v>
      </c>
      <c r="M9" s="26">
        <f t="shared" si="1"/>
        <v>0</v>
      </c>
      <c r="V9" t="s">
        <v>248</v>
      </c>
      <c r="W9">
        <v>-10</v>
      </c>
      <c r="X9">
        <v>0</v>
      </c>
      <c r="Y9">
        <v>1</v>
      </c>
    </row>
    <row r="10" spans="1:25">
      <c r="A10" s="24">
        <f t="shared" si="2"/>
        <v>-40</v>
      </c>
      <c r="B10" s="24">
        <f t="shared" si="0"/>
        <v>0</v>
      </c>
      <c r="L10" s="24">
        <f t="shared" si="3"/>
        <v>-4</v>
      </c>
      <c r="M10" s="26">
        <f t="shared" si="1"/>
        <v>0</v>
      </c>
      <c r="Y10" t="s">
        <v>271</v>
      </c>
    </row>
    <row r="11" spans="1:25">
      <c r="A11" s="24">
        <f t="shared" si="2"/>
        <v>-30</v>
      </c>
      <c r="B11" s="24">
        <f t="shared" si="0"/>
        <v>0</v>
      </c>
      <c r="L11" s="24">
        <f t="shared" si="3"/>
        <v>-3</v>
      </c>
      <c r="M11" s="26">
        <f t="shared" si="1"/>
        <v>0</v>
      </c>
    </row>
    <row r="12" spans="1:25">
      <c r="A12" s="24">
        <f t="shared" si="2"/>
        <v>-20</v>
      </c>
      <c r="B12" s="24">
        <f t="shared" si="0"/>
        <v>0</v>
      </c>
      <c r="L12" s="24">
        <f t="shared" si="3"/>
        <v>-2</v>
      </c>
      <c r="M12" s="26">
        <f t="shared" si="1"/>
        <v>0</v>
      </c>
    </row>
    <row r="13" spans="1:25">
      <c r="A13" s="24">
        <f t="shared" si="2"/>
        <v>-10</v>
      </c>
      <c r="B13" s="24">
        <f t="shared" si="0"/>
        <v>0</v>
      </c>
      <c r="L13" s="24">
        <f t="shared" si="3"/>
        <v>-1</v>
      </c>
      <c r="M13" s="26">
        <f t="shared" si="1"/>
        <v>0</v>
      </c>
    </row>
    <row r="14" spans="1:25">
      <c r="A14" s="24">
        <f t="shared" si="2"/>
        <v>0</v>
      </c>
      <c r="B14" s="24">
        <f t="shared" si="0"/>
        <v>0</v>
      </c>
      <c r="L14" s="58">
        <f t="shared" si="3"/>
        <v>0</v>
      </c>
      <c r="M14" s="58">
        <f>IF(L14&lt;=$D$2,0,IF(L14&lt;=$E$2,(1-($E$2-L14)/($E$2-$D$2)),IF(L14&gt;=$G$2,0,IF(L14&gt;=$F$2,(1-(L14-$F$2)/($G$2-$F$2)),1))))</f>
        <v>0</v>
      </c>
    </row>
    <row r="15" spans="1:25">
      <c r="A15" s="24">
        <f t="shared" si="2"/>
        <v>10</v>
      </c>
      <c r="B15" s="24">
        <f t="shared" si="0"/>
        <v>1</v>
      </c>
      <c r="L15" s="24">
        <f t="shared" si="3"/>
        <v>1</v>
      </c>
      <c r="M15" s="26">
        <f t="shared" si="1"/>
        <v>0.19999999999999996</v>
      </c>
    </row>
    <row r="16" spans="1:25">
      <c r="A16" s="24">
        <f t="shared" si="2"/>
        <v>20</v>
      </c>
      <c r="B16" s="24">
        <f t="shared" si="0"/>
        <v>1</v>
      </c>
      <c r="L16" s="24">
        <f t="shared" si="3"/>
        <v>2</v>
      </c>
      <c r="M16" s="26">
        <f t="shared" si="1"/>
        <v>0.4</v>
      </c>
    </row>
    <row r="17" spans="1:13">
      <c r="A17" s="24">
        <f t="shared" si="2"/>
        <v>30</v>
      </c>
      <c r="B17" s="24">
        <f t="shared" si="0"/>
        <v>1</v>
      </c>
      <c r="L17" s="24">
        <f t="shared" si="3"/>
        <v>3</v>
      </c>
      <c r="M17" s="26">
        <f t="shared" si="1"/>
        <v>0.6</v>
      </c>
    </row>
    <row r="18" spans="1:13">
      <c r="A18" s="24">
        <f t="shared" si="2"/>
        <v>40</v>
      </c>
      <c r="B18" s="24">
        <f t="shared" si="0"/>
        <v>1</v>
      </c>
      <c r="L18" s="24">
        <f t="shared" si="3"/>
        <v>4</v>
      </c>
      <c r="M18" s="26">
        <f t="shared" si="1"/>
        <v>0.8</v>
      </c>
    </row>
    <row r="19" spans="1:13">
      <c r="A19" s="24">
        <f t="shared" si="2"/>
        <v>50</v>
      </c>
      <c r="B19" s="24">
        <f t="shared" si="0"/>
        <v>1</v>
      </c>
      <c r="L19" s="24">
        <f t="shared" si="3"/>
        <v>5</v>
      </c>
      <c r="M19" s="26">
        <f t="shared" si="1"/>
        <v>1</v>
      </c>
    </row>
    <row r="20" spans="1:13">
      <c r="A20" s="24">
        <f t="shared" si="2"/>
        <v>60</v>
      </c>
      <c r="B20" s="24">
        <f t="shared" si="0"/>
        <v>1</v>
      </c>
      <c r="G20" s="28" t="s">
        <v>303</v>
      </c>
      <c r="H20" s="28"/>
      <c r="L20" s="24">
        <f t="shared" si="3"/>
        <v>6</v>
      </c>
      <c r="M20" s="26">
        <f t="shared" si="1"/>
        <v>1</v>
      </c>
    </row>
    <row r="21" spans="1:13">
      <c r="A21" s="24">
        <f t="shared" si="2"/>
        <v>70</v>
      </c>
      <c r="B21" s="24">
        <f t="shared" si="0"/>
        <v>1</v>
      </c>
      <c r="G21" t="s">
        <v>302</v>
      </c>
      <c r="H21" t="s">
        <v>95</v>
      </c>
      <c r="L21" s="24">
        <f t="shared" si="3"/>
        <v>7</v>
      </c>
      <c r="M21" s="26">
        <f t="shared" si="1"/>
        <v>1</v>
      </c>
    </row>
    <row r="22" spans="1:13">
      <c r="A22" s="24">
        <f t="shared" si="2"/>
        <v>80</v>
      </c>
      <c r="B22" s="24">
        <f t="shared" si="0"/>
        <v>1</v>
      </c>
      <c r="F22" t="s">
        <v>310</v>
      </c>
      <c r="G22">
        <v>0</v>
      </c>
      <c r="H22">
        <f>IF(G22&lt;=$D$2,0,IF(G22&lt;=$E$2,(1-($E$2-G22)/($E$2-$D$2)),IF(G22&gt;=$G$2,0,IF(G22&gt;=$F$2,(1-(G22-$F$2)/($G$2-$F$2)),1))))</f>
        <v>0</v>
      </c>
      <c r="L22" s="24">
        <f t="shared" si="3"/>
        <v>8</v>
      </c>
      <c r="M22" s="26">
        <f t="shared" si="1"/>
        <v>1</v>
      </c>
    </row>
    <row r="23" spans="1:13">
      <c r="A23" s="24">
        <f t="shared" si="2"/>
        <v>90</v>
      </c>
      <c r="B23" s="24">
        <f t="shared" si="0"/>
        <v>1</v>
      </c>
      <c r="F23" t="s">
        <v>311</v>
      </c>
      <c r="G23">
        <v>3.37</v>
      </c>
      <c r="H23" s="24">
        <f>IF(G23&lt;=$D$2,0,IF(G23&lt;=$E$2,(1-($E$2-G23)/($E$2-$D$2)),IF(G23&gt;=$G$2,0,IF(G23&gt;=$F$2,(1-(G23-$F$2)/($G$2-$F$2)),1))))</f>
        <v>0.67400000000000004</v>
      </c>
      <c r="L23" s="24">
        <f t="shared" si="3"/>
        <v>9</v>
      </c>
      <c r="M23" s="26">
        <f t="shared" si="1"/>
        <v>1</v>
      </c>
    </row>
    <row r="24" spans="1:13">
      <c r="A24" s="24">
        <f t="shared" si="2"/>
        <v>100</v>
      </c>
      <c r="B24" s="24">
        <f t="shared" si="0"/>
        <v>1</v>
      </c>
      <c r="F24" t="s">
        <v>312</v>
      </c>
      <c r="G24">
        <v>153</v>
      </c>
      <c r="H24" s="24">
        <f>IF(G24&lt;=$D$2,0,IF(G24&lt;=$E$2,(1-($E$2-G24)/($E$2-$D$2)),IF(G24&gt;=$G$2,0,IF(G24&gt;=$F$2,(1-(G24-$F$2)/($G$2-$F$2)),1))))</f>
        <v>0.16666666666666663</v>
      </c>
      <c r="L24" s="24">
        <f t="shared" si="3"/>
        <v>10</v>
      </c>
      <c r="M24" s="26">
        <f t="shared" si="1"/>
        <v>1</v>
      </c>
    </row>
    <row r="25" spans="1:13">
      <c r="A25" s="24">
        <f t="shared" si="2"/>
        <v>110</v>
      </c>
      <c r="B25" s="24">
        <f t="shared" si="0"/>
        <v>1</v>
      </c>
    </row>
    <row r="26" spans="1:13">
      <c r="A26" s="24">
        <f t="shared" si="2"/>
        <v>120</v>
      </c>
      <c r="B26" s="24">
        <f t="shared" si="0"/>
        <v>0.95238095238095233</v>
      </c>
    </row>
    <row r="27" spans="1:13">
      <c r="A27" s="24">
        <f t="shared" si="2"/>
        <v>130</v>
      </c>
      <c r="B27" s="24">
        <f t="shared" si="0"/>
        <v>0.7142857142857143</v>
      </c>
    </row>
    <row r="28" spans="1:13">
      <c r="A28" s="24">
        <f t="shared" si="2"/>
        <v>140</v>
      </c>
      <c r="B28" s="24">
        <f t="shared" si="0"/>
        <v>0.47619047619047616</v>
      </c>
    </row>
    <row r="29" spans="1:13">
      <c r="A29" s="24">
        <f t="shared" si="2"/>
        <v>150</v>
      </c>
      <c r="B29" s="24">
        <f t="shared" si="0"/>
        <v>0.23809523809523814</v>
      </c>
    </row>
    <row r="30" spans="1:13">
      <c r="A30" s="24">
        <f t="shared" si="2"/>
        <v>160</v>
      </c>
      <c r="B30" s="24">
        <f t="shared" si="0"/>
        <v>0</v>
      </c>
    </row>
    <row r="31" spans="1:13">
      <c r="A31" s="24">
        <f t="shared" si="2"/>
        <v>170</v>
      </c>
      <c r="B31" s="24">
        <f t="shared" si="0"/>
        <v>0</v>
      </c>
    </row>
    <row r="32" spans="1:13">
      <c r="A32" s="24">
        <f t="shared" si="2"/>
        <v>180</v>
      </c>
      <c r="B32" s="24">
        <f t="shared" si="0"/>
        <v>0</v>
      </c>
    </row>
    <row r="33" spans="1:2">
      <c r="A33" s="24">
        <f t="shared" si="2"/>
        <v>190</v>
      </c>
      <c r="B33" s="24">
        <f t="shared" si="0"/>
        <v>0</v>
      </c>
    </row>
    <row r="34" spans="1:2">
      <c r="A34" s="24">
        <f t="shared" si="2"/>
        <v>200</v>
      </c>
      <c r="B34" s="24">
        <f t="shared" si="0"/>
        <v>0</v>
      </c>
    </row>
  </sheetData>
  <hyperlinks>
    <hyperlink ref="Y3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J32"/>
  <sheetViews>
    <sheetView workbookViewId="0">
      <selection activeCell="C14" sqref="C14"/>
    </sheetView>
  </sheetViews>
  <sheetFormatPr defaultColWidth="9.140625" defaultRowHeight="15"/>
  <cols>
    <col min="1" max="1" width="9.140625" style="24"/>
    <col min="2" max="2" width="12.42578125" style="24" customWidth="1"/>
    <col min="3" max="3" width="11.5703125" style="24" customWidth="1"/>
    <col min="4" max="4" width="9.140625" style="24"/>
    <col min="5" max="5" width="14.140625" style="24" customWidth="1"/>
    <col min="6" max="16384" width="9.140625" style="24"/>
  </cols>
  <sheetData>
    <row r="1" spans="1:10">
      <c r="A1" s="24" t="s">
        <v>180</v>
      </c>
      <c r="B1" s="24" t="s">
        <v>96</v>
      </c>
      <c r="H1" s="26" t="s">
        <v>86</v>
      </c>
      <c r="I1" s="26"/>
      <c r="J1" s="26"/>
    </row>
    <row r="2" spans="1:10">
      <c r="A2" s="24">
        <v>0</v>
      </c>
      <c r="B2" s="24">
        <f>MAX(0,1-(A2/$F$2)^$F$3)</f>
        <v>1</v>
      </c>
      <c r="E2" s="28" t="s">
        <v>181</v>
      </c>
      <c r="F2" s="28">
        <v>250</v>
      </c>
      <c r="G2" s="24" t="s">
        <v>275</v>
      </c>
      <c r="H2" s="28" t="s">
        <v>298</v>
      </c>
      <c r="I2" s="28"/>
      <c r="J2" s="28"/>
    </row>
    <row r="3" spans="1:10">
      <c r="A3" s="24">
        <v>10</v>
      </c>
      <c r="B3" s="24">
        <f>MAX(0,1-(A3/$F$2)^$F$3)</f>
        <v>0.99999989759999997</v>
      </c>
      <c r="E3" s="28" t="s">
        <v>0</v>
      </c>
      <c r="F3" s="28">
        <v>5</v>
      </c>
      <c r="G3" s="24" t="s">
        <v>275</v>
      </c>
    </row>
    <row r="4" spans="1:10" ht="15.75">
      <c r="A4" s="24">
        <v>20</v>
      </c>
      <c r="B4" s="24">
        <f t="shared" ref="B4:B32" si="0">MAX(0,1-(A4/$F$2)^$F$3)</f>
        <v>0.99999672319999999</v>
      </c>
      <c r="E4" s="1"/>
    </row>
    <row r="5" spans="1:10">
      <c r="A5" s="24">
        <v>30</v>
      </c>
      <c r="B5" s="24">
        <f t="shared" si="0"/>
        <v>0.99997511679999995</v>
      </c>
    </row>
    <row r="6" spans="1:10">
      <c r="A6" s="24">
        <v>40</v>
      </c>
      <c r="B6" s="24">
        <f t="shared" si="0"/>
        <v>0.99989514239999999</v>
      </c>
    </row>
    <row r="7" spans="1:10">
      <c r="A7" s="24">
        <v>50</v>
      </c>
      <c r="B7" s="24">
        <f t="shared" si="0"/>
        <v>0.99968000000000001</v>
      </c>
    </row>
    <row r="8" spans="1:10">
      <c r="A8" s="24">
        <v>60</v>
      </c>
      <c r="B8" s="24">
        <f t="shared" si="0"/>
        <v>0.99920373760000003</v>
      </c>
    </row>
    <row r="9" spans="1:10">
      <c r="A9" s="24">
        <v>70</v>
      </c>
      <c r="B9" s="24">
        <f t="shared" si="0"/>
        <v>0.99827896319999998</v>
      </c>
    </row>
    <row r="10" spans="1:10">
      <c r="A10" s="24">
        <v>80</v>
      </c>
      <c r="B10" s="24">
        <f t="shared" si="0"/>
        <v>0.99664455679999997</v>
      </c>
    </row>
    <row r="11" spans="1:10">
      <c r="A11" s="24">
        <v>90</v>
      </c>
      <c r="B11" s="24">
        <f t="shared" si="0"/>
        <v>0.99395338239999997</v>
      </c>
    </row>
    <row r="12" spans="1:10">
      <c r="A12" s="24">
        <v>100</v>
      </c>
      <c r="B12" s="24">
        <f t="shared" si="0"/>
        <v>0.98975999999999997</v>
      </c>
    </row>
    <row r="13" spans="1:10">
      <c r="A13" s="24">
        <f>A12+10</f>
        <v>110</v>
      </c>
      <c r="B13" s="24">
        <f t="shared" si="0"/>
        <v>0.98350837759999998</v>
      </c>
    </row>
    <row r="14" spans="1:10">
      <c r="A14" s="24">
        <f t="shared" ref="A14:A32" si="1">A13+10</f>
        <v>120</v>
      </c>
      <c r="B14" s="24">
        <f t="shared" si="0"/>
        <v>0.97451960319999997</v>
      </c>
    </row>
    <row r="15" spans="1:10">
      <c r="A15" s="24">
        <f t="shared" si="1"/>
        <v>130</v>
      </c>
      <c r="B15" s="24">
        <f t="shared" si="0"/>
        <v>0.9619795968</v>
      </c>
    </row>
    <row r="16" spans="1:10">
      <c r="A16" s="24">
        <f t="shared" si="1"/>
        <v>140</v>
      </c>
      <c r="B16" s="24">
        <f t="shared" si="0"/>
        <v>0.94492682240000003</v>
      </c>
    </row>
    <row r="17" spans="1:2">
      <c r="A17" s="24">
        <f t="shared" si="1"/>
        <v>150</v>
      </c>
      <c r="B17" s="24">
        <f t="shared" si="0"/>
        <v>0.92223999999999995</v>
      </c>
    </row>
    <row r="18" spans="1:2">
      <c r="A18" s="24">
        <f t="shared" si="1"/>
        <v>160</v>
      </c>
      <c r="B18" s="24">
        <f t="shared" si="0"/>
        <v>0.89262581760000004</v>
      </c>
    </row>
    <row r="19" spans="1:2">
      <c r="A19" s="24">
        <f t="shared" si="1"/>
        <v>170</v>
      </c>
      <c r="B19" s="24">
        <f t="shared" si="0"/>
        <v>0.8546066431999999</v>
      </c>
    </row>
    <row r="20" spans="1:2">
      <c r="A20" s="24">
        <f t="shared" si="1"/>
        <v>180</v>
      </c>
      <c r="B20" s="24">
        <f t="shared" si="0"/>
        <v>0.80650823680000006</v>
      </c>
    </row>
    <row r="21" spans="1:2">
      <c r="A21" s="24">
        <f t="shared" si="1"/>
        <v>190</v>
      </c>
      <c r="B21" s="24">
        <f t="shared" si="0"/>
        <v>0.74644746239999993</v>
      </c>
    </row>
    <row r="22" spans="1:2">
      <c r="A22" s="24">
        <f t="shared" si="1"/>
        <v>200</v>
      </c>
      <c r="B22" s="24">
        <f t="shared" si="0"/>
        <v>0.67231999999999981</v>
      </c>
    </row>
    <row r="23" spans="1:2">
      <c r="A23" s="24">
        <f t="shared" si="1"/>
        <v>210</v>
      </c>
      <c r="B23" s="24">
        <f t="shared" si="0"/>
        <v>0.58178805760000007</v>
      </c>
    </row>
    <row r="24" spans="1:2">
      <c r="A24" s="24">
        <f t="shared" si="1"/>
        <v>220</v>
      </c>
      <c r="B24" s="24">
        <f t="shared" si="0"/>
        <v>0.47226808320000002</v>
      </c>
    </row>
    <row r="25" spans="1:2">
      <c r="A25" s="24">
        <f t="shared" si="1"/>
        <v>230</v>
      </c>
      <c r="B25" s="24">
        <f t="shared" si="0"/>
        <v>0.34091847679999987</v>
      </c>
    </row>
    <row r="26" spans="1:2">
      <c r="A26" s="24">
        <f t="shared" si="1"/>
        <v>240</v>
      </c>
      <c r="B26" s="24">
        <f t="shared" si="0"/>
        <v>0.18462730240000003</v>
      </c>
    </row>
    <row r="27" spans="1:2">
      <c r="A27" s="24">
        <f t="shared" si="1"/>
        <v>250</v>
      </c>
      <c r="B27" s="24">
        <f t="shared" si="0"/>
        <v>0</v>
      </c>
    </row>
    <row r="28" spans="1:2">
      <c r="A28" s="24">
        <f t="shared" si="1"/>
        <v>260</v>
      </c>
      <c r="B28" s="24">
        <f t="shared" si="0"/>
        <v>0</v>
      </c>
    </row>
    <row r="29" spans="1:2">
      <c r="A29" s="24">
        <f t="shared" si="1"/>
        <v>270</v>
      </c>
      <c r="B29" s="24">
        <f t="shared" si="0"/>
        <v>0</v>
      </c>
    </row>
    <row r="30" spans="1:2">
      <c r="A30" s="24">
        <f t="shared" si="1"/>
        <v>280</v>
      </c>
      <c r="B30" s="24">
        <f t="shared" si="0"/>
        <v>0</v>
      </c>
    </row>
    <row r="31" spans="1:2">
      <c r="A31" s="24">
        <f t="shared" si="1"/>
        <v>290</v>
      </c>
      <c r="B31" s="24">
        <f t="shared" si="0"/>
        <v>0</v>
      </c>
    </row>
    <row r="32" spans="1:2">
      <c r="A32" s="24">
        <f t="shared" si="1"/>
        <v>300</v>
      </c>
      <c r="B32" s="2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29"/>
  <sheetViews>
    <sheetView workbookViewId="0">
      <selection activeCell="G1" sqref="G1:I2"/>
    </sheetView>
  </sheetViews>
  <sheetFormatPr defaultRowHeight="15"/>
  <cols>
    <col min="1" max="1" width="12.85546875" customWidth="1"/>
  </cols>
  <sheetData>
    <row r="1" spans="1:9">
      <c r="A1" t="s">
        <v>191</v>
      </c>
      <c r="B1" t="s">
        <v>194</v>
      </c>
      <c r="E1" s="28" t="s">
        <v>190</v>
      </c>
      <c r="G1" s="26" t="s">
        <v>86</v>
      </c>
      <c r="H1" s="26"/>
      <c r="I1" s="26"/>
    </row>
    <row r="2" spans="1:9">
      <c r="A2">
        <v>100</v>
      </c>
      <c r="B2">
        <f>EXP(-$E$2*A2)</f>
        <v>0.99600798934399148</v>
      </c>
      <c r="E2" s="28">
        <v>4.0000000000000003E-5</v>
      </c>
      <c r="F2" t="s">
        <v>275</v>
      </c>
      <c r="G2" s="28" t="s">
        <v>298</v>
      </c>
      <c r="H2" s="28"/>
      <c r="I2" s="28"/>
    </row>
    <row r="3" spans="1:9">
      <c r="A3">
        <f>A2+1400</f>
        <v>1500</v>
      </c>
      <c r="B3" s="24">
        <f>EXP(-$E$2*A3)</f>
        <v>0.94176453358424872</v>
      </c>
    </row>
    <row r="4" spans="1:9">
      <c r="A4" s="24">
        <f t="shared" ref="A4:A29" si="0">A3+1400</f>
        <v>2900</v>
      </c>
      <c r="B4" s="24">
        <f t="shared" ref="B4:B29" si="1">EXP(-$E$2*A4)</f>
        <v>0.89047522329747264</v>
      </c>
    </row>
    <row r="5" spans="1:9" ht="15.75">
      <c r="A5" s="24">
        <f t="shared" si="0"/>
        <v>4300</v>
      </c>
      <c r="B5" s="24">
        <f t="shared" si="1"/>
        <v>0.84197917316849991</v>
      </c>
      <c r="I5" s="52"/>
    </row>
    <row r="6" spans="1:9">
      <c r="A6" s="24">
        <f t="shared" si="0"/>
        <v>5700</v>
      </c>
      <c r="B6" s="24">
        <f t="shared" si="1"/>
        <v>0.79612425983545376</v>
      </c>
    </row>
    <row r="7" spans="1:9">
      <c r="A7" s="24">
        <f t="shared" si="0"/>
        <v>7100</v>
      </c>
      <c r="B7" s="24">
        <f t="shared" si="1"/>
        <v>0.75276664470619625</v>
      </c>
    </row>
    <row r="8" spans="1:9">
      <c r="A8" s="24">
        <f t="shared" si="0"/>
        <v>8500</v>
      </c>
      <c r="B8" s="24">
        <f t="shared" si="1"/>
        <v>0.71177032276260965</v>
      </c>
    </row>
    <row r="9" spans="1:9">
      <c r="A9" s="24">
        <f t="shared" si="0"/>
        <v>9900</v>
      </c>
      <c r="B9" s="24">
        <f t="shared" si="1"/>
        <v>0.67300669593738638</v>
      </c>
    </row>
    <row r="10" spans="1:9">
      <c r="A10" s="24">
        <f t="shared" si="0"/>
        <v>11300</v>
      </c>
      <c r="B10" s="24">
        <f t="shared" si="1"/>
        <v>0.63635416972508707</v>
      </c>
    </row>
    <row r="11" spans="1:9">
      <c r="A11" s="24">
        <f t="shared" si="0"/>
        <v>12700</v>
      </c>
      <c r="B11" s="24">
        <f t="shared" si="1"/>
        <v>0.60169777176210937</v>
      </c>
    </row>
    <row r="12" spans="1:9">
      <c r="A12" s="24">
        <f t="shared" si="0"/>
        <v>14100</v>
      </c>
      <c r="B12" s="24">
        <f t="shared" si="1"/>
        <v>0.56892879117912176</v>
      </c>
    </row>
    <row r="13" spans="1:9">
      <c r="A13" s="24">
        <f t="shared" si="0"/>
        <v>15500</v>
      </c>
      <c r="B13" s="24">
        <f t="shared" si="1"/>
        <v>0.53794443759467447</v>
      </c>
    </row>
    <row r="14" spans="1:9">
      <c r="A14" s="24">
        <f t="shared" si="0"/>
        <v>16900</v>
      </c>
      <c r="B14" s="24">
        <f t="shared" si="1"/>
        <v>0.50864751868031366</v>
      </c>
    </row>
    <row r="15" spans="1:9">
      <c r="A15" s="24">
        <f t="shared" si="0"/>
        <v>18300</v>
      </c>
      <c r="B15" s="24">
        <f t="shared" si="1"/>
        <v>0.48094613528577795</v>
      </c>
    </row>
    <row r="16" spans="1:9">
      <c r="A16" s="24">
        <f t="shared" si="0"/>
        <v>19700</v>
      </c>
      <c r="B16" s="24">
        <f t="shared" si="1"/>
        <v>0.45475339316794017</v>
      </c>
    </row>
    <row r="17" spans="1:2">
      <c r="A17" s="24">
        <f t="shared" si="0"/>
        <v>21100</v>
      </c>
      <c r="B17" s="24">
        <f t="shared" si="1"/>
        <v>0.42998713041923975</v>
      </c>
    </row>
    <row r="18" spans="1:2">
      <c r="A18" s="24">
        <f t="shared" si="0"/>
        <v>22500</v>
      </c>
      <c r="B18" s="24">
        <f t="shared" si="1"/>
        <v>0.40656965974059911</v>
      </c>
    </row>
    <row r="19" spans="1:2">
      <c r="A19" s="24">
        <f t="shared" si="0"/>
        <v>23900</v>
      </c>
      <c r="B19" s="24">
        <f t="shared" si="1"/>
        <v>0.3844275247503785</v>
      </c>
    </row>
    <row r="20" spans="1:2">
      <c r="A20" s="24">
        <f t="shared" si="0"/>
        <v>25300</v>
      </c>
      <c r="B20" s="24">
        <f t="shared" si="1"/>
        <v>0.36349126956495681</v>
      </c>
    </row>
    <row r="21" spans="1:2">
      <c r="A21" s="24">
        <f t="shared" si="0"/>
        <v>26700</v>
      </c>
      <c r="B21" s="24">
        <f t="shared" si="1"/>
        <v>0.34369522092815236</v>
      </c>
    </row>
    <row r="22" spans="1:2">
      <c r="A22" s="24">
        <f t="shared" si="0"/>
        <v>28100</v>
      </c>
      <c r="B22" s="24">
        <f t="shared" si="1"/>
        <v>0.32497728220606398</v>
      </c>
    </row>
    <row r="23" spans="1:2">
      <c r="A23" s="24">
        <f t="shared" si="0"/>
        <v>29500</v>
      </c>
      <c r="B23" s="24">
        <f t="shared" si="1"/>
        <v>0.3072787386011312</v>
      </c>
    </row>
    <row r="24" spans="1:2">
      <c r="A24" s="24">
        <f t="shared" si="0"/>
        <v>30900</v>
      </c>
      <c r="B24" s="24">
        <f t="shared" si="1"/>
        <v>0.29054407297440454</v>
      </c>
    </row>
    <row r="25" spans="1:2">
      <c r="A25" s="24">
        <f t="shared" si="0"/>
        <v>32300</v>
      </c>
      <c r="B25" s="24">
        <f t="shared" si="1"/>
        <v>0.27472079169829472</v>
      </c>
    </row>
    <row r="26" spans="1:2">
      <c r="A26" s="24">
        <f t="shared" si="0"/>
        <v>33700</v>
      </c>
      <c r="B26" s="24">
        <f t="shared" si="1"/>
        <v>0.25975925999353111</v>
      </c>
    </row>
    <row r="27" spans="1:2">
      <c r="A27" s="24">
        <f t="shared" si="0"/>
        <v>35100</v>
      </c>
      <c r="B27" s="24">
        <f t="shared" si="1"/>
        <v>0.24561254623381221</v>
      </c>
    </row>
    <row r="28" spans="1:2">
      <c r="A28" s="24">
        <f t="shared" si="0"/>
        <v>36500</v>
      </c>
      <c r="B28" s="24">
        <f t="shared" si="1"/>
        <v>0.23223627472975877</v>
      </c>
    </row>
    <row r="29" spans="1:2">
      <c r="A29" s="24">
        <f t="shared" si="0"/>
        <v>37900</v>
      </c>
      <c r="B29" s="24">
        <f t="shared" si="1"/>
        <v>0.21958848653038082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75</vt:i4>
      </vt:variant>
    </vt:vector>
  </HeadingPairs>
  <TitlesOfParts>
    <vt:vector size="88" baseType="lpstr">
      <vt:lpstr>PnET-Succ v. PnET-II</vt:lpstr>
      <vt:lpstr>Amax A&amp;B worksheet</vt:lpstr>
      <vt:lpstr>DTemp</vt:lpstr>
      <vt:lpstr>CO2 effects</vt:lpstr>
      <vt:lpstr>Wythers</vt:lpstr>
      <vt:lpstr>fRad</vt:lpstr>
      <vt:lpstr>fWater</vt:lpstr>
      <vt:lpstr>fAge</vt:lpstr>
      <vt:lpstr>FrActWd</vt:lpstr>
      <vt:lpstr>EstMod</vt:lpstr>
      <vt:lpstr>AdjFolN</vt:lpstr>
      <vt:lpstr>AdjFracFol</vt:lpstr>
      <vt:lpstr>CO2HalfSatEff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Miranda, Brian R -FS</cp:lastModifiedBy>
  <cp:lastPrinted>2016-05-12T20:31:54Z</cp:lastPrinted>
  <dcterms:created xsi:type="dcterms:W3CDTF">2016-03-04T15:50:18Z</dcterms:created>
  <dcterms:modified xsi:type="dcterms:W3CDTF">2021-05-24T14:12:12Z</dcterms:modified>
</cp:coreProperties>
</file>