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RM\LANDIS_II\GitCode\Extension-PnET-Succession\deploy\docs\"/>
    </mc:Choice>
  </mc:AlternateContent>
  <xr:revisionPtr revIDLastSave="0" documentId="13_ncr:1_{1596911F-F3E1-43DC-88C5-7DBA75BD1B2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hart1" sheetId="7" r:id="rId1"/>
    <sheet name="Water-Tension" sheetId="8" r:id="rId2"/>
    <sheet name="Equations" sheetId="4" r:id="rId3"/>
    <sheet name="Equations-Protected" sheetId="6" r:id="rId4"/>
  </sheets>
  <definedNames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100</definedName>
    <definedName name="solver_lin" localSheetId="2" hidden="1">2</definedName>
    <definedName name="solver_lin" localSheetId="3" hidden="1">2</definedName>
    <definedName name="solver_neg" localSheetId="2" hidden="1">2</definedName>
    <definedName name="solver_neg" localSheetId="3" hidden="1">2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Equations!$AS$19</definedName>
    <definedName name="solver_opt" localSheetId="3" hidden="1">'Equations-Protected'!$AS$19</definedName>
    <definedName name="solver_pre" localSheetId="2" hidden="1">0.000001</definedName>
    <definedName name="solver_pre" localSheetId="3" hidden="1">0.000001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tim" localSheetId="2" hidden="1">100</definedName>
    <definedName name="solver_tim" localSheetId="3" hidden="1">100</definedName>
    <definedName name="solver_tol" localSheetId="2" hidden="1">0.05</definedName>
    <definedName name="solver_tol" localSheetId="3" hidden="1">0.05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77" i="4" l="1"/>
  <c r="BN77" i="4"/>
  <c r="BO77" i="4"/>
  <c r="BP77" i="4"/>
  <c r="BQ77" i="4"/>
  <c r="BR77" i="4"/>
  <c r="BS77" i="4"/>
  <c r="BT77" i="4"/>
  <c r="BU77" i="4"/>
  <c r="BV77" i="4"/>
  <c r="BW77" i="4"/>
  <c r="BL77" i="4"/>
  <c r="BM80" i="4"/>
  <c r="BN80" i="4"/>
  <c r="BO80" i="4"/>
  <c r="BP80" i="4"/>
  <c r="BQ80" i="4"/>
  <c r="BR80" i="4"/>
  <c r="BS80" i="4"/>
  <c r="BT80" i="4"/>
  <c r="BU80" i="4"/>
  <c r="BV80" i="4"/>
  <c r="BW80" i="4"/>
  <c r="BM81" i="4"/>
  <c r="BN81" i="4"/>
  <c r="BO81" i="4"/>
  <c r="BP81" i="4"/>
  <c r="BQ81" i="4"/>
  <c r="BR81" i="4"/>
  <c r="BS81" i="4"/>
  <c r="BT81" i="4"/>
  <c r="BU81" i="4"/>
  <c r="BV81" i="4"/>
  <c r="BW81" i="4"/>
  <c r="BM82" i="4"/>
  <c r="BN82" i="4"/>
  <c r="BO82" i="4"/>
  <c r="BP82" i="4"/>
  <c r="BQ82" i="4"/>
  <c r="BR82" i="4"/>
  <c r="BS82" i="4"/>
  <c r="BT82" i="4"/>
  <c r="BU82" i="4"/>
  <c r="BV82" i="4"/>
  <c r="BW82" i="4"/>
  <c r="BM83" i="4"/>
  <c r="BN83" i="4"/>
  <c r="BO83" i="4"/>
  <c r="BP83" i="4"/>
  <c r="BQ83" i="4"/>
  <c r="BR83" i="4"/>
  <c r="BS83" i="4"/>
  <c r="BT83" i="4"/>
  <c r="BU83" i="4"/>
  <c r="BV83" i="4"/>
  <c r="BW83" i="4"/>
  <c r="BM84" i="4"/>
  <c r="BN84" i="4"/>
  <c r="BO84" i="4"/>
  <c r="BP84" i="4"/>
  <c r="BQ84" i="4"/>
  <c r="BR84" i="4"/>
  <c r="BS84" i="4"/>
  <c r="BT84" i="4"/>
  <c r="BU84" i="4"/>
  <c r="BV84" i="4"/>
  <c r="BW84" i="4"/>
  <c r="BM85" i="4"/>
  <c r="BN85" i="4"/>
  <c r="BO85" i="4"/>
  <c r="BP85" i="4"/>
  <c r="BQ85" i="4"/>
  <c r="BR85" i="4"/>
  <c r="BS85" i="4"/>
  <c r="BT85" i="4"/>
  <c r="BU85" i="4"/>
  <c r="BV85" i="4"/>
  <c r="BW85" i="4"/>
  <c r="BM86" i="4"/>
  <c r="BN86" i="4"/>
  <c r="BO86" i="4"/>
  <c r="BP86" i="4"/>
  <c r="BQ86" i="4"/>
  <c r="BR86" i="4"/>
  <c r="BS86" i="4"/>
  <c r="BT86" i="4"/>
  <c r="BU86" i="4"/>
  <c r="BV86" i="4"/>
  <c r="BW86" i="4"/>
  <c r="BM87" i="4"/>
  <c r="BN87" i="4"/>
  <c r="BO87" i="4"/>
  <c r="BP87" i="4"/>
  <c r="BQ87" i="4"/>
  <c r="BR87" i="4"/>
  <c r="BS87" i="4"/>
  <c r="BT87" i="4"/>
  <c r="BU87" i="4"/>
  <c r="BV87" i="4"/>
  <c r="BW87" i="4"/>
  <c r="BM88" i="4"/>
  <c r="BN88" i="4"/>
  <c r="BO88" i="4"/>
  <c r="BP88" i="4"/>
  <c r="BQ88" i="4"/>
  <c r="BR88" i="4"/>
  <c r="BS88" i="4"/>
  <c r="BT88" i="4"/>
  <c r="BU88" i="4"/>
  <c r="BV88" i="4"/>
  <c r="BW88" i="4"/>
  <c r="BM89" i="4"/>
  <c r="BN89" i="4"/>
  <c r="BO89" i="4"/>
  <c r="BP89" i="4"/>
  <c r="BQ89" i="4"/>
  <c r="BR89" i="4"/>
  <c r="BS89" i="4"/>
  <c r="BT89" i="4"/>
  <c r="BU89" i="4"/>
  <c r="BV89" i="4"/>
  <c r="BW89" i="4"/>
  <c r="BM90" i="4"/>
  <c r="BN90" i="4"/>
  <c r="BO90" i="4"/>
  <c r="BP90" i="4"/>
  <c r="BQ90" i="4"/>
  <c r="BR90" i="4"/>
  <c r="BS90" i="4"/>
  <c r="BT90" i="4"/>
  <c r="BU90" i="4"/>
  <c r="BV90" i="4"/>
  <c r="BW90" i="4"/>
  <c r="BM91" i="4"/>
  <c r="BN91" i="4"/>
  <c r="BO91" i="4"/>
  <c r="BP91" i="4"/>
  <c r="BQ91" i="4"/>
  <c r="BR91" i="4"/>
  <c r="BS91" i="4"/>
  <c r="BT91" i="4"/>
  <c r="BU91" i="4"/>
  <c r="BV91" i="4"/>
  <c r="BW91" i="4"/>
  <c r="BM92" i="4"/>
  <c r="BN92" i="4"/>
  <c r="BO92" i="4"/>
  <c r="BP92" i="4"/>
  <c r="BQ92" i="4"/>
  <c r="BR92" i="4"/>
  <c r="BS92" i="4"/>
  <c r="BT92" i="4"/>
  <c r="BU92" i="4"/>
  <c r="BV92" i="4"/>
  <c r="BW92" i="4"/>
  <c r="BM93" i="4"/>
  <c r="BN93" i="4"/>
  <c r="BO93" i="4"/>
  <c r="BP93" i="4"/>
  <c r="BQ93" i="4"/>
  <c r="BR93" i="4"/>
  <c r="BS93" i="4"/>
  <c r="BT93" i="4"/>
  <c r="BU93" i="4"/>
  <c r="BV93" i="4"/>
  <c r="BW93" i="4"/>
  <c r="BM94" i="4"/>
  <c r="BN94" i="4"/>
  <c r="BO94" i="4"/>
  <c r="BP94" i="4"/>
  <c r="BQ94" i="4"/>
  <c r="BR94" i="4"/>
  <c r="BS94" i="4"/>
  <c r="BT94" i="4"/>
  <c r="BU94" i="4"/>
  <c r="BV94" i="4"/>
  <c r="BW94" i="4"/>
  <c r="BM95" i="4"/>
  <c r="BN95" i="4"/>
  <c r="BO95" i="4"/>
  <c r="BP95" i="4"/>
  <c r="BQ95" i="4"/>
  <c r="BR95" i="4"/>
  <c r="BS95" i="4"/>
  <c r="BT95" i="4"/>
  <c r="BU95" i="4"/>
  <c r="BV95" i="4"/>
  <c r="BW95" i="4"/>
  <c r="BM96" i="4"/>
  <c r="BN96" i="4"/>
  <c r="BO96" i="4"/>
  <c r="BP96" i="4"/>
  <c r="BQ96" i="4"/>
  <c r="BR96" i="4"/>
  <c r="BS96" i="4"/>
  <c r="BT96" i="4"/>
  <c r="BU96" i="4"/>
  <c r="BV96" i="4"/>
  <c r="BW96" i="4"/>
  <c r="BM97" i="4"/>
  <c r="BN97" i="4"/>
  <c r="BO97" i="4"/>
  <c r="BP97" i="4"/>
  <c r="BQ97" i="4"/>
  <c r="BR97" i="4"/>
  <c r="BS97" i="4"/>
  <c r="BT97" i="4"/>
  <c r="BU97" i="4"/>
  <c r="BV97" i="4"/>
  <c r="BW97" i="4"/>
  <c r="BM98" i="4"/>
  <c r="BN98" i="4"/>
  <c r="BO98" i="4"/>
  <c r="BP98" i="4"/>
  <c r="BQ98" i="4"/>
  <c r="BR98" i="4"/>
  <c r="BS98" i="4"/>
  <c r="BT98" i="4"/>
  <c r="BU98" i="4"/>
  <c r="BV98" i="4"/>
  <c r="BW98" i="4"/>
  <c r="BM99" i="4"/>
  <c r="BN99" i="4"/>
  <c r="BO99" i="4"/>
  <c r="BP99" i="4"/>
  <c r="BQ99" i="4"/>
  <c r="BR99" i="4"/>
  <c r="BS99" i="4"/>
  <c r="BT99" i="4"/>
  <c r="BU99" i="4"/>
  <c r="BV99" i="4"/>
  <c r="BW99" i="4"/>
  <c r="BM100" i="4"/>
  <c r="BN100" i="4"/>
  <c r="BO100" i="4"/>
  <c r="BP100" i="4"/>
  <c r="BQ100" i="4"/>
  <c r="BR100" i="4"/>
  <c r="BS100" i="4"/>
  <c r="BT100" i="4"/>
  <c r="BU100" i="4"/>
  <c r="BV100" i="4"/>
  <c r="BW100" i="4"/>
  <c r="BM101" i="4"/>
  <c r="BN101" i="4"/>
  <c r="BO101" i="4"/>
  <c r="BP101" i="4"/>
  <c r="BQ101" i="4"/>
  <c r="BR101" i="4"/>
  <c r="BS101" i="4"/>
  <c r="BT101" i="4"/>
  <c r="BU101" i="4"/>
  <c r="BV101" i="4"/>
  <c r="BW101" i="4"/>
  <c r="BM102" i="4"/>
  <c r="BN102" i="4"/>
  <c r="BO102" i="4"/>
  <c r="BP102" i="4"/>
  <c r="BQ102" i="4"/>
  <c r="BR102" i="4"/>
  <c r="BS102" i="4"/>
  <c r="BT102" i="4"/>
  <c r="BU102" i="4"/>
  <c r="BV102" i="4"/>
  <c r="BW102" i="4"/>
  <c r="BM103" i="4"/>
  <c r="BN103" i="4"/>
  <c r="BO103" i="4"/>
  <c r="BP103" i="4"/>
  <c r="BQ103" i="4"/>
  <c r="BR103" i="4"/>
  <c r="BS103" i="4"/>
  <c r="BT103" i="4"/>
  <c r="BU103" i="4"/>
  <c r="BV103" i="4"/>
  <c r="BW103" i="4"/>
  <c r="BM104" i="4"/>
  <c r="BN104" i="4"/>
  <c r="BO104" i="4"/>
  <c r="BP104" i="4"/>
  <c r="BQ104" i="4"/>
  <c r="BR104" i="4"/>
  <c r="BS104" i="4"/>
  <c r="BT104" i="4"/>
  <c r="BU104" i="4"/>
  <c r="BV104" i="4"/>
  <c r="BW104" i="4"/>
  <c r="BM105" i="4"/>
  <c r="BN105" i="4"/>
  <c r="BO105" i="4"/>
  <c r="BP105" i="4"/>
  <c r="BQ105" i="4"/>
  <c r="BR105" i="4"/>
  <c r="BS105" i="4"/>
  <c r="BT105" i="4"/>
  <c r="BU105" i="4"/>
  <c r="BV105" i="4"/>
  <c r="BW105" i="4"/>
  <c r="BM106" i="4"/>
  <c r="BN106" i="4"/>
  <c r="BO106" i="4"/>
  <c r="BP106" i="4"/>
  <c r="BQ106" i="4"/>
  <c r="BR106" i="4"/>
  <c r="BS106" i="4"/>
  <c r="BT106" i="4"/>
  <c r="BU106" i="4"/>
  <c r="BV106" i="4"/>
  <c r="BW106" i="4"/>
  <c r="BM107" i="4"/>
  <c r="BN107" i="4"/>
  <c r="BO107" i="4"/>
  <c r="BP107" i="4"/>
  <c r="BQ107" i="4"/>
  <c r="BR107" i="4"/>
  <c r="BS107" i="4"/>
  <c r="BT107" i="4"/>
  <c r="BU107" i="4"/>
  <c r="BV107" i="4"/>
  <c r="BW107" i="4"/>
  <c r="BM108" i="4"/>
  <c r="BN108" i="4"/>
  <c r="BO108" i="4"/>
  <c r="BP108" i="4"/>
  <c r="BQ108" i="4"/>
  <c r="BR108" i="4"/>
  <c r="BS108" i="4"/>
  <c r="BT108" i="4"/>
  <c r="BU108" i="4"/>
  <c r="BV108" i="4"/>
  <c r="BW108" i="4"/>
  <c r="BM109" i="4"/>
  <c r="BN109" i="4"/>
  <c r="BO109" i="4"/>
  <c r="BP109" i="4"/>
  <c r="BQ109" i="4"/>
  <c r="BR109" i="4"/>
  <c r="BS109" i="4"/>
  <c r="BT109" i="4"/>
  <c r="BU109" i="4"/>
  <c r="BV109" i="4"/>
  <c r="BW109" i="4"/>
  <c r="BM110" i="4"/>
  <c r="BN110" i="4"/>
  <c r="BO110" i="4"/>
  <c r="BP110" i="4"/>
  <c r="BQ110" i="4"/>
  <c r="BR110" i="4"/>
  <c r="BS110" i="4"/>
  <c r="BT110" i="4"/>
  <c r="BU110" i="4"/>
  <c r="BV110" i="4"/>
  <c r="BW110" i="4"/>
  <c r="BM111" i="4"/>
  <c r="BN111" i="4"/>
  <c r="BO111" i="4"/>
  <c r="BP111" i="4"/>
  <c r="BQ111" i="4"/>
  <c r="BR111" i="4"/>
  <c r="BS111" i="4"/>
  <c r="BT111" i="4"/>
  <c r="BU111" i="4"/>
  <c r="BV111" i="4"/>
  <c r="BW111" i="4"/>
  <c r="BM112" i="4"/>
  <c r="BN112" i="4"/>
  <c r="BO112" i="4"/>
  <c r="BP112" i="4"/>
  <c r="BQ112" i="4"/>
  <c r="BR112" i="4"/>
  <c r="BS112" i="4"/>
  <c r="BT112" i="4"/>
  <c r="BU112" i="4"/>
  <c r="BV112" i="4"/>
  <c r="BW112" i="4"/>
  <c r="BM113" i="4"/>
  <c r="BN113" i="4"/>
  <c r="BO113" i="4"/>
  <c r="BP113" i="4"/>
  <c r="BQ113" i="4"/>
  <c r="BR113" i="4"/>
  <c r="BS113" i="4"/>
  <c r="BT113" i="4"/>
  <c r="BU113" i="4"/>
  <c r="BV113" i="4"/>
  <c r="BW113" i="4"/>
  <c r="BM114" i="4"/>
  <c r="BN114" i="4"/>
  <c r="BO114" i="4"/>
  <c r="BP114" i="4"/>
  <c r="BQ114" i="4"/>
  <c r="BR114" i="4"/>
  <c r="BS114" i="4"/>
  <c r="BT114" i="4"/>
  <c r="BU114" i="4"/>
  <c r="BV114" i="4"/>
  <c r="BW114" i="4"/>
  <c r="BM115" i="4"/>
  <c r="BN115" i="4"/>
  <c r="BO115" i="4"/>
  <c r="BP115" i="4"/>
  <c r="BQ115" i="4"/>
  <c r="BR115" i="4"/>
  <c r="BS115" i="4"/>
  <c r="BT115" i="4"/>
  <c r="BU115" i="4"/>
  <c r="BV115" i="4"/>
  <c r="BW115" i="4"/>
  <c r="BM116" i="4"/>
  <c r="BN116" i="4"/>
  <c r="BO116" i="4"/>
  <c r="BP116" i="4"/>
  <c r="BQ116" i="4"/>
  <c r="BR116" i="4"/>
  <c r="BS116" i="4"/>
  <c r="BT116" i="4"/>
  <c r="BU116" i="4"/>
  <c r="BV116" i="4"/>
  <c r="BW116" i="4"/>
  <c r="BM117" i="4"/>
  <c r="BN117" i="4"/>
  <c r="BO117" i="4"/>
  <c r="BP117" i="4"/>
  <c r="BQ117" i="4"/>
  <c r="BR117" i="4"/>
  <c r="BS117" i="4"/>
  <c r="BT117" i="4"/>
  <c r="BU117" i="4"/>
  <c r="BV117" i="4"/>
  <c r="BW117" i="4"/>
  <c r="BM118" i="4"/>
  <c r="BN118" i="4"/>
  <c r="BO118" i="4"/>
  <c r="BP118" i="4"/>
  <c r="BQ118" i="4"/>
  <c r="BR118" i="4"/>
  <c r="BS118" i="4"/>
  <c r="BT118" i="4"/>
  <c r="BU118" i="4"/>
  <c r="BV118" i="4"/>
  <c r="BW118" i="4"/>
  <c r="BM119" i="4"/>
  <c r="BN119" i="4"/>
  <c r="BO119" i="4"/>
  <c r="BP119" i="4"/>
  <c r="BQ119" i="4"/>
  <c r="BR119" i="4"/>
  <c r="BS119" i="4"/>
  <c r="BT119" i="4"/>
  <c r="BU119" i="4"/>
  <c r="BV119" i="4"/>
  <c r="BW119" i="4"/>
  <c r="BM120" i="4"/>
  <c r="BN120" i="4"/>
  <c r="BO120" i="4"/>
  <c r="BP120" i="4"/>
  <c r="BQ120" i="4"/>
  <c r="BR120" i="4"/>
  <c r="BS120" i="4"/>
  <c r="BT120" i="4"/>
  <c r="BU120" i="4"/>
  <c r="BV120" i="4"/>
  <c r="BW120" i="4"/>
  <c r="BM121" i="4"/>
  <c r="BN121" i="4"/>
  <c r="BO121" i="4"/>
  <c r="BP121" i="4"/>
  <c r="BQ121" i="4"/>
  <c r="BR121" i="4"/>
  <c r="BS121" i="4"/>
  <c r="BT121" i="4"/>
  <c r="BU121" i="4"/>
  <c r="BV121" i="4"/>
  <c r="BW121" i="4"/>
  <c r="BM122" i="4"/>
  <c r="BN122" i="4"/>
  <c r="BO122" i="4"/>
  <c r="BP122" i="4"/>
  <c r="BQ122" i="4"/>
  <c r="BR122" i="4"/>
  <c r="BS122" i="4"/>
  <c r="BT122" i="4"/>
  <c r="BU122" i="4"/>
  <c r="BV122" i="4"/>
  <c r="BW122" i="4"/>
  <c r="BM123" i="4"/>
  <c r="BN123" i="4"/>
  <c r="BO123" i="4"/>
  <c r="BP123" i="4"/>
  <c r="BQ123" i="4"/>
  <c r="BR123" i="4"/>
  <c r="BS123" i="4"/>
  <c r="BT123" i="4"/>
  <c r="BU123" i="4"/>
  <c r="BV123" i="4"/>
  <c r="BW123" i="4"/>
  <c r="BM124" i="4"/>
  <c r="BN124" i="4"/>
  <c r="BO124" i="4"/>
  <c r="BP124" i="4"/>
  <c r="BQ124" i="4"/>
  <c r="BR124" i="4"/>
  <c r="BS124" i="4"/>
  <c r="BT124" i="4"/>
  <c r="BU124" i="4"/>
  <c r="BV124" i="4"/>
  <c r="BW124" i="4"/>
  <c r="BM125" i="4"/>
  <c r="BN125" i="4"/>
  <c r="BO125" i="4"/>
  <c r="BP125" i="4"/>
  <c r="BQ125" i="4"/>
  <c r="BR125" i="4"/>
  <c r="BS125" i="4"/>
  <c r="BT125" i="4"/>
  <c r="BU125" i="4"/>
  <c r="BV125" i="4"/>
  <c r="BW125" i="4"/>
  <c r="BM126" i="4"/>
  <c r="BN126" i="4"/>
  <c r="BO126" i="4"/>
  <c r="BP126" i="4"/>
  <c r="BQ126" i="4"/>
  <c r="BR126" i="4"/>
  <c r="BS126" i="4"/>
  <c r="BT126" i="4"/>
  <c r="BU126" i="4"/>
  <c r="BV126" i="4"/>
  <c r="BW126" i="4"/>
  <c r="BM127" i="4"/>
  <c r="BN127" i="4"/>
  <c r="BO127" i="4"/>
  <c r="BP127" i="4"/>
  <c r="BQ127" i="4"/>
  <c r="BR127" i="4"/>
  <c r="BS127" i="4"/>
  <c r="BT127" i="4"/>
  <c r="BU127" i="4"/>
  <c r="BV127" i="4"/>
  <c r="BW127" i="4"/>
  <c r="BM128" i="4"/>
  <c r="BN128" i="4"/>
  <c r="BO128" i="4"/>
  <c r="BP128" i="4"/>
  <c r="BQ128" i="4"/>
  <c r="BR128" i="4"/>
  <c r="BS128" i="4"/>
  <c r="BT128" i="4"/>
  <c r="BU128" i="4"/>
  <c r="BV128" i="4"/>
  <c r="BW128" i="4"/>
  <c r="BM129" i="4"/>
  <c r="BN129" i="4"/>
  <c r="BO129" i="4"/>
  <c r="BP129" i="4"/>
  <c r="BQ129" i="4"/>
  <c r="BR129" i="4"/>
  <c r="BS129" i="4"/>
  <c r="BT129" i="4"/>
  <c r="BU129" i="4"/>
  <c r="BV129" i="4"/>
  <c r="BW129" i="4"/>
  <c r="BM130" i="4"/>
  <c r="BN130" i="4"/>
  <c r="BO130" i="4"/>
  <c r="BP130" i="4"/>
  <c r="BQ130" i="4"/>
  <c r="BR130" i="4"/>
  <c r="BS130" i="4"/>
  <c r="BT130" i="4"/>
  <c r="BU130" i="4"/>
  <c r="BV130" i="4"/>
  <c r="BW130" i="4"/>
  <c r="BM131" i="4"/>
  <c r="BN131" i="4"/>
  <c r="BO131" i="4"/>
  <c r="BP131" i="4"/>
  <c r="BQ131" i="4"/>
  <c r="BR131" i="4"/>
  <c r="BS131" i="4"/>
  <c r="BT131" i="4"/>
  <c r="BU131" i="4"/>
  <c r="BV131" i="4"/>
  <c r="BW131" i="4"/>
  <c r="BM132" i="4"/>
  <c r="BN132" i="4"/>
  <c r="BO132" i="4"/>
  <c r="BP132" i="4"/>
  <c r="BQ132" i="4"/>
  <c r="BR132" i="4"/>
  <c r="BS132" i="4"/>
  <c r="BT132" i="4"/>
  <c r="BU132" i="4"/>
  <c r="BV132" i="4"/>
  <c r="BW132" i="4"/>
  <c r="BM133" i="4"/>
  <c r="BN133" i="4"/>
  <c r="BO133" i="4"/>
  <c r="BP133" i="4"/>
  <c r="BQ133" i="4"/>
  <c r="BR133" i="4"/>
  <c r="BS133" i="4"/>
  <c r="BT133" i="4"/>
  <c r="BU133" i="4"/>
  <c r="BV133" i="4"/>
  <c r="BW133" i="4"/>
  <c r="BM134" i="4"/>
  <c r="BN134" i="4"/>
  <c r="BO134" i="4"/>
  <c r="BP134" i="4"/>
  <c r="BQ134" i="4"/>
  <c r="BR134" i="4"/>
  <c r="BS134" i="4"/>
  <c r="BT134" i="4"/>
  <c r="BU134" i="4"/>
  <c r="BV134" i="4"/>
  <c r="BW134" i="4"/>
  <c r="BM135" i="4"/>
  <c r="BN135" i="4"/>
  <c r="BO135" i="4"/>
  <c r="BP135" i="4"/>
  <c r="BQ135" i="4"/>
  <c r="BR135" i="4"/>
  <c r="BS135" i="4"/>
  <c r="BT135" i="4"/>
  <c r="BU135" i="4"/>
  <c r="BV135" i="4"/>
  <c r="BW135" i="4"/>
  <c r="BM136" i="4"/>
  <c r="BN136" i="4"/>
  <c r="BO136" i="4"/>
  <c r="BP136" i="4"/>
  <c r="BQ136" i="4"/>
  <c r="BR136" i="4"/>
  <c r="BS136" i="4"/>
  <c r="BT136" i="4"/>
  <c r="BU136" i="4"/>
  <c r="BV136" i="4"/>
  <c r="BW136" i="4"/>
  <c r="BM137" i="4"/>
  <c r="BN137" i="4"/>
  <c r="BO137" i="4"/>
  <c r="BP137" i="4"/>
  <c r="BQ137" i="4"/>
  <c r="BR137" i="4"/>
  <c r="BS137" i="4"/>
  <c r="BT137" i="4"/>
  <c r="BU137" i="4"/>
  <c r="BV137" i="4"/>
  <c r="BW137" i="4"/>
  <c r="BM138" i="4"/>
  <c r="BN138" i="4"/>
  <c r="BO138" i="4"/>
  <c r="BP138" i="4"/>
  <c r="BQ138" i="4"/>
  <c r="BR138" i="4"/>
  <c r="BS138" i="4"/>
  <c r="BT138" i="4"/>
  <c r="BU138" i="4"/>
  <c r="BV138" i="4"/>
  <c r="BW138" i="4"/>
  <c r="BM139" i="4"/>
  <c r="BN139" i="4"/>
  <c r="BO139" i="4"/>
  <c r="BP139" i="4"/>
  <c r="BQ139" i="4"/>
  <c r="BR139" i="4"/>
  <c r="BS139" i="4"/>
  <c r="BT139" i="4"/>
  <c r="BU139" i="4"/>
  <c r="BV139" i="4"/>
  <c r="BW139" i="4"/>
  <c r="BL81" i="4"/>
  <c r="BL82" i="4"/>
  <c r="BL83" i="4"/>
  <c r="BL84" i="4"/>
  <c r="BL85" i="4"/>
  <c r="BL86" i="4"/>
  <c r="BL87" i="4"/>
  <c r="BL88" i="4"/>
  <c r="BL89" i="4"/>
  <c r="BL90" i="4"/>
  <c r="BL91" i="4"/>
  <c r="BL92" i="4"/>
  <c r="BL93" i="4"/>
  <c r="BL94" i="4"/>
  <c r="BL95" i="4"/>
  <c r="BL96" i="4"/>
  <c r="BL97" i="4"/>
  <c r="BL98" i="4"/>
  <c r="BL99" i="4"/>
  <c r="BL100" i="4"/>
  <c r="BL101" i="4"/>
  <c r="BL102" i="4"/>
  <c r="BL103" i="4"/>
  <c r="BL104" i="4"/>
  <c r="BL105" i="4"/>
  <c r="BL106" i="4"/>
  <c r="BL107" i="4"/>
  <c r="BL108" i="4"/>
  <c r="BL109" i="4"/>
  <c r="BL110" i="4"/>
  <c r="BL111" i="4"/>
  <c r="BL112" i="4"/>
  <c r="BL113" i="4"/>
  <c r="BL114" i="4"/>
  <c r="BL115" i="4"/>
  <c r="BL116" i="4"/>
  <c r="BL117" i="4"/>
  <c r="BL118" i="4"/>
  <c r="BL119" i="4"/>
  <c r="BL120" i="4"/>
  <c r="BL121" i="4"/>
  <c r="BL122" i="4"/>
  <c r="BL123" i="4"/>
  <c r="BL124" i="4"/>
  <c r="BL125" i="4"/>
  <c r="BL126" i="4"/>
  <c r="BL127" i="4"/>
  <c r="BL128" i="4"/>
  <c r="BL129" i="4"/>
  <c r="BL130" i="4"/>
  <c r="BL131" i="4"/>
  <c r="BL132" i="4"/>
  <c r="BL133" i="4"/>
  <c r="BL134" i="4"/>
  <c r="BL135" i="4"/>
  <c r="BL136" i="4"/>
  <c r="BL137" i="4"/>
  <c r="BL138" i="4"/>
  <c r="BL139" i="4"/>
  <c r="BL80" i="4"/>
  <c r="BK115" i="4"/>
  <c r="BK116" i="4" s="1"/>
  <c r="BK111" i="4"/>
  <c r="BK110" i="4"/>
  <c r="BK103" i="4"/>
  <c r="BK117" i="4" l="1"/>
  <c r="BK112" i="4"/>
  <c r="BK104" i="4"/>
  <c r="BK118" i="4" l="1"/>
  <c r="BK105" i="4"/>
  <c r="BK106" i="4" l="1"/>
  <c r="BK119" i="4"/>
  <c r="BK107" i="4" l="1"/>
  <c r="BK120" i="4"/>
  <c r="BK108" i="4" l="1"/>
  <c r="BG29" i="4" l="1"/>
  <c r="BG41" i="4"/>
  <c r="BG40" i="4"/>
  <c r="BG39" i="4"/>
  <c r="BG38" i="4"/>
  <c r="BG37" i="4"/>
  <c r="BU12" i="4"/>
  <c r="BI41" i="4"/>
  <c r="BI40" i="4"/>
  <c r="BI39" i="4"/>
  <c r="BI38" i="4"/>
  <c r="BI37" i="4"/>
  <c r="BH41" i="4"/>
  <c r="BH40" i="4"/>
  <c r="BH39" i="4"/>
  <c r="BH38" i="4"/>
  <c r="BH37" i="4"/>
  <c r="BF41" i="4"/>
  <c r="BF40" i="4"/>
  <c r="BF39" i="4"/>
  <c r="BF38" i="4"/>
  <c r="BF37" i="4"/>
  <c r="BE41" i="4"/>
  <c r="BE40" i="4"/>
  <c r="BE39" i="4"/>
  <c r="BE38" i="4"/>
  <c r="BE37" i="4"/>
  <c r="BD41" i="4"/>
  <c r="BD40" i="4"/>
  <c r="BD39" i="4"/>
  <c r="BD38" i="4"/>
  <c r="BD37" i="4"/>
  <c r="BC41" i="4"/>
  <c r="BC40" i="4"/>
  <c r="BC39" i="4"/>
  <c r="BC38" i="4"/>
  <c r="BC37" i="4"/>
  <c r="BI29" i="4"/>
  <c r="BH29" i="4"/>
  <c r="BF29" i="4"/>
  <c r="BE29" i="4"/>
  <c r="BD29" i="4"/>
  <c r="BC29" i="4"/>
  <c r="BB29" i="4"/>
  <c r="AX29" i="4"/>
  <c r="BI18" i="4"/>
  <c r="BW12" i="4" s="1"/>
  <c r="BH18" i="4"/>
  <c r="BV12" i="4" s="1"/>
  <c r="BF18" i="4"/>
  <c r="BT12" i="4" s="1"/>
  <c r="BE18" i="4"/>
  <c r="BS12" i="4" s="1"/>
  <c r="BD18" i="4"/>
  <c r="BR12" i="4" s="1"/>
  <c r="BC18" i="4"/>
  <c r="BQ12" i="4" s="1"/>
  <c r="AX18" i="4"/>
  <c r="BL12" i="4" s="1"/>
  <c r="W18" i="6"/>
  <c r="X18" i="6"/>
  <c r="M18" i="6" s="1"/>
  <c r="Y18" i="6"/>
  <c r="Z18" i="6"/>
  <c r="AA18" i="6"/>
  <c r="AB18" i="6"/>
  <c r="AC18" i="6" s="1"/>
  <c r="AD18" i="6"/>
  <c r="W19" i="6"/>
  <c r="X19" i="6" s="1"/>
  <c r="M19" i="6" s="1"/>
  <c r="Y19" i="6"/>
  <c r="Z19" i="6" s="1"/>
  <c r="AC19" i="6" s="1"/>
  <c r="AE19" i="6" s="1"/>
  <c r="AF19" i="6" s="1"/>
  <c r="AG19" i="6" s="1"/>
  <c r="AA19" i="6"/>
  <c r="AB19" i="6" s="1"/>
  <c r="AD19" i="6"/>
  <c r="M20" i="6"/>
  <c r="W20" i="6"/>
  <c r="X20" i="6"/>
  <c r="Y20" i="6"/>
  <c r="Z20" i="6"/>
  <c r="AA20" i="6"/>
  <c r="AB20" i="6"/>
  <c r="AD20" i="6"/>
  <c r="BD20" i="6"/>
  <c r="BD21" i="6" s="1"/>
  <c r="BD22" i="6" s="1"/>
  <c r="BD23" i="6" s="1"/>
  <c r="BO20" i="6"/>
  <c r="CA20" i="6"/>
  <c r="M21" i="6"/>
  <c r="W21" i="6"/>
  <c r="X21" i="6"/>
  <c r="Y21" i="6"/>
  <c r="Z21" i="6"/>
  <c r="AA21" i="6"/>
  <c r="AB21" i="6"/>
  <c r="AD21" i="6"/>
  <c r="BO21" i="6"/>
  <c r="BS21" i="6" s="1"/>
  <c r="BQ21" i="6"/>
  <c r="CA21" i="6"/>
  <c r="CA22" i="6" s="1"/>
  <c r="CA23" i="6" s="1"/>
  <c r="CA24" i="6" s="1"/>
  <c r="CA25" i="6" s="1"/>
  <c r="M22" i="6"/>
  <c r="W22" i="6"/>
  <c r="X22" i="6"/>
  <c r="Y22" i="6"/>
  <c r="Z22" i="6"/>
  <c r="AA22" i="6"/>
  <c r="AB22" i="6"/>
  <c r="AD22" i="6"/>
  <c r="BO22" i="6"/>
  <c r="BQ22" i="6" s="1"/>
  <c r="BS22" i="6"/>
  <c r="M23" i="6"/>
  <c r="W23" i="6"/>
  <c r="X23" i="6"/>
  <c r="Y23" i="6"/>
  <c r="Z23" i="6"/>
  <c r="AA23" i="6"/>
  <c r="AB23" i="6"/>
  <c r="AD23" i="6"/>
  <c r="BO23" i="6"/>
  <c r="BR23" i="6" s="1"/>
  <c r="BP23" i="6"/>
  <c r="BQ23" i="6"/>
  <c r="BS23" i="6"/>
  <c r="W24" i="6"/>
  <c r="X24" i="6"/>
  <c r="M24" i="6" s="1"/>
  <c r="Y24" i="6"/>
  <c r="Z24" i="6" s="1"/>
  <c r="AA24" i="6"/>
  <c r="AB24" i="6"/>
  <c r="AD24" i="6"/>
  <c r="BD24" i="6"/>
  <c r="BD25" i="6" s="1"/>
  <c r="BO24" i="6"/>
  <c r="BR24" i="6" s="1"/>
  <c r="BQ24" i="6"/>
  <c r="BS24" i="6"/>
  <c r="W25" i="6"/>
  <c r="X25" i="6"/>
  <c r="M25" i="6" s="1"/>
  <c r="Y25" i="6"/>
  <c r="Z25" i="6"/>
  <c r="AC25" i="6" s="1"/>
  <c r="AE25" i="6" s="1"/>
  <c r="AF25" i="6" s="1"/>
  <c r="AG25" i="6" s="1"/>
  <c r="AA25" i="6"/>
  <c r="AB25" i="6"/>
  <c r="AD25" i="6"/>
  <c r="BO25" i="6"/>
  <c r="BP25" i="6" s="1"/>
  <c r="BQ25" i="6"/>
  <c r="BR25" i="6"/>
  <c r="BS25" i="6"/>
  <c r="W26" i="6"/>
  <c r="X26" i="6"/>
  <c r="M26" i="6" s="1"/>
  <c r="Y26" i="6"/>
  <c r="Z26" i="6" s="1"/>
  <c r="AA26" i="6"/>
  <c r="AB26" i="6"/>
  <c r="AC26" i="6" s="1"/>
  <c r="AE26" i="6" s="1"/>
  <c r="AF26" i="6" s="1"/>
  <c r="AG26" i="6" s="1"/>
  <c r="AD26" i="6"/>
  <c r="BO26" i="6"/>
  <c r="BQ26" i="6" s="1"/>
  <c r="BP26" i="6"/>
  <c r="BS26" i="6"/>
  <c r="W27" i="6"/>
  <c r="X27" i="6" s="1"/>
  <c r="M27" i="6" s="1"/>
  <c r="Y27" i="6"/>
  <c r="Z27" i="6"/>
  <c r="AA27" i="6"/>
  <c r="AB27" i="6" s="1"/>
  <c r="AC27" i="6"/>
  <c r="AE27" i="6" s="1"/>
  <c r="AF27" i="6" s="1"/>
  <c r="AG27" i="6" s="1"/>
  <c r="AD27" i="6"/>
  <c r="BD27" i="6"/>
  <c r="BO27" i="6"/>
  <c r="BP27" i="6" s="1"/>
  <c r="BS27" i="6"/>
  <c r="CA27" i="6"/>
  <c r="CA28" i="6" s="1"/>
  <c r="W28" i="6"/>
  <c r="X28" i="6"/>
  <c r="M28" i="6" s="1"/>
  <c r="Y28" i="6"/>
  <c r="Z28" i="6" s="1"/>
  <c r="AA28" i="6"/>
  <c r="AB28" i="6"/>
  <c r="AC28" i="6" s="1"/>
  <c r="AE28" i="6" s="1"/>
  <c r="AF28" i="6" s="1"/>
  <c r="AG28" i="6" s="1"/>
  <c r="AD28" i="6"/>
  <c r="BD28" i="6"/>
  <c r="BD29" i="6" s="1"/>
  <c r="BO28" i="6"/>
  <c r="BP28" i="6" s="1"/>
  <c r="BQ28" i="6"/>
  <c r="BR28" i="6"/>
  <c r="BS28" i="6"/>
  <c r="AX29" i="6"/>
  <c r="AY29" i="6"/>
  <c r="AZ29" i="6"/>
  <c r="BA29" i="6"/>
  <c r="BO29" i="6"/>
  <c r="BQ29" i="6" s="1"/>
  <c r="BP29" i="6"/>
  <c r="BS29" i="6"/>
  <c r="CA29" i="6"/>
  <c r="W30" i="6"/>
  <c r="X30" i="6"/>
  <c r="M30" i="6" s="1"/>
  <c r="AX22" i="6" s="1"/>
  <c r="Y30" i="6"/>
  <c r="Z30" i="6"/>
  <c r="AA30" i="6"/>
  <c r="AB30" i="6"/>
  <c r="AC30" i="6" s="1"/>
  <c r="AE30" i="6" s="1"/>
  <c r="AD30" i="6"/>
  <c r="AF30" i="6"/>
  <c r="AG30" i="6" s="1"/>
  <c r="BO30" i="6"/>
  <c r="BQ30" i="6" s="1"/>
  <c r="BP30" i="6"/>
  <c r="BR30" i="6"/>
  <c r="BS30" i="6"/>
  <c r="W31" i="6"/>
  <c r="X31" i="6"/>
  <c r="M31" i="6" s="1"/>
  <c r="AY22" i="6" s="1"/>
  <c r="Y31" i="6"/>
  <c r="Z31" i="6"/>
  <c r="AA31" i="6"/>
  <c r="AB31" i="6"/>
  <c r="AC31" i="6" s="1"/>
  <c r="AE31" i="6" s="1"/>
  <c r="AD31" i="6"/>
  <c r="AF31" i="6"/>
  <c r="AG31" i="6" s="1"/>
  <c r="BO31" i="6"/>
  <c r="BQ31" i="6" s="1"/>
  <c r="BP31" i="6"/>
  <c r="BR31" i="6"/>
  <c r="BS31" i="6"/>
  <c r="W32" i="6"/>
  <c r="X32" i="6"/>
  <c r="M32" i="6" s="1"/>
  <c r="AZ22" i="6" s="1"/>
  <c r="Y32" i="6"/>
  <c r="Z32" i="6"/>
  <c r="AA32" i="6"/>
  <c r="AB32" i="6"/>
  <c r="AC32" i="6" s="1"/>
  <c r="AE32" i="6" s="1"/>
  <c r="AF32" i="6" s="1"/>
  <c r="AG32" i="6" s="1"/>
  <c r="AD32" i="6"/>
  <c r="BD32" i="6"/>
  <c r="BO32" i="6"/>
  <c r="BR32" i="6" s="1"/>
  <c r="BQ32" i="6"/>
  <c r="BS32" i="6"/>
  <c r="CA32" i="6"/>
  <c r="M33" i="6"/>
  <c r="BA22" i="6" s="1"/>
  <c r="W33" i="6"/>
  <c r="X33" i="6"/>
  <c r="Y33" i="6"/>
  <c r="Z33" i="6"/>
  <c r="AA33" i="6"/>
  <c r="AB33" i="6" s="1"/>
  <c r="AD33" i="6"/>
  <c r="BD33" i="6"/>
  <c r="BO33" i="6"/>
  <c r="BP33" i="6"/>
  <c r="BS33" i="6"/>
  <c r="CA33" i="6"/>
  <c r="CA34" i="6" s="1"/>
  <c r="BD34" i="6"/>
  <c r="BO34" i="6"/>
  <c r="BP34" i="6" s="1"/>
  <c r="BQ34" i="6"/>
  <c r="BR34" i="6"/>
  <c r="BD35" i="6"/>
  <c r="BO35" i="6"/>
  <c r="BP35" i="6" s="1"/>
  <c r="BQ35" i="6"/>
  <c r="BR35" i="6"/>
  <c r="CA35" i="6"/>
  <c r="BD36" i="6"/>
  <c r="BO36" i="6"/>
  <c r="BP36" i="6" s="1"/>
  <c r="BQ36" i="6"/>
  <c r="CA36" i="6"/>
  <c r="CA37" i="6" s="1"/>
  <c r="AX37" i="6"/>
  <c r="AY37" i="6"/>
  <c r="AZ37" i="6"/>
  <c r="BA37" i="6"/>
  <c r="BD37" i="6"/>
  <c r="BO37" i="6"/>
  <c r="AX38" i="6"/>
  <c r="AY38" i="6"/>
  <c r="AZ38" i="6"/>
  <c r="BA38" i="6"/>
  <c r="BO38" i="6"/>
  <c r="AX39" i="6"/>
  <c r="AY39" i="6"/>
  <c r="AZ39" i="6"/>
  <c r="BA39" i="6"/>
  <c r="W40" i="6"/>
  <c r="X40" i="6"/>
  <c r="M40" i="6" s="1"/>
  <c r="Y40" i="6"/>
  <c r="Z40" i="6"/>
  <c r="AA40" i="6"/>
  <c r="AB40" i="6"/>
  <c r="AD40" i="6"/>
  <c r="AX40" i="6"/>
  <c r="AY40" i="6"/>
  <c r="AZ40" i="6"/>
  <c r="BA40" i="6"/>
  <c r="W41" i="6"/>
  <c r="X41" i="6"/>
  <c r="M41" i="6" s="1"/>
  <c r="Y41" i="6"/>
  <c r="Z41" i="6" s="1"/>
  <c r="AA41" i="6"/>
  <c r="AB41" i="6"/>
  <c r="AC41" i="6" s="1"/>
  <c r="AE41" i="6" s="1"/>
  <c r="AF41" i="6" s="1"/>
  <c r="AG41" i="6" s="1"/>
  <c r="AD41" i="6"/>
  <c r="AX41" i="6"/>
  <c r="AY41" i="6"/>
  <c r="AZ41" i="6"/>
  <c r="BA41" i="6"/>
  <c r="W42" i="6"/>
  <c r="X42" i="6"/>
  <c r="M42" i="6" s="1"/>
  <c r="Y42" i="6"/>
  <c r="Z42" i="6" s="1"/>
  <c r="AC42" i="6" s="1"/>
  <c r="AE42" i="6" s="1"/>
  <c r="AF42" i="6" s="1"/>
  <c r="AG42" i="6" s="1"/>
  <c r="AA42" i="6"/>
  <c r="AB42" i="6"/>
  <c r="AD42" i="6"/>
  <c r="BI42" i="6"/>
  <c r="BI43" i="6" s="1"/>
  <c r="M43" i="6"/>
  <c r="W43" i="6"/>
  <c r="X43" i="6"/>
  <c r="Y43" i="6"/>
  <c r="Z43" i="6"/>
  <c r="AA43" i="6"/>
  <c r="AB43" i="6"/>
  <c r="AD43" i="6"/>
  <c r="W44" i="6"/>
  <c r="X44" i="6"/>
  <c r="M44" i="6" s="1"/>
  <c r="Y44" i="6"/>
  <c r="Z44" i="6" s="1"/>
  <c r="AA44" i="6"/>
  <c r="AB44" i="6"/>
  <c r="AD44" i="6"/>
  <c r="W45" i="6"/>
  <c r="X45" i="6"/>
  <c r="M45" i="6" s="1"/>
  <c r="Y45" i="6"/>
  <c r="Z45" i="6" s="1"/>
  <c r="AA45" i="6"/>
  <c r="AB45" i="6" s="1"/>
  <c r="AC45" i="6" s="1"/>
  <c r="AE45" i="6" s="1"/>
  <c r="AF45" i="6" s="1"/>
  <c r="AG45" i="6" s="1"/>
  <c r="AD45" i="6"/>
  <c r="M46" i="6"/>
  <c r="W46" i="6"/>
  <c r="X46" i="6"/>
  <c r="Y46" i="6"/>
  <c r="Z46" i="6"/>
  <c r="AA46" i="6"/>
  <c r="AB46" i="6"/>
  <c r="AD46" i="6"/>
  <c r="W47" i="6"/>
  <c r="X47" i="6" s="1"/>
  <c r="M47" i="6" s="1"/>
  <c r="Y47" i="6"/>
  <c r="Z47" i="6"/>
  <c r="AA47" i="6"/>
  <c r="AB47" i="6" s="1"/>
  <c r="AD47" i="6"/>
  <c r="W48" i="6"/>
  <c r="X48" i="6"/>
  <c r="M48" i="6" s="1"/>
  <c r="Y48" i="6"/>
  <c r="Z48" i="6"/>
  <c r="AA48" i="6"/>
  <c r="AB48" i="6"/>
  <c r="AC48" i="6" s="1"/>
  <c r="AE48" i="6" s="1"/>
  <c r="AF48" i="6" s="1"/>
  <c r="AG48" i="6" s="1"/>
  <c r="AD48" i="6"/>
  <c r="W49" i="6"/>
  <c r="X49" i="6" s="1"/>
  <c r="M49" i="6" s="1"/>
  <c r="Y49" i="6"/>
  <c r="Z49" i="6" s="1"/>
  <c r="AA49" i="6"/>
  <c r="AB49" i="6" s="1"/>
  <c r="AC49" i="6" s="1"/>
  <c r="AE49" i="6" s="1"/>
  <c r="AF49" i="6" s="1"/>
  <c r="AG49" i="6" s="1"/>
  <c r="AD49" i="6"/>
  <c r="M50" i="6"/>
  <c r="W50" i="6"/>
  <c r="X50" i="6"/>
  <c r="Y50" i="6"/>
  <c r="Z50" i="6"/>
  <c r="AA50" i="6"/>
  <c r="AB50" i="6"/>
  <c r="AC50" i="6" s="1"/>
  <c r="AE50" i="6" s="1"/>
  <c r="AF50" i="6" s="1"/>
  <c r="AG50" i="6" s="1"/>
  <c r="AD50" i="6"/>
  <c r="W51" i="6"/>
  <c r="X51" i="6" s="1"/>
  <c r="M51" i="6" s="1"/>
  <c r="Y51" i="6"/>
  <c r="Z51" i="6" s="1"/>
  <c r="AA51" i="6"/>
  <c r="AB51" i="6" s="1"/>
  <c r="AC51" i="6" s="1"/>
  <c r="AE51" i="6" s="1"/>
  <c r="AF51" i="6" s="1"/>
  <c r="AG51" i="6" s="1"/>
  <c r="AD51" i="6"/>
  <c r="W18" i="4"/>
  <c r="X18" i="4" s="1"/>
  <c r="M18" i="4" s="1"/>
  <c r="AX22" i="4" s="1"/>
  <c r="Y18" i="4"/>
  <c r="Z18" i="4" s="1"/>
  <c r="AA18" i="4"/>
  <c r="AB18" i="4" s="1"/>
  <c r="AD18" i="4"/>
  <c r="AY18" i="4"/>
  <c r="BM12" i="4" s="1"/>
  <c r="AZ18" i="4"/>
  <c r="BN12" i="4" s="1"/>
  <c r="BA18" i="4"/>
  <c r="BO12" i="4" s="1"/>
  <c r="BB18" i="4"/>
  <c r="BP12" i="4" s="1"/>
  <c r="W19" i="4"/>
  <c r="X19" i="4" s="1"/>
  <c r="M19" i="4" s="1"/>
  <c r="AY22" i="4" s="1"/>
  <c r="Y19" i="4"/>
  <c r="Z19" i="4" s="1"/>
  <c r="AA19" i="4"/>
  <c r="AB19" i="4" s="1"/>
  <c r="AD19" i="4"/>
  <c r="W20" i="4"/>
  <c r="X20" i="4" s="1"/>
  <c r="M20" i="4" s="1"/>
  <c r="AZ22" i="4" s="1"/>
  <c r="Y20" i="4"/>
  <c r="Z20" i="4" s="1"/>
  <c r="AA20" i="4"/>
  <c r="AB20" i="4" s="1"/>
  <c r="AD20" i="4"/>
  <c r="CE20" i="4"/>
  <c r="CQ20" i="4"/>
  <c r="CQ21" i="4" s="1"/>
  <c r="CQ22" i="4" s="1"/>
  <c r="CQ23" i="4" s="1"/>
  <c r="CQ24" i="4" s="1"/>
  <c r="CQ25" i="4" s="1"/>
  <c r="W21" i="4"/>
  <c r="X21" i="4" s="1"/>
  <c r="M21" i="4" s="1"/>
  <c r="BA22" i="4" s="1"/>
  <c r="Y21" i="4"/>
  <c r="Z21" i="4" s="1"/>
  <c r="AA21" i="4"/>
  <c r="AB21" i="4" s="1"/>
  <c r="AD21" i="4"/>
  <c r="CE21" i="4"/>
  <c r="CF21" i="4" s="1"/>
  <c r="W22" i="4"/>
  <c r="X22" i="4" s="1"/>
  <c r="M22" i="4" s="1"/>
  <c r="BB22" i="4" s="1"/>
  <c r="Y22" i="4"/>
  <c r="Z22" i="4" s="1"/>
  <c r="AA22" i="4"/>
  <c r="AB22" i="4" s="1"/>
  <c r="AD22" i="4"/>
  <c r="CE22" i="4"/>
  <c r="CF22" i="4" s="1"/>
  <c r="W23" i="4"/>
  <c r="X23" i="4" s="1"/>
  <c r="M23" i="4" s="1"/>
  <c r="BC22" i="4" s="1"/>
  <c r="Y23" i="4"/>
  <c r="Z23" i="4" s="1"/>
  <c r="AA23" i="4"/>
  <c r="AB23" i="4" s="1"/>
  <c r="AD23" i="4"/>
  <c r="CE23" i="4"/>
  <c r="CG23" i="4" s="1"/>
  <c r="W24" i="4"/>
  <c r="X24" i="4" s="1"/>
  <c r="M24" i="4" s="1"/>
  <c r="BD22" i="4" s="1"/>
  <c r="Y24" i="4"/>
  <c r="Z24" i="4" s="1"/>
  <c r="AA24" i="4"/>
  <c r="AB24" i="4" s="1"/>
  <c r="AD24" i="4"/>
  <c r="CE24" i="4"/>
  <c r="W25" i="4"/>
  <c r="X25" i="4" s="1"/>
  <c r="M25" i="4" s="1"/>
  <c r="BE22" i="4" s="1"/>
  <c r="Y25" i="4"/>
  <c r="Z25" i="4" s="1"/>
  <c r="AA25" i="4"/>
  <c r="AB25" i="4" s="1"/>
  <c r="AD25" i="4"/>
  <c r="CE25" i="4"/>
  <c r="CF25" i="4" s="1"/>
  <c r="W26" i="4"/>
  <c r="X26" i="4" s="1"/>
  <c r="M26" i="4" s="1"/>
  <c r="BF22" i="4" s="1"/>
  <c r="Y26" i="4"/>
  <c r="Z26" i="4" s="1"/>
  <c r="AA26" i="4"/>
  <c r="AB26" i="4" s="1"/>
  <c r="AD26" i="4"/>
  <c r="CE26" i="4"/>
  <c r="CG26" i="4" s="1"/>
  <c r="W27" i="4"/>
  <c r="X27" i="4" s="1"/>
  <c r="M27" i="4" s="1"/>
  <c r="BH22" i="4" s="1"/>
  <c r="Y27" i="4"/>
  <c r="Z27" i="4" s="1"/>
  <c r="AA27" i="4"/>
  <c r="AB27" i="4" s="1"/>
  <c r="AD27" i="4"/>
  <c r="CE27" i="4"/>
  <c r="CH27" i="4" s="1"/>
  <c r="CQ27" i="4"/>
  <c r="CQ28" i="4" s="1"/>
  <c r="CQ29" i="4" s="1"/>
  <c r="W28" i="4"/>
  <c r="X28" i="4" s="1"/>
  <c r="M28" i="4" s="1"/>
  <c r="BI22" i="4" s="1"/>
  <c r="Y28" i="4"/>
  <c r="Z28" i="4" s="1"/>
  <c r="AA28" i="4"/>
  <c r="AB28" i="4" s="1"/>
  <c r="AD28" i="4"/>
  <c r="CE28" i="4"/>
  <c r="CF28" i="4" s="1"/>
  <c r="AY29" i="4"/>
  <c r="AZ29" i="4"/>
  <c r="BA29" i="4"/>
  <c r="CE29" i="4"/>
  <c r="CH29" i="4" s="1"/>
  <c r="W30" i="4"/>
  <c r="X30" i="4" s="1"/>
  <c r="M30" i="4" s="1"/>
  <c r="Y30" i="4"/>
  <c r="Z30" i="4" s="1"/>
  <c r="AA30" i="4"/>
  <c r="AB30" i="4" s="1"/>
  <c r="AD30" i="4"/>
  <c r="CE30" i="4"/>
  <c r="CF30" i="4" s="1"/>
  <c r="W31" i="4"/>
  <c r="X31" i="4" s="1"/>
  <c r="M31" i="4" s="1"/>
  <c r="Y31" i="4"/>
  <c r="Z31" i="4" s="1"/>
  <c r="AA31" i="4"/>
  <c r="AB31" i="4" s="1"/>
  <c r="AD31" i="4"/>
  <c r="CE31" i="4"/>
  <c r="CG31" i="4" s="1"/>
  <c r="W32" i="4"/>
  <c r="X32" i="4" s="1"/>
  <c r="M32" i="4" s="1"/>
  <c r="Y32" i="4"/>
  <c r="Z32" i="4" s="1"/>
  <c r="AA32" i="4"/>
  <c r="AB32" i="4" s="1"/>
  <c r="AD32" i="4"/>
  <c r="CE32" i="4"/>
  <c r="CG32" i="4" s="1"/>
  <c r="CQ32" i="4"/>
  <c r="CQ33" i="4" s="1"/>
  <c r="CQ34" i="4" s="1"/>
  <c r="CQ35" i="4" s="1"/>
  <c r="CQ36" i="4" s="1"/>
  <c r="CQ37" i="4" s="1"/>
  <c r="W33" i="4"/>
  <c r="X33" i="4" s="1"/>
  <c r="M33" i="4" s="1"/>
  <c r="Y33" i="4"/>
  <c r="Z33" i="4" s="1"/>
  <c r="AA33" i="4"/>
  <c r="AB33" i="4" s="1"/>
  <c r="AD33" i="4"/>
  <c r="CE33" i="4"/>
  <c r="CG33" i="4" s="1"/>
  <c r="CE34" i="4"/>
  <c r="CG34" i="4" s="1"/>
  <c r="CE35" i="4"/>
  <c r="CG35" i="4" s="1"/>
  <c r="CE36" i="4"/>
  <c r="CG36" i="4" s="1"/>
  <c r="AX37" i="4"/>
  <c r="AY37" i="4"/>
  <c r="AZ37" i="4"/>
  <c r="BA37" i="4"/>
  <c r="BB37" i="4"/>
  <c r="CE37" i="4"/>
  <c r="AX38" i="4"/>
  <c r="AY38" i="4"/>
  <c r="AZ38" i="4"/>
  <c r="BA38" i="4"/>
  <c r="BB38" i="4"/>
  <c r="BK38" i="4"/>
  <c r="CE38" i="4"/>
  <c r="AX39" i="4"/>
  <c r="AY39" i="4"/>
  <c r="AZ39" i="4"/>
  <c r="BA39" i="4"/>
  <c r="BB39" i="4"/>
  <c r="W40" i="4"/>
  <c r="X40" i="4" s="1"/>
  <c r="M40" i="4" s="1"/>
  <c r="Y40" i="4"/>
  <c r="Z40" i="4" s="1"/>
  <c r="AA40" i="4"/>
  <c r="AB40" i="4" s="1"/>
  <c r="AD40" i="4"/>
  <c r="AX40" i="4"/>
  <c r="AY40" i="4"/>
  <c r="AZ40" i="4"/>
  <c r="BA40" i="4"/>
  <c r="BB40" i="4"/>
  <c r="W41" i="4"/>
  <c r="X41" i="4" s="1"/>
  <c r="M41" i="4" s="1"/>
  <c r="Y41" i="4"/>
  <c r="Z41" i="4" s="1"/>
  <c r="AA41" i="4"/>
  <c r="AB41" i="4" s="1"/>
  <c r="AD41" i="4"/>
  <c r="AX41" i="4"/>
  <c r="AY41" i="4"/>
  <c r="AZ41" i="4"/>
  <c r="BA41" i="4"/>
  <c r="BB41" i="4"/>
  <c r="W42" i="4"/>
  <c r="X42" i="4" s="1"/>
  <c r="M42" i="4" s="1"/>
  <c r="Y42" i="4"/>
  <c r="Z42" i="4" s="1"/>
  <c r="AA42" i="4"/>
  <c r="AB42" i="4" s="1"/>
  <c r="AD42" i="4"/>
  <c r="BY42" i="4"/>
  <c r="BY43" i="4" s="1"/>
  <c r="W43" i="4"/>
  <c r="X43" i="4" s="1"/>
  <c r="M43" i="4" s="1"/>
  <c r="Y43" i="4"/>
  <c r="Z43" i="4" s="1"/>
  <c r="AA43" i="4"/>
  <c r="AB43" i="4" s="1"/>
  <c r="AD43" i="4"/>
  <c r="W44" i="4"/>
  <c r="X44" i="4" s="1"/>
  <c r="M44" i="4" s="1"/>
  <c r="Y44" i="4"/>
  <c r="Z44" i="4" s="1"/>
  <c r="AA44" i="4"/>
  <c r="AB44" i="4" s="1"/>
  <c r="AD44" i="4"/>
  <c r="W45" i="4"/>
  <c r="X45" i="4" s="1"/>
  <c r="M45" i="4" s="1"/>
  <c r="Y45" i="4"/>
  <c r="Z45" i="4" s="1"/>
  <c r="AA45" i="4"/>
  <c r="AB45" i="4" s="1"/>
  <c r="AD45" i="4"/>
  <c r="BK45" i="4"/>
  <c r="W46" i="4"/>
  <c r="X46" i="4" s="1"/>
  <c r="M46" i="4" s="1"/>
  <c r="Y46" i="4"/>
  <c r="Z46" i="4" s="1"/>
  <c r="AA46" i="4"/>
  <c r="AB46" i="4" s="1"/>
  <c r="AD46" i="4"/>
  <c r="W47" i="4"/>
  <c r="X47" i="4" s="1"/>
  <c r="M47" i="4" s="1"/>
  <c r="Y47" i="4"/>
  <c r="Z47" i="4" s="1"/>
  <c r="AA47" i="4"/>
  <c r="AB47" i="4" s="1"/>
  <c r="AD47" i="4"/>
  <c r="W48" i="4"/>
  <c r="X48" i="4" s="1"/>
  <c r="M48" i="4" s="1"/>
  <c r="Y48" i="4"/>
  <c r="Z48" i="4" s="1"/>
  <c r="AA48" i="4"/>
  <c r="AB48" i="4" s="1"/>
  <c r="AD48" i="4"/>
  <c r="W49" i="4"/>
  <c r="X49" i="4" s="1"/>
  <c r="M49" i="4" s="1"/>
  <c r="Y49" i="4"/>
  <c r="Z49" i="4" s="1"/>
  <c r="AA49" i="4"/>
  <c r="AB49" i="4" s="1"/>
  <c r="AD49" i="4"/>
  <c r="W50" i="4"/>
  <c r="X50" i="4" s="1"/>
  <c r="M50" i="4" s="1"/>
  <c r="BG22" i="4" s="1"/>
  <c r="Y50" i="4"/>
  <c r="Z50" i="4" s="1"/>
  <c r="AA50" i="4"/>
  <c r="AB50" i="4" s="1"/>
  <c r="AD50" i="4"/>
  <c r="BK50" i="4"/>
  <c r="W51" i="4"/>
  <c r="X51" i="4" s="1"/>
  <c r="M51" i="4" s="1"/>
  <c r="Y51" i="4"/>
  <c r="Z51" i="4" s="1"/>
  <c r="AA51" i="4"/>
  <c r="AB51" i="4" s="1"/>
  <c r="AD51" i="4"/>
  <c r="W53" i="4"/>
  <c r="X53" i="4" s="1"/>
  <c r="M53" i="4" s="1"/>
  <c r="Y53" i="4"/>
  <c r="Z53" i="4" s="1"/>
  <c r="AA53" i="4"/>
  <c r="AB53" i="4" s="1"/>
  <c r="AD53" i="4"/>
  <c r="W54" i="4"/>
  <c r="X54" i="4" s="1"/>
  <c r="M54" i="4" s="1"/>
  <c r="Y54" i="4"/>
  <c r="Z54" i="4" s="1"/>
  <c r="AA54" i="4"/>
  <c r="AB54" i="4" s="1"/>
  <c r="AD54" i="4"/>
  <c r="W55" i="4"/>
  <c r="X55" i="4" s="1"/>
  <c r="M55" i="4" s="1"/>
  <c r="Y55" i="4"/>
  <c r="Z55" i="4" s="1"/>
  <c r="AA55" i="4"/>
  <c r="AB55" i="4" s="1"/>
  <c r="AD55" i="4"/>
  <c r="AH49" i="6" l="1"/>
  <c r="R49" i="6"/>
  <c r="AI49" i="6"/>
  <c r="AJ49" i="6" s="1"/>
  <c r="R50" i="6"/>
  <c r="AI50" i="6"/>
  <c r="AJ50" i="6" s="1"/>
  <c r="AH50" i="6"/>
  <c r="AH48" i="6"/>
  <c r="R48" i="6"/>
  <c r="AI48" i="6"/>
  <c r="AJ48" i="6" s="1"/>
  <c r="AH42" i="6"/>
  <c r="R42" i="6"/>
  <c r="AI42" i="6"/>
  <c r="AH41" i="6"/>
  <c r="R41" i="6"/>
  <c r="AI41" i="6"/>
  <c r="AJ41" i="6" s="1"/>
  <c r="R51" i="6"/>
  <c r="AI51" i="6"/>
  <c r="AJ51" i="6" s="1"/>
  <c r="AH51" i="6"/>
  <c r="AH45" i="6"/>
  <c r="R45" i="6"/>
  <c r="AI45" i="6"/>
  <c r="AH32" i="6"/>
  <c r="R32" i="6"/>
  <c r="AI32" i="6"/>
  <c r="AJ32" i="6" s="1"/>
  <c r="AJ45" i="6"/>
  <c r="AH31" i="6"/>
  <c r="R31" i="6"/>
  <c r="AI31" i="6"/>
  <c r="AJ31" i="6" s="1"/>
  <c r="AC47" i="6"/>
  <c r="AE47" i="6" s="1"/>
  <c r="AF47" i="6" s="1"/>
  <c r="AG47" i="6" s="1"/>
  <c r="AC46" i="6"/>
  <c r="AE46" i="6" s="1"/>
  <c r="AF46" i="6" s="1"/>
  <c r="AG46" i="6" s="1"/>
  <c r="AH28" i="6"/>
  <c r="R28" i="6"/>
  <c r="AI28" i="6"/>
  <c r="BK51" i="4"/>
  <c r="AJ42" i="6"/>
  <c r="BK39" i="4"/>
  <c r="AC44" i="6"/>
  <c r="AE44" i="6" s="1"/>
  <c r="AF44" i="6" s="1"/>
  <c r="AG44" i="6" s="1"/>
  <c r="AC43" i="6"/>
  <c r="AE43" i="6" s="1"/>
  <c r="AF43" i="6" s="1"/>
  <c r="AG43" i="6" s="1"/>
  <c r="AH30" i="6"/>
  <c r="R30" i="6"/>
  <c r="AI30" i="6"/>
  <c r="AJ30" i="6" s="1"/>
  <c r="AH26" i="6"/>
  <c r="R26" i="6"/>
  <c r="AI26" i="6"/>
  <c r="AJ26" i="6" s="1"/>
  <c r="AC24" i="6"/>
  <c r="AE24" i="6" s="1"/>
  <c r="AF24" i="6" s="1"/>
  <c r="AG24" i="6" s="1"/>
  <c r="AC40" i="6"/>
  <c r="AE40" i="6" s="1"/>
  <c r="AF40" i="6" s="1"/>
  <c r="AG40" i="6" s="1"/>
  <c r="BQ33" i="6"/>
  <c r="BR33" i="6"/>
  <c r="AJ28" i="6"/>
  <c r="R27" i="6"/>
  <c r="AI27" i="6"/>
  <c r="AJ27" i="6" s="1"/>
  <c r="AH27" i="6"/>
  <c r="AC33" i="6"/>
  <c r="AE33" i="6" s="1"/>
  <c r="AF33" i="6" s="1"/>
  <c r="AG33" i="6" s="1"/>
  <c r="BP32" i="6"/>
  <c r="BR29" i="6"/>
  <c r="BQ27" i="6"/>
  <c r="BR27" i="6"/>
  <c r="R25" i="6"/>
  <c r="AI25" i="6"/>
  <c r="AJ25" i="6" s="1"/>
  <c r="AH25" i="6"/>
  <c r="AH19" i="6"/>
  <c r="R19" i="6"/>
  <c r="AI19" i="6"/>
  <c r="BR26" i="6"/>
  <c r="BP24" i="6"/>
  <c r="AC23" i="6"/>
  <c r="AE23" i="6" s="1"/>
  <c r="AF23" i="6" s="1"/>
  <c r="AG23" i="6" s="1"/>
  <c r="AC22" i="6"/>
  <c r="AE22" i="6" s="1"/>
  <c r="AF22" i="6" s="1"/>
  <c r="AG22" i="6" s="1"/>
  <c r="AE18" i="6"/>
  <c r="AF18" i="6" s="1"/>
  <c r="AG18" i="6" s="1"/>
  <c r="BR22" i="6"/>
  <c r="BP22" i="6"/>
  <c r="AC21" i="6"/>
  <c r="AE21" i="6" s="1"/>
  <c r="AF21" i="6" s="1"/>
  <c r="AG21" i="6" s="1"/>
  <c r="AC20" i="6"/>
  <c r="AE20" i="6" s="1"/>
  <c r="AF20" i="6" s="1"/>
  <c r="AG20" i="6" s="1"/>
  <c r="BP21" i="6"/>
  <c r="BR21" i="6"/>
  <c r="AJ19" i="6"/>
  <c r="CI27" i="4"/>
  <c r="CH28" i="4"/>
  <c r="AC32" i="4"/>
  <c r="AE32" i="4" s="1"/>
  <c r="AF32" i="4" s="1"/>
  <c r="AG32" i="4" s="1"/>
  <c r="AI32" i="4" s="1"/>
  <c r="AJ32" i="4" s="1"/>
  <c r="N32" i="4" s="1"/>
  <c r="CG27" i="4"/>
  <c r="AC47" i="4"/>
  <c r="AE47" i="4" s="1"/>
  <c r="AF47" i="4" s="1"/>
  <c r="AG47" i="4" s="1"/>
  <c r="AH47" i="4" s="1"/>
  <c r="CF27" i="4"/>
  <c r="CI23" i="4"/>
  <c r="AC23" i="4"/>
  <c r="AE23" i="4" s="1"/>
  <c r="AF23" i="4" s="1"/>
  <c r="AG23" i="4" s="1"/>
  <c r="AH23" i="4" s="1"/>
  <c r="CF23" i="4"/>
  <c r="AC55" i="4"/>
  <c r="AE55" i="4" s="1"/>
  <c r="AF55" i="4" s="1"/>
  <c r="AG55" i="4" s="1"/>
  <c r="R55" i="4" s="1"/>
  <c r="AC46" i="4"/>
  <c r="AE46" i="4" s="1"/>
  <c r="AF46" i="4" s="1"/>
  <c r="AG46" i="4" s="1"/>
  <c r="AH46" i="4" s="1"/>
  <c r="CH35" i="4"/>
  <c r="AC30" i="4"/>
  <c r="AE30" i="4" s="1"/>
  <c r="AF30" i="4" s="1"/>
  <c r="AG30" i="4" s="1"/>
  <c r="AI30" i="4" s="1"/>
  <c r="AJ30" i="4" s="1"/>
  <c r="CI29" i="4"/>
  <c r="CG28" i="4"/>
  <c r="AC53" i="4"/>
  <c r="AE53" i="4" s="1"/>
  <c r="AF53" i="4" s="1"/>
  <c r="AG53" i="4" s="1"/>
  <c r="AH53" i="4" s="1"/>
  <c r="CI26" i="4"/>
  <c r="AC24" i="4"/>
  <c r="AE24" i="4" s="1"/>
  <c r="AF24" i="4" s="1"/>
  <c r="AG24" i="4" s="1"/>
  <c r="R24" i="4" s="1"/>
  <c r="CH34" i="4"/>
  <c r="AC31" i="4"/>
  <c r="AE31" i="4" s="1"/>
  <c r="AF31" i="4" s="1"/>
  <c r="AG31" i="4" s="1"/>
  <c r="R31" i="4" s="1"/>
  <c r="CI28" i="4"/>
  <c r="AC27" i="4"/>
  <c r="AE27" i="4" s="1"/>
  <c r="AF27" i="4" s="1"/>
  <c r="AG27" i="4" s="1"/>
  <c r="AH27" i="4" s="1"/>
  <c r="AC21" i="4"/>
  <c r="AE21" i="4" s="1"/>
  <c r="AF21" i="4" s="1"/>
  <c r="AG21" i="4" s="1"/>
  <c r="AH21" i="4" s="1"/>
  <c r="AC51" i="4"/>
  <c r="AE51" i="4" s="1"/>
  <c r="AF51" i="4" s="1"/>
  <c r="AG51" i="4" s="1"/>
  <c r="R51" i="4" s="1"/>
  <c r="AC49" i="4"/>
  <c r="AE49" i="4" s="1"/>
  <c r="AF49" i="4" s="1"/>
  <c r="AG49" i="4" s="1"/>
  <c r="AH49" i="4" s="1"/>
  <c r="CI33" i="4"/>
  <c r="CI32" i="4"/>
  <c r="CI31" i="4"/>
  <c r="CH25" i="4"/>
  <c r="AC25" i="4"/>
  <c r="AE25" i="4" s="1"/>
  <c r="AF25" i="4" s="1"/>
  <c r="AG25" i="4" s="1"/>
  <c r="R25" i="4" s="1"/>
  <c r="CH23" i="4"/>
  <c r="AC50" i="4"/>
  <c r="AE50" i="4" s="1"/>
  <c r="AF50" i="4" s="1"/>
  <c r="AG50" i="4" s="1"/>
  <c r="R50" i="4" s="1"/>
  <c r="AC48" i="4"/>
  <c r="AE48" i="4" s="1"/>
  <c r="AF48" i="4" s="1"/>
  <c r="AG48" i="4" s="1"/>
  <c r="AH48" i="4" s="1"/>
  <c r="AC41" i="4"/>
  <c r="AE41" i="4" s="1"/>
  <c r="AF41" i="4" s="1"/>
  <c r="AG41" i="4" s="1"/>
  <c r="R41" i="4" s="1"/>
  <c r="CG30" i="4"/>
  <c r="CG25" i="4"/>
  <c r="AC22" i="4"/>
  <c r="AE22" i="4" s="1"/>
  <c r="AF22" i="4" s="1"/>
  <c r="AG22" i="4" s="1"/>
  <c r="R22" i="4" s="1"/>
  <c r="AC26" i="4"/>
  <c r="AE26" i="4" s="1"/>
  <c r="AF26" i="4" s="1"/>
  <c r="AG26" i="4" s="1"/>
  <c r="R26" i="4" s="1"/>
  <c r="CI25" i="4"/>
  <c r="AC45" i="4"/>
  <c r="AE45" i="4" s="1"/>
  <c r="AF45" i="4" s="1"/>
  <c r="AG45" i="4" s="1"/>
  <c r="AC44" i="4"/>
  <c r="AE44" i="4" s="1"/>
  <c r="AF44" i="4" s="1"/>
  <c r="AG44" i="4" s="1"/>
  <c r="AH41" i="4"/>
  <c r="AC28" i="4"/>
  <c r="AE28" i="4" s="1"/>
  <c r="AF28" i="4" s="1"/>
  <c r="AG28" i="4" s="1"/>
  <c r="AH51" i="4"/>
  <c r="AC54" i="4"/>
  <c r="AE54" i="4" s="1"/>
  <c r="AF54" i="4" s="1"/>
  <c r="AG54" i="4" s="1"/>
  <c r="AI53" i="4"/>
  <c r="AJ53" i="4" s="1"/>
  <c r="AO32" i="4"/>
  <c r="AP32" i="4" s="1"/>
  <c r="AH55" i="4"/>
  <c r="AI55" i="4"/>
  <c r="AJ55" i="4" s="1"/>
  <c r="AH24" i="4"/>
  <c r="BK52" i="4"/>
  <c r="BK46" i="4"/>
  <c r="AC42" i="4"/>
  <c r="AE42" i="4" s="1"/>
  <c r="AF42" i="4" s="1"/>
  <c r="AG42" i="4" s="1"/>
  <c r="AH25" i="4"/>
  <c r="AH26" i="4"/>
  <c r="AI26" i="4"/>
  <c r="AJ26" i="4" s="1"/>
  <c r="CF24" i="4"/>
  <c r="CG24" i="4"/>
  <c r="CI24" i="4"/>
  <c r="AC43" i="4"/>
  <c r="AE43" i="4" s="1"/>
  <c r="AF43" i="4" s="1"/>
  <c r="AG43" i="4" s="1"/>
  <c r="AC40" i="4"/>
  <c r="AE40" i="4" s="1"/>
  <c r="AF40" i="4" s="1"/>
  <c r="AG40" i="4" s="1"/>
  <c r="CH24" i="4"/>
  <c r="CF36" i="4"/>
  <c r="CF35" i="4"/>
  <c r="CF34" i="4"/>
  <c r="CF33" i="4"/>
  <c r="CH33" i="4"/>
  <c r="CF31" i="4"/>
  <c r="CH31" i="4"/>
  <c r="CF26" i="4"/>
  <c r="CH26" i="4"/>
  <c r="AC33" i="4"/>
  <c r="AE33" i="4" s="1"/>
  <c r="AF33" i="4" s="1"/>
  <c r="AG33" i="4" s="1"/>
  <c r="CH32" i="4"/>
  <c r="CF32" i="4"/>
  <c r="CH30" i="4"/>
  <c r="CI30" i="4"/>
  <c r="CG29" i="4"/>
  <c r="CF29" i="4"/>
  <c r="AC18" i="4"/>
  <c r="AE18" i="4" s="1"/>
  <c r="AF18" i="4" s="1"/>
  <c r="AG18" i="4" s="1"/>
  <c r="CH22" i="4"/>
  <c r="CG22" i="4"/>
  <c r="CI22" i="4"/>
  <c r="CG21" i="4"/>
  <c r="CH21" i="4"/>
  <c r="CI21" i="4"/>
  <c r="AC20" i="4"/>
  <c r="AE20" i="4" s="1"/>
  <c r="AF20" i="4" s="1"/>
  <c r="AG20" i="4" s="1"/>
  <c r="AC19" i="4"/>
  <c r="AE19" i="4" s="1"/>
  <c r="AF19" i="4" s="1"/>
  <c r="AG19" i="4" s="1"/>
  <c r="AO26" i="6" l="1"/>
  <c r="AP26" i="6" s="1"/>
  <c r="AL26" i="6"/>
  <c r="N26" i="6"/>
  <c r="AO41" i="6"/>
  <c r="AP41" i="6" s="1"/>
  <c r="AL41" i="6"/>
  <c r="N41" i="6"/>
  <c r="AL49" i="6"/>
  <c r="N49" i="6"/>
  <c r="AO49" i="6"/>
  <c r="AP49" i="6" s="1"/>
  <c r="N27" i="6"/>
  <c r="AL27" i="6"/>
  <c r="AO27" i="6"/>
  <c r="AP27" i="6" s="1"/>
  <c r="AO51" i="6"/>
  <c r="AP51" i="6" s="1"/>
  <c r="N51" i="6"/>
  <c r="AL51" i="6"/>
  <c r="N50" i="6"/>
  <c r="AO50" i="6"/>
  <c r="AP50" i="6" s="1"/>
  <c r="AL50" i="6"/>
  <c r="AL19" i="6"/>
  <c r="AO19" i="6"/>
  <c r="AP19" i="6" s="1"/>
  <c r="N19" i="6"/>
  <c r="R22" i="6"/>
  <c r="AI22" i="6"/>
  <c r="AJ22" i="6" s="1"/>
  <c r="AH22" i="6"/>
  <c r="AK25" i="6"/>
  <c r="O25" i="6"/>
  <c r="T30" i="6"/>
  <c r="U30" i="6" s="1"/>
  <c r="AM30" i="6"/>
  <c r="AL42" i="6"/>
  <c r="N42" i="6"/>
  <c r="AO42" i="6"/>
  <c r="AP42" i="6" s="1"/>
  <c r="R46" i="6"/>
  <c r="AI46" i="6"/>
  <c r="AJ46" i="6" s="1"/>
  <c r="AH46" i="6"/>
  <c r="AO31" i="6"/>
  <c r="AL31" i="6"/>
  <c r="N31" i="6"/>
  <c r="AK32" i="6"/>
  <c r="O32" i="6"/>
  <c r="AZ23" i="6" s="1"/>
  <c r="AZ30" i="6" s="1"/>
  <c r="AZ31" i="6" s="1"/>
  <c r="AZ32" i="6" s="1"/>
  <c r="O45" i="6"/>
  <c r="AK45" i="6"/>
  <c r="AM42" i="6"/>
  <c r="T42" i="6"/>
  <c r="U42" i="6" s="1"/>
  <c r="AO48" i="6"/>
  <c r="AP48" i="6" s="1"/>
  <c r="AL48" i="6"/>
  <c r="N48" i="6"/>
  <c r="AI50" i="4"/>
  <c r="AJ50" i="4" s="1"/>
  <c r="AL50" i="4" s="1"/>
  <c r="R53" i="4"/>
  <c r="R23" i="6"/>
  <c r="AI23" i="6"/>
  <c r="AJ23" i="6" s="1"/>
  <c r="AH23" i="6"/>
  <c r="AM19" i="6"/>
  <c r="T19" i="6"/>
  <c r="U19" i="6" s="1"/>
  <c r="N25" i="6"/>
  <c r="AL25" i="6"/>
  <c r="AO25" i="6"/>
  <c r="AP25" i="6" s="1"/>
  <c r="AM27" i="6"/>
  <c r="T27" i="6"/>
  <c r="U27" i="6" s="1"/>
  <c r="R40" i="6"/>
  <c r="AH40" i="6"/>
  <c r="AI40" i="6"/>
  <c r="AJ40" i="6" s="1"/>
  <c r="T26" i="6"/>
  <c r="U26" i="6" s="1"/>
  <c r="AM26" i="6"/>
  <c r="AK30" i="6"/>
  <c r="O30" i="6"/>
  <c r="AX23" i="6" s="1"/>
  <c r="AX30" i="6" s="1"/>
  <c r="AX31" i="6" s="1"/>
  <c r="AX32" i="6" s="1"/>
  <c r="AK28" i="6"/>
  <c r="O28" i="6"/>
  <c r="R47" i="6"/>
  <c r="AH47" i="6"/>
  <c r="AI47" i="6"/>
  <c r="AJ47" i="6" s="1"/>
  <c r="T31" i="6"/>
  <c r="U31" i="6" s="1"/>
  <c r="AM31" i="6"/>
  <c r="O51" i="6"/>
  <c r="AK51" i="6"/>
  <c r="T41" i="6"/>
  <c r="U41" i="6" s="1"/>
  <c r="AM41" i="6"/>
  <c r="O42" i="6"/>
  <c r="AK42" i="6"/>
  <c r="T48" i="6"/>
  <c r="U48" i="6" s="1"/>
  <c r="AM48" i="6"/>
  <c r="AM50" i="6"/>
  <c r="T50" i="6"/>
  <c r="U50" i="6" s="1"/>
  <c r="O19" i="6"/>
  <c r="AK19" i="6"/>
  <c r="AM25" i="6"/>
  <c r="T25" i="6"/>
  <c r="U25" i="6" s="1"/>
  <c r="R33" i="6"/>
  <c r="AI33" i="6"/>
  <c r="AJ33" i="6" s="1"/>
  <c r="AH33" i="6"/>
  <c r="AL28" i="6"/>
  <c r="N28" i="6"/>
  <c r="AO28" i="6"/>
  <c r="AP28" i="6" s="1"/>
  <c r="R24" i="6"/>
  <c r="AI24" i="6"/>
  <c r="AJ24" i="6" s="1"/>
  <c r="AH24" i="6"/>
  <c r="AK26" i="6"/>
  <c r="O26" i="6"/>
  <c r="R43" i="6"/>
  <c r="AI43" i="6"/>
  <c r="AJ43" i="6" s="1"/>
  <c r="AH43" i="6"/>
  <c r="BK40" i="4"/>
  <c r="AK31" i="6"/>
  <c r="O31" i="6"/>
  <c r="AY23" i="6" s="1"/>
  <c r="AY30" i="6" s="1"/>
  <c r="AY31" i="6" s="1"/>
  <c r="AY32" i="6" s="1"/>
  <c r="AO32" i="6"/>
  <c r="AL32" i="6"/>
  <c r="N32" i="6"/>
  <c r="AK41" i="6"/>
  <c r="O41" i="6"/>
  <c r="AK48" i="6"/>
  <c r="O48" i="6"/>
  <c r="AM49" i="6"/>
  <c r="T49" i="6"/>
  <c r="U49" i="6" s="1"/>
  <c r="R21" i="6"/>
  <c r="AI21" i="6"/>
  <c r="AJ21" i="6" s="1"/>
  <c r="AH21" i="6"/>
  <c r="AH44" i="6"/>
  <c r="R44" i="6"/>
  <c r="AI44" i="6"/>
  <c r="AJ44" i="6" s="1"/>
  <c r="AM28" i="6"/>
  <c r="T28" i="6"/>
  <c r="U28" i="6" s="1"/>
  <c r="AL45" i="6"/>
  <c r="N45" i="6"/>
  <c r="AO45" i="6"/>
  <c r="AP45" i="6" s="1"/>
  <c r="AI23" i="4"/>
  <c r="AJ23" i="4" s="1"/>
  <c r="N23" i="4" s="1"/>
  <c r="AH50" i="4"/>
  <c r="R23" i="4"/>
  <c r="AI51" i="4"/>
  <c r="AJ51" i="4" s="1"/>
  <c r="R20" i="6"/>
  <c r="AI20" i="6"/>
  <c r="AJ20" i="6" s="1"/>
  <c r="AH20" i="6"/>
  <c r="R18" i="6"/>
  <c r="AI18" i="6"/>
  <c r="AJ18" i="6" s="1"/>
  <c r="AH18" i="6"/>
  <c r="O27" i="6"/>
  <c r="AK27" i="6"/>
  <c r="AO30" i="6"/>
  <c r="AL30" i="6"/>
  <c r="N30" i="6"/>
  <c r="T32" i="6"/>
  <c r="U32" i="6" s="1"/>
  <c r="AM32" i="6"/>
  <c r="AM45" i="6"/>
  <c r="T45" i="6"/>
  <c r="U45" i="6" s="1"/>
  <c r="T51" i="6"/>
  <c r="U51" i="6" s="1"/>
  <c r="AM51" i="6"/>
  <c r="O50" i="6"/>
  <c r="AK50" i="6"/>
  <c r="O49" i="6"/>
  <c r="AK49" i="6"/>
  <c r="R32" i="4"/>
  <c r="AL32" i="4"/>
  <c r="R21" i="4"/>
  <c r="AI25" i="4"/>
  <c r="AJ25" i="4" s="1"/>
  <c r="N25" i="4" s="1"/>
  <c r="AI24" i="4"/>
  <c r="AJ24" i="4" s="1"/>
  <c r="AI27" i="4"/>
  <c r="AJ27" i="4" s="1"/>
  <c r="R27" i="4"/>
  <c r="T27" i="4" s="1"/>
  <c r="U27" i="4" s="1"/>
  <c r="AH31" i="4"/>
  <c r="AK31" i="4" s="1"/>
  <c r="AI31" i="4"/>
  <c r="AJ31" i="4" s="1"/>
  <c r="N31" i="4" s="1"/>
  <c r="R49" i="4"/>
  <c r="AI41" i="4"/>
  <c r="AJ41" i="4" s="1"/>
  <c r="AO41" i="4" s="1"/>
  <c r="AP41" i="4" s="1"/>
  <c r="AH32" i="4"/>
  <c r="AK32" i="4" s="1"/>
  <c r="AI47" i="4"/>
  <c r="AJ47" i="4" s="1"/>
  <c r="AK47" i="4" s="1"/>
  <c r="AI46" i="4"/>
  <c r="AJ46" i="4" s="1"/>
  <c r="AL46" i="4" s="1"/>
  <c r="R47" i="4"/>
  <c r="AM47" i="4" s="1"/>
  <c r="AI22" i="4"/>
  <c r="AJ22" i="4" s="1"/>
  <c r="AL22" i="4" s="1"/>
  <c r="R46" i="4"/>
  <c r="T46" i="4" s="1"/>
  <c r="U46" i="4" s="1"/>
  <c r="AI21" i="4"/>
  <c r="AJ21" i="4" s="1"/>
  <c r="N21" i="4" s="1"/>
  <c r="R30" i="4"/>
  <c r="T30" i="4" s="1"/>
  <c r="U30" i="4" s="1"/>
  <c r="AH30" i="4"/>
  <c r="O30" i="4" s="1"/>
  <c r="AI49" i="4"/>
  <c r="AJ49" i="4" s="1"/>
  <c r="AO49" i="4" s="1"/>
  <c r="AP49" i="4" s="1"/>
  <c r="AI48" i="4"/>
  <c r="AJ48" i="4" s="1"/>
  <c r="AL48" i="4" s="1"/>
  <c r="AH22" i="4"/>
  <c r="O22" i="4" s="1"/>
  <c r="BB23" i="4" s="1"/>
  <c r="R48" i="4"/>
  <c r="T48" i="4" s="1"/>
  <c r="U48" i="4" s="1"/>
  <c r="AL55" i="4"/>
  <c r="N55" i="4"/>
  <c r="AO55" i="4"/>
  <c r="AP55" i="4" s="1"/>
  <c r="N53" i="4"/>
  <c r="AO53" i="4"/>
  <c r="AP53" i="4" s="1"/>
  <c r="AL53" i="4"/>
  <c r="R40" i="4"/>
  <c r="AI40" i="4"/>
  <c r="AJ40" i="4" s="1"/>
  <c r="AH40" i="4"/>
  <c r="AM23" i="4"/>
  <c r="T23" i="4"/>
  <c r="U23" i="4" s="1"/>
  <c r="O31" i="4"/>
  <c r="AM51" i="4"/>
  <c r="T51" i="4"/>
  <c r="U51" i="4" s="1"/>
  <c r="AM41" i="4"/>
  <c r="T41" i="4"/>
  <c r="U41" i="4" s="1"/>
  <c r="B41" i="4" s="1"/>
  <c r="AL30" i="4"/>
  <c r="AO30" i="4"/>
  <c r="AP30" i="4" s="1"/>
  <c r="N30" i="4"/>
  <c r="AO26" i="4"/>
  <c r="AL26" i="4"/>
  <c r="N26" i="4"/>
  <c r="O21" i="4"/>
  <c r="BA23" i="4" s="1"/>
  <c r="AL25" i="4"/>
  <c r="AH42" i="4"/>
  <c r="R42" i="4"/>
  <c r="AI42" i="4"/>
  <c r="AJ42" i="4" s="1"/>
  <c r="BK53" i="4"/>
  <c r="AO24" i="4"/>
  <c r="AL24" i="4"/>
  <c r="N24" i="4"/>
  <c r="T50" i="4"/>
  <c r="U50" i="4" s="1"/>
  <c r="AM50" i="4"/>
  <c r="O55" i="4"/>
  <c r="AK55" i="4"/>
  <c r="O49" i="4"/>
  <c r="AK27" i="4"/>
  <c r="O27" i="4"/>
  <c r="BH23" i="4" s="1"/>
  <c r="O47" i="4"/>
  <c r="AM53" i="4"/>
  <c r="T53" i="4"/>
  <c r="U53" i="4" s="1"/>
  <c r="O51" i="4"/>
  <c r="AK51" i="4"/>
  <c r="O41" i="4"/>
  <c r="AM24" i="4"/>
  <c r="T24" i="4"/>
  <c r="U24" i="4" s="1"/>
  <c r="AK50" i="4"/>
  <c r="O50" i="4"/>
  <c r="BG23" i="4" s="1"/>
  <c r="R45" i="4"/>
  <c r="AI45" i="4"/>
  <c r="AJ45" i="4" s="1"/>
  <c r="AH45" i="4"/>
  <c r="AH19" i="4"/>
  <c r="AI19" i="4"/>
  <c r="AJ19" i="4" s="1"/>
  <c r="R19" i="4"/>
  <c r="R33" i="4"/>
  <c r="AI33" i="4"/>
  <c r="AJ33" i="4" s="1"/>
  <c r="AH33" i="4"/>
  <c r="AO31" i="4"/>
  <c r="AP31" i="4" s="1"/>
  <c r="AL31" i="4"/>
  <c r="T26" i="4"/>
  <c r="U26" i="4" s="1"/>
  <c r="AM26" i="4"/>
  <c r="T21" i="4"/>
  <c r="U21" i="4" s="1"/>
  <c r="AM21" i="4"/>
  <c r="O25" i="4"/>
  <c r="BE23" i="4" s="1"/>
  <c r="O23" i="4"/>
  <c r="BC23" i="4" s="1"/>
  <c r="AK23" i="4"/>
  <c r="O24" i="4"/>
  <c r="BD23" i="4" s="1"/>
  <c r="AK24" i="4"/>
  <c r="AM55" i="4"/>
  <c r="T55" i="4"/>
  <c r="U55" i="4" s="1"/>
  <c r="T49" i="4"/>
  <c r="U49" i="4" s="1"/>
  <c r="AM49" i="4"/>
  <c r="AH54" i="4"/>
  <c r="R54" i="4"/>
  <c r="AI54" i="4"/>
  <c r="AJ54" i="4" s="1"/>
  <c r="T31" i="4"/>
  <c r="U31" i="4" s="1"/>
  <c r="AM31" i="4"/>
  <c r="R28" i="4"/>
  <c r="AI28" i="4"/>
  <c r="AJ28" i="4" s="1"/>
  <c r="AH28" i="4"/>
  <c r="R44" i="4"/>
  <c r="AI44" i="4"/>
  <c r="AJ44" i="4" s="1"/>
  <c r="AH44" i="4"/>
  <c r="AO46" i="4"/>
  <c r="AP46" i="4" s="1"/>
  <c r="AO48" i="4"/>
  <c r="AP48" i="4" s="1"/>
  <c r="AI18" i="4"/>
  <c r="AJ18" i="4" s="1"/>
  <c r="R18" i="4"/>
  <c r="AH18" i="4"/>
  <c r="T25" i="4"/>
  <c r="U25" i="4" s="1"/>
  <c r="AM25" i="4"/>
  <c r="AL27" i="4"/>
  <c r="N27" i="4"/>
  <c r="AO27" i="4"/>
  <c r="AK46" i="4"/>
  <c r="O46" i="4"/>
  <c r="AH20" i="4"/>
  <c r="R20" i="4"/>
  <c r="AI20" i="4"/>
  <c r="AJ20" i="4" s="1"/>
  <c r="AI43" i="4"/>
  <c r="AJ43" i="4" s="1"/>
  <c r="R43" i="4"/>
  <c r="AH43" i="4"/>
  <c r="O26" i="4"/>
  <c r="BF23" i="4" s="1"/>
  <c r="AK26" i="4"/>
  <c r="AL51" i="4"/>
  <c r="N51" i="4"/>
  <c r="AO51" i="4"/>
  <c r="AP51" i="4" s="1"/>
  <c r="AM32" i="4"/>
  <c r="T32" i="4"/>
  <c r="U32" i="4" s="1"/>
  <c r="BK47" i="4"/>
  <c r="N50" i="4"/>
  <c r="BG21" i="4" s="1"/>
  <c r="BG28" i="4" s="1"/>
  <c r="BG33" i="4" s="1"/>
  <c r="T47" i="4"/>
  <c r="U47" i="4" s="1"/>
  <c r="O53" i="4"/>
  <c r="AK53" i="4"/>
  <c r="T22" i="4"/>
  <c r="U22" i="4" s="1"/>
  <c r="AM22" i="4"/>
  <c r="O48" i="4"/>
  <c r="AX25" i="6" l="1"/>
  <c r="AP30" i="6"/>
  <c r="AX24" i="6" s="1"/>
  <c r="O44" i="6"/>
  <c r="AK44" i="6"/>
  <c r="P28" i="6"/>
  <c r="S50" i="6"/>
  <c r="P50" i="6"/>
  <c r="P49" i="6"/>
  <c r="AL23" i="4"/>
  <c r="AN23" i="4" s="1"/>
  <c r="AQ27" i="6"/>
  <c r="AR27" i="6" s="1"/>
  <c r="AN27" i="6"/>
  <c r="Q27" i="6" s="1"/>
  <c r="AM18" i="6"/>
  <c r="T18" i="6"/>
  <c r="U18" i="6" s="1"/>
  <c r="AK21" i="6"/>
  <c r="O21" i="6"/>
  <c r="AZ25" i="6"/>
  <c r="AP32" i="6"/>
  <c r="AZ24" i="6" s="1"/>
  <c r="BU39" i="4"/>
  <c r="AM43" i="6"/>
  <c r="T43" i="6"/>
  <c r="U43" i="6" s="1"/>
  <c r="N24" i="6"/>
  <c r="AO24" i="6"/>
  <c r="AP24" i="6" s="1"/>
  <c r="AL24" i="6"/>
  <c r="AQ42" i="6"/>
  <c r="AR42" i="6" s="1"/>
  <c r="AN42" i="6"/>
  <c r="Q42" i="6" s="1"/>
  <c r="AN51" i="6"/>
  <c r="Q51" i="6" s="1"/>
  <c r="AQ51" i="6"/>
  <c r="AR51" i="6" s="1"/>
  <c r="N47" i="6"/>
  <c r="AO47" i="6"/>
  <c r="AP47" i="6" s="1"/>
  <c r="AL47" i="6"/>
  <c r="AQ28" i="6"/>
  <c r="AR28" i="6" s="1"/>
  <c r="S28" i="6" s="1"/>
  <c r="AN28" i="6"/>
  <c r="Q28" i="6" s="1"/>
  <c r="S25" i="6"/>
  <c r="P25" i="6"/>
  <c r="N23" i="6"/>
  <c r="AO23" i="6"/>
  <c r="AP23" i="6" s="1"/>
  <c r="AL23" i="6"/>
  <c r="AP31" i="6"/>
  <c r="AY24" i="6" s="1"/>
  <c r="AY25" i="6"/>
  <c r="AO22" i="6"/>
  <c r="AP22" i="6" s="1"/>
  <c r="N22" i="6"/>
  <c r="AL22" i="6"/>
  <c r="P26" i="6"/>
  <c r="N18" i="6"/>
  <c r="AO18" i="6"/>
  <c r="AP18" i="6" s="1"/>
  <c r="AL18" i="6"/>
  <c r="AK24" i="6"/>
  <c r="O24" i="6"/>
  <c r="AM46" i="6"/>
  <c r="T46" i="6"/>
  <c r="U46" i="6" s="1"/>
  <c r="AO23" i="4"/>
  <c r="BC25" i="4" s="1"/>
  <c r="AQ50" i="6"/>
  <c r="AR50" i="6" s="1"/>
  <c r="AN50" i="6"/>
  <c r="Q50" i="6" s="1"/>
  <c r="AX21" i="6"/>
  <c r="AX28" i="6" s="1"/>
  <c r="AX33" i="6" s="1"/>
  <c r="P30" i="6"/>
  <c r="AK20" i="6"/>
  <c r="O20" i="6"/>
  <c r="S45" i="6"/>
  <c r="P45" i="6"/>
  <c r="AL44" i="6"/>
  <c r="N44" i="6"/>
  <c r="AO44" i="6"/>
  <c r="AP44" i="6" s="1"/>
  <c r="N21" i="6"/>
  <c r="AO21" i="6"/>
  <c r="AP21" i="6" s="1"/>
  <c r="AL21" i="6"/>
  <c r="AQ41" i="6"/>
  <c r="AR41" i="6" s="1"/>
  <c r="S41" i="6" s="1"/>
  <c r="AN41" i="6"/>
  <c r="Q41" i="6" s="1"/>
  <c r="BK41" i="4"/>
  <c r="BU40" i="4"/>
  <c r="AM24" i="6"/>
  <c r="T24" i="6"/>
  <c r="U24" i="6" s="1"/>
  <c r="O33" i="6"/>
  <c r="BA23" i="6" s="1"/>
  <c r="BA30" i="6" s="1"/>
  <c r="BA31" i="6" s="1"/>
  <c r="BA32" i="6" s="1"/>
  <c r="AK33" i="6"/>
  <c r="O47" i="6"/>
  <c r="AK47" i="6"/>
  <c r="AO40" i="6"/>
  <c r="AP40" i="6" s="1"/>
  <c r="N40" i="6"/>
  <c r="AL40" i="6"/>
  <c r="AM23" i="6"/>
  <c r="T23" i="6"/>
  <c r="U23" i="6" s="1"/>
  <c r="P48" i="6"/>
  <c r="S48" i="6"/>
  <c r="AQ32" i="6"/>
  <c r="AR32" i="6" s="1"/>
  <c r="AZ27" i="6" s="1"/>
  <c r="AN32" i="6"/>
  <c r="O46" i="6"/>
  <c r="AK46" i="6"/>
  <c r="S42" i="6"/>
  <c r="P42" i="6"/>
  <c r="T22" i="6"/>
  <c r="U22" i="6" s="1"/>
  <c r="AM22" i="6"/>
  <c r="S51" i="6"/>
  <c r="P51" i="6"/>
  <c r="S27" i="6"/>
  <c r="P27" i="6"/>
  <c r="P41" i="6"/>
  <c r="AQ49" i="6"/>
  <c r="AR49" i="6" s="1"/>
  <c r="S49" i="6" s="1"/>
  <c r="AN49" i="6"/>
  <c r="Q49" i="6" s="1"/>
  <c r="T20" i="6"/>
  <c r="U20" i="6" s="1"/>
  <c r="AM20" i="6"/>
  <c r="AN48" i="6"/>
  <c r="Q48" i="6" s="1"/>
  <c r="AQ48" i="6"/>
  <c r="AR48" i="6" s="1"/>
  <c r="N43" i="6"/>
  <c r="AO43" i="6"/>
  <c r="AP43" i="6" s="1"/>
  <c r="AL43" i="6"/>
  <c r="AM33" i="6"/>
  <c r="T33" i="6"/>
  <c r="U33" i="6" s="1"/>
  <c r="T40" i="6"/>
  <c r="U40" i="6" s="1"/>
  <c r="B40" i="6" s="1"/>
  <c r="AM40" i="6"/>
  <c r="AK23" i="6"/>
  <c r="O23" i="6"/>
  <c r="AK22" i="6"/>
  <c r="O22" i="6"/>
  <c r="AO50" i="4"/>
  <c r="BU16" i="4"/>
  <c r="BU17" i="4"/>
  <c r="BU21" i="4"/>
  <c r="BU25" i="4"/>
  <c r="BU29" i="4"/>
  <c r="BU33" i="4"/>
  <c r="BU37" i="4"/>
  <c r="BU18" i="4"/>
  <c r="BU19" i="4"/>
  <c r="BU23" i="4"/>
  <c r="BU27" i="4"/>
  <c r="BU31" i="4"/>
  <c r="BU35" i="4"/>
  <c r="BU15" i="4"/>
  <c r="BU20" i="4"/>
  <c r="BU28" i="4"/>
  <c r="BU36" i="4"/>
  <c r="BU22" i="4"/>
  <c r="BU30" i="4"/>
  <c r="BU24" i="4"/>
  <c r="BU32" i="4"/>
  <c r="BG30" i="4"/>
  <c r="BG31" i="4" s="1"/>
  <c r="BG32" i="4" s="1"/>
  <c r="BU26" i="4"/>
  <c r="BU34" i="4"/>
  <c r="BU38" i="4"/>
  <c r="O32" i="4"/>
  <c r="AK18" i="6"/>
  <c r="O18" i="6"/>
  <c r="AO20" i="6"/>
  <c r="AP20" i="6" s="1"/>
  <c r="N20" i="6"/>
  <c r="AL20" i="6"/>
  <c r="AM44" i="6"/>
  <c r="T44" i="6"/>
  <c r="U44" i="6" s="1"/>
  <c r="AM21" i="6"/>
  <c r="T21" i="6"/>
  <c r="U21" i="6" s="1"/>
  <c r="AZ21" i="6"/>
  <c r="AZ28" i="6" s="1"/>
  <c r="AZ33" i="6" s="1"/>
  <c r="P32" i="6"/>
  <c r="S32" i="6"/>
  <c r="AZ20" i="6" s="1"/>
  <c r="AQ31" i="6"/>
  <c r="AR31" i="6" s="1"/>
  <c r="AY27" i="6" s="1"/>
  <c r="AN31" i="6"/>
  <c r="O43" i="6"/>
  <c r="AK43" i="6"/>
  <c r="AQ26" i="6"/>
  <c r="AR26" i="6" s="1"/>
  <c r="S26" i="6" s="1"/>
  <c r="AN26" i="6"/>
  <c r="Q26" i="6" s="1"/>
  <c r="N33" i="6"/>
  <c r="AO33" i="6"/>
  <c r="AL33" i="6"/>
  <c r="AN19" i="6"/>
  <c r="Q19" i="6" s="1"/>
  <c r="AQ19" i="6"/>
  <c r="AR19" i="6" s="1"/>
  <c r="S19" i="6" s="1"/>
  <c r="AM47" i="6"/>
  <c r="T47" i="6"/>
  <c r="U47" i="6" s="1"/>
  <c r="AQ30" i="6"/>
  <c r="AR30" i="6" s="1"/>
  <c r="AX27" i="6" s="1"/>
  <c r="AN30" i="6"/>
  <c r="AK40" i="6"/>
  <c r="O40" i="6"/>
  <c r="AQ45" i="6"/>
  <c r="AR45" i="6" s="1"/>
  <c r="AN45" i="6"/>
  <c r="Q45" i="6" s="1"/>
  <c r="AY21" i="6"/>
  <c r="AY28" i="6" s="1"/>
  <c r="AY33" i="6" s="1"/>
  <c r="P31" i="6"/>
  <c r="N46" i="6"/>
  <c r="AO46" i="6"/>
  <c r="AP46" i="6" s="1"/>
  <c r="AL46" i="6"/>
  <c r="AQ25" i="6"/>
  <c r="AR25" i="6" s="1"/>
  <c r="AN25" i="6"/>
  <c r="Q25" i="6" s="1"/>
  <c r="P19" i="6"/>
  <c r="AM48" i="4"/>
  <c r="AK30" i="4"/>
  <c r="AQ30" i="4" s="1"/>
  <c r="AR30" i="4" s="1"/>
  <c r="S30" i="4" s="1"/>
  <c r="AM27" i="4"/>
  <c r="AN27" i="4" s="1"/>
  <c r="AO22" i="4"/>
  <c r="AP22" i="4" s="1"/>
  <c r="BB24" i="4" s="1"/>
  <c r="AL41" i="4"/>
  <c r="N22" i="4"/>
  <c r="BB21" i="4" s="1"/>
  <c r="BB28" i="4" s="1"/>
  <c r="BB33" i="4" s="1"/>
  <c r="AO25" i="4"/>
  <c r="BE25" i="4" s="1"/>
  <c r="AK25" i="4"/>
  <c r="AQ25" i="4" s="1"/>
  <c r="AR25" i="4" s="1"/>
  <c r="BE27" i="4" s="1"/>
  <c r="BF30" i="4"/>
  <c r="BF31" i="4" s="1"/>
  <c r="BF32" i="4" s="1"/>
  <c r="BT18" i="4"/>
  <c r="BT22" i="4"/>
  <c r="BT26" i="4"/>
  <c r="BT30" i="4"/>
  <c r="BT34" i="4"/>
  <c r="BT17" i="4"/>
  <c r="BT21" i="4"/>
  <c r="BT25" i="4"/>
  <c r="BT29" i="4"/>
  <c r="BT33" i="4"/>
  <c r="BT37" i="4"/>
  <c r="BT16" i="4"/>
  <c r="BT20" i="4"/>
  <c r="BT24" i="4"/>
  <c r="BT28" i="4"/>
  <c r="BT32" i="4"/>
  <c r="BT36" i="4"/>
  <c r="BT31" i="4"/>
  <c r="BT23" i="4"/>
  <c r="BT15" i="4"/>
  <c r="BT35" i="4"/>
  <c r="BT19" i="4"/>
  <c r="BT27" i="4"/>
  <c r="BE30" i="4"/>
  <c r="BE31" i="4" s="1"/>
  <c r="BE32" i="4" s="1"/>
  <c r="BS17" i="4"/>
  <c r="BS21" i="4"/>
  <c r="BS25" i="4"/>
  <c r="BS29" i="4"/>
  <c r="BS33" i="4"/>
  <c r="BS37" i="4"/>
  <c r="BS16" i="4"/>
  <c r="BS20" i="4"/>
  <c r="BS24" i="4"/>
  <c r="BS28" i="4"/>
  <c r="BS32" i="4"/>
  <c r="BS36" i="4"/>
  <c r="BS40" i="4"/>
  <c r="BS19" i="4"/>
  <c r="BS23" i="4"/>
  <c r="BS27" i="4"/>
  <c r="BS31" i="4"/>
  <c r="BS35" i="4"/>
  <c r="BS39" i="4"/>
  <c r="BS18" i="4"/>
  <c r="BS34" i="4"/>
  <c r="BS22" i="4"/>
  <c r="BS26" i="4"/>
  <c r="BS30" i="4"/>
  <c r="BS38" i="4"/>
  <c r="BS15" i="4"/>
  <c r="BP18" i="4"/>
  <c r="BP22" i="4"/>
  <c r="BP26" i="4"/>
  <c r="BP30" i="4"/>
  <c r="BP34" i="4"/>
  <c r="BP38" i="4"/>
  <c r="BP17" i="4"/>
  <c r="BP21" i="4"/>
  <c r="BP25" i="4"/>
  <c r="BP29" i="4"/>
  <c r="BP33" i="4"/>
  <c r="BP37" i="4"/>
  <c r="BP16" i="4"/>
  <c r="BP20" i="4"/>
  <c r="BP24" i="4"/>
  <c r="BP28" i="4"/>
  <c r="BP32" i="4"/>
  <c r="BP36" i="4"/>
  <c r="BP27" i="4"/>
  <c r="BP31" i="4"/>
  <c r="BP35" i="4"/>
  <c r="BP39" i="4"/>
  <c r="BP19" i="4"/>
  <c r="BP23" i="4"/>
  <c r="BP15" i="4"/>
  <c r="BD30" i="4"/>
  <c r="BD31" i="4" s="1"/>
  <c r="BD32" i="4" s="1"/>
  <c r="BR16" i="4"/>
  <c r="BR20" i="4"/>
  <c r="BR24" i="4"/>
  <c r="BR28" i="4"/>
  <c r="BR32" i="4"/>
  <c r="BR36" i="4"/>
  <c r="BR40" i="4"/>
  <c r="BR19" i="4"/>
  <c r="BR23" i="4"/>
  <c r="BR27" i="4"/>
  <c r="BR31" i="4"/>
  <c r="BR35" i="4"/>
  <c r="BR39" i="4"/>
  <c r="BR18" i="4"/>
  <c r="BR22" i="4"/>
  <c r="BR26" i="4"/>
  <c r="BR30" i="4"/>
  <c r="BR34" i="4"/>
  <c r="BR38" i="4"/>
  <c r="BR21" i="4"/>
  <c r="BR37" i="4"/>
  <c r="BR15" i="4"/>
  <c r="BR17" i="4"/>
  <c r="BR25" i="4"/>
  <c r="BR29" i="4"/>
  <c r="BR33" i="4"/>
  <c r="BR41" i="4"/>
  <c r="BO17" i="4"/>
  <c r="BO21" i="4"/>
  <c r="BO25" i="4"/>
  <c r="BO29" i="4"/>
  <c r="BO33" i="4"/>
  <c r="BO37" i="4"/>
  <c r="BO41" i="4"/>
  <c r="BO16" i="4"/>
  <c r="BO20" i="4"/>
  <c r="BO24" i="4"/>
  <c r="BO28" i="4"/>
  <c r="BO32" i="4"/>
  <c r="BO36" i="4"/>
  <c r="BO40" i="4"/>
  <c r="BO19" i="4"/>
  <c r="BO23" i="4"/>
  <c r="BO27" i="4"/>
  <c r="BO31" i="4"/>
  <c r="BO35" i="4"/>
  <c r="BO39" i="4"/>
  <c r="BO30" i="4"/>
  <c r="BO34" i="4"/>
  <c r="BO38" i="4"/>
  <c r="BO22" i="4"/>
  <c r="BO15" i="4"/>
  <c r="BO18" i="4"/>
  <c r="BO26" i="4"/>
  <c r="BC30" i="4"/>
  <c r="BC31" i="4" s="1"/>
  <c r="BC32" i="4" s="1"/>
  <c r="BQ19" i="4"/>
  <c r="BQ23" i="4"/>
  <c r="BQ27" i="4"/>
  <c r="BQ31" i="4"/>
  <c r="BQ35" i="4"/>
  <c r="BQ39" i="4"/>
  <c r="BQ18" i="4"/>
  <c r="BQ22" i="4"/>
  <c r="BQ26" i="4"/>
  <c r="BQ30" i="4"/>
  <c r="BQ34" i="4"/>
  <c r="BQ38" i="4"/>
  <c r="BQ17" i="4"/>
  <c r="BQ21" i="4"/>
  <c r="BQ25" i="4"/>
  <c r="BQ29" i="4"/>
  <c r="BQ33" i="4"/>
  <c r="BQ37" i="4"/>
  <c r="BQ41" i="4"/>
  <c r="BQ24" i="4"/>
  <c r="BQ40" i="4"/>
  <c r="BQ28" i="4"/>
  <c r="BQ32" i="4"/>
  <c r="BQ36" i="4"/>
  <c r="BQ16" i="4"/>
  <c r="BQ20" i="4"/>
  <c r="BQ15" i="4"/>
  <c r="BH30" i="4"/>
  <c r="BH31" i="4" s="1"/>
  <c r="BH32" i="4" s="1"/>
  <c r="BV19" i="4"/>
  <c r="BV23" i="4"/>
  <c r="BV27" i="4"/>
  <c r="BV31" i="4"/>
  <c r="BV35" i="4"/>
  <c r="BV18" i="4"/>
  <c r="BV22" i="4"/>
  <c r="BV26" i="4"/>
  <c r="BV30" i="4"/>
  <c r="BV34" i="4"/>
  <c r="BV17" i="4"/>
  <c r="BV21" i="4"/>
  <c r="BV25" i="4"/>
  <c r="BV29" i="4"/>
  <c r="BV33" i="4"/>
  <c r="BV37" i="4"/>
  <c r="BV28" i="4"/>
  <c r="BV16" i="4"/>
  <c r="BV20" i="4"/>
  <c r="BV24" i="4"/>
  <c r="BV32" i="4"/>
  <c r="BV36" i="4"/>
  <c r="BV15" i="4"/>
  <c r="AK49" i="4"/>
  <c r="AO47" i="4"/>
  <c r="AP47" i="4" s="1"/>
  <c r="AM46" i="4"/>
  <c r="AN46" i="4" s="1"/>
  <c r="Q46" i="4" s="1"/>
  <c r="N49" i="4"/>
  <c r="P49" i="4" s="1"/>
  <c r="N47" i="4"/>
  <c r="AL49" i="4"/>
  <c r="AN49" i="4" s="1"/>
  <c r="Q49" i="4" s="1"/>
  <c r="AL47" i="4"/>
  <c r="AN47" i="4" s="1"/>
  <c r="Q47" i="4" s="1"/>
  <c r="AK48" i="4"/>
  <c r="AQ48" i="4" s="1"/>
  <c r="AR48" i="4" s="1"/>
  <c r="S48" i="4" s="1"/>
  <c r="AM30" i="4"/>
  <c r="N46" i="4"/>
  <c r="N41" i="4"/>
  <c r="P41" i="4" s="1"/>
  <c r="AL21" i="4"/>
  <c r="AK41" i="4"/>
  <c r="AK22" i="4"/>
  <c r="AK21" i="4"/>
  <c r="AQ21" i="4" s="1"/>
  <c r="AR21" i="4" s="1"/>
  <c r="BA27" i="4" s="1"/>
  <c r="AO21" i="4"/>
  <c r="AP21" i="4" s="1"/>
  <c r="BA24" i="4" s="1"/>
  <c r="N48" i="4"/>
  <c r="AO20" i="4"/>
  <c r="N20" i="4"/>
  <c r="AL20" i="4"/>
  <c r="AQ46" i="4"/>
  <c r="AR46" i="4" s="1"/>
  <c r="O28" i="4"/>
  <c r="BI23" i="4" s="1"/>
  <c r="AK28" i="4"/>
  <c r="AQ23" i="4"/>
  <c r="AR23" i="4" s="1"/>
  <c r="BC27" i="4" s="1"/>
  <c r="AM19" i="4"/>
  <c r="T19" i="4"/>
  <c r="U19" i="4" s="1"/>
  <c r="O40" i="4"/>
  <c r="AK40" i="4"/>
  <c r="AQ53" i="4"/>
  <c r="AR53" i="4" s="1"/>
  <c r="S53" i="4" s="1"/>
  <c r="AN53" i="4"/>
  <c r="Q53" i="4" s="1"/>
  <c r="AQ26" i="4"/>
  <c r="AR26" i="4" s="1"/>
  <c r="BF27" i="4" s="1"/>
  <c r="AN26" i="4"/>
  <c r="AO43" i="4"/>
  <c r="AP43" i="4" s="1"/>
  <c r="N43" i="4"/>
  <c r="AL43" i="4"/>
  <c r="P22" i="4"/>
  <c r="AM20" i="4"/>
  <c r="T20" i="4"/>
  <c r="U20" i="4" s="1"/>
  <c r="BH25" i="4"/>
  <c r="AP27" i="4"/>
  <c r="BH24" i="4" s="1"/>
  <c r="O44" i="4"/>
  <c r="AK44" i="4"/>
  <c r="N28" i="4"/>
  <c r="AL28" i="4"/>
  <c r="AO28" i="4"/>
  <c r="AL54" i="4"/>
  <c r="N54" i="4"/>
  <c r="AO54" i="4"/>
  <c r="AP54" i="4" s="1"/>
  <c r="P32" i="4"/>
  <c r="O33" i="4"/>
  <c r="AK33" i="4"/>
  <c r="AL19" i="4"/>
  <c r="AO19" i="4"/>
  <c r="N19" i="4"/>
  <c r="AM45" i="4"/>
  <c r="T45" i="4"/>
  <c r="U45" i="4" s="1"/>
  <c r="AQ51" i="4"/>
  <c r="AR51" i="4" s="1"/>
  <c r="S51" i="4" s="1"/>
  <c r="AN51" i="4"/>
  <c r="Q51" i="4" s="1"/>
  <c r="AQ47" i="4"/>
  <c r="AR47" i="4" s="1"/>
  <c r="S47" i="4" s="1"/>
  <c r="AP24" i="4"/>
  <c r="BD24" i="4" s="1"/>
  <c r="BD25" i="4"/>
  <c r="BR53" i="4" s="1"/>
  <c r="AK42" i="4"/>
  <c r="O42" i="4"/>
  <c r="BA30" i="4"/>
  <c r="BA31" i="4" s="1"/>
  <c r="BA32" i="4" s="1"/>
  <c r="BF25" i="4"/>
  <c r="BT74" i="4" s="1"/>
  <c r="AP26" i="4"/>
  <c r="BF24" i="4" s="1"/>
  <c r="AQ22" i="4"/>
  <c r="AR22" i="4" s="1"/>
  <c r="BB27" i="4" s="1"/>
  <c r="AN22" i="4"/>
  <c r="AN31" i="4"/>
  <c r="Q31" i="4" s="1"/>
  <c r="AQ31" i="4"/>
  <c r="AR31" i="4" s="1"/>
  <c r="S31" i="4" s="1"/>
  <c r="P21" i="4"/>
  <c r="BA21" i="4"/>
  <c r="BA28" i="4" s="1"/>
  <c r="BA33" i="4" s="1"/>
  <c r="N40" i="4"/>
  <c r="AL40" i="4"/>
  <c r="AO40" i="4"/>
  <c r="AP40" i="4" s="1"/>
  <c r="P50" i="4"/>
  <c r="T43" i="4"/>
  <c r="U43" i="4" s="1"/>
  <c r="AM43" i="4"/>
  <c r="AM42" i="4"/>
  <c r="T42" i="4"/>
  <c r="U42" i="4" s="1"/>
  <c r="P53" i="4"/>
  <c r="BB25" i="4"/>
  <c r="O20" i="4"/>
  <c r="AZ23" i="4" s="1"/>
  <c r="AK20" i="4"/>
  <c r="P27" i="4"/>
  <c r="BH21" i="4"/>
  <c r="BH28" i="4" s="1"/>
  <c r="BH33" i="4" s="1"/>
  <c r="O18" i="4"/>
  <c r="AX23" i="4" s="1"/>
  <c r="AK18" i="4"/>
  <c r="N44" i="4"/>
  <c r="AL44" i="4"/>
  <c r="AO44" i="4"/>
  <c r="AP44" i="4" s="1"/>
  <c r="AM28" i="4"/>
  <c r="T28" i="4"/>
  <c r="U28" i="4" s="1"/>
  <c r="AM54" i="4"/>
  <c r="T54" i="4"/>
  <c r="U54" i="4" s="1"/>
  <c r="AQ24" i="4"/>
  <c r="AR24" i="4" s="1"/>
  <c r="BD27" i="4" s="1"/>
  <c r="AN24" i="4"/>
  <c r="P31" i="4"/>
  <c r="N33" i="4"/>
  <c r="AL33" i="4"/>
  <c r="AO33" i="4"/>
  <c r="AP33" i="4" s="1"/>
  <c r="O19" i="4"/>
  <c r="AY23" i="4" s="1"/>
  <c r="AK19" i="4"/>
  <c r="AN50" i="4"/>
  <c r="AQ50" i="4"/>
  <c r="AR50" i="4" s="1"/>
  <c r="AN32" i="4"/>
  <c r="Q32" i="4" s="1"/>
  <c r="AQ32" i="4"/>
  <c r="AR32" i="4" s="1"/>
  <c r="S32" i="4" s="1"/>
  <c r="AQ49" i="4"/>
  <c r="AR49" i="4" s="1"/>
  <c r="P25" i="4"/>
  <c r="BE21" i="4"/>
  <c r="BE28" i="4" s="1"/>
  <c r="BE33" i="4" s="1"/>
  <c r="P30" i="4"/>
  <c r="BB30" i="4"/>
  <c r="BB31" i="4" s="1"/>
  <c r="BB32" i="4" s="1"/>
  <c r="AM40" i="4"/>
  <c r="T40" i="4"/>
  <c r="U40" i="4" s="1"/>
  <c r="B40" i="4" s="1"/>
  <c r="P55" i="4"/>
  <c r="P23" i="4"/>
  <c r="BC21" i="4"/>
  <c r="BC28" i="4" s="1"/>
  <c r="BC33" i="4" s="1"/>
  <c r="N18" i="4"/>
  <c r="AL18" i="4"/>
  <c r="AO18" i="4"/>
  <c r="N45" i="4"/>
  <c r="AL45" i="4"/>
  <c r="AO45" i="4"/>
  <c r="AP45" i="4" s="1"/>
  <c r="AQ27" i="4"/>
  <c r="AR27" i="4" s="1"/>
  <c r="BH27" i="4" s="1"/>
  <c r="P47" i="4"/>
  <c r="P51" i="4"/>
  <c r="O43" i="4"/>
  <c r="AK43" i="4"/>
  <c r="AP23" i="4"/>
  <c r="BC24" i="4" s="1"/>
  <c r="T18" i="4"/>
  <c r="U18" i="4" s="1"/>
  <c r="AM18" i="4"/>
  <c r="P48" i="4"/>
  <c r="P46" i="4"/>
  <c r="AM44" i="4"/>
  <c r="T44" i="4"/>
  <c r="U44" i="4" s="1"/>
  <c r="O54" i="4"/>
  <c r="AK54" i="4"/>
  <c r="AM33" i="4"/>
  <c r="T33" i="4"/>
  <c r="U33" i="4" s="1"/>
  <c r="O45" i="4"/>
  <c r="AK45" i="4"/>
  <c r="AN41" i="4"/>
  <c r="Q41" i="4" s="1"/>
  <c r="AQ41" i="4"/>
  <c r="AR41" i="4" s="1"/>
  <c r="AN55" i="4"/>
  <c r="Q55" i="4" s="1"/>
  <c r="AQ55" i="4"/>
  <c r="AR55" i="4" s="1"/>
  <c r="S55" i="4" s="1"/>
  <c r="P24" i="4"/>
  <c r="BD21" i="4"/>
  <c r="BD28" i="4" s="1"/>
  <c r="BD33" i="4" s="1"/>
  <c r="BK54" i="4"/>
  <c r="AL42" i="4"/>
  <c r="AO42" i="4"/>
  <c r="AP42" i="4" s="1"/>
  <c r="N42" i="4"/>
  <c r="BF21" i="4"/>
  <c r="BF28" i="4" s="1"/>
  <c r="BF33" i="4" s="1"/>
  <c r="P26" i="4"/>
  <c r="BP57" i="4" l="1"/>
  <c r="BP49" i="4"/>
  <c r="BP52" i="4"/>
  <c r="BQ59" i="4"/>
  <c r="P18" i="6"/>
  <c r="P24" i="6"/>
  <c r="S24" i="6"/>
  <c r="BG26" i="6"/>
  <c r="BG27" i="6"/>
  <c r="BG29" i="6"/>
  <c r="BG25" i="6"/>
  <c r="CD28" i="6"/>
  <c r="BG35" i="6"/>
  <c r="CD27" i="6"/>
  <c r="BG28" i="6"/>
  <c r="CD32" i="6"/>
  <c r="BG33" i="6"/>
  <c r="BG30" i="6"/>
  <c r="BG31" i="6"/>
  <c r="CD29" i="6"/>
  <c r="BG39" i="6"/>
  <c r="CD30" i="6"/>
  <c r="CD33" i="6"/>
  <c r="CD35" i="6"/>
  <c r="CD36" i="6"/>
  <c r="BG37" i="6"/>
  <c r="BG38" i="6"/>
  <c r="CD38" i="6"/>
  <c r="BG42" i="6"/>
  <c r="CD42" i="6"/>
  <c r="CD31" i="6"/>
  <c r="BG32" i="6"/>
  <c r="CD34" i="6"/>
  <c r="BG36" i="6"/>
  <c r="CD37" i="6"/>
  <c r="BG41" i="6"/>
  <c r="CD41" i="6"/>
  <c r="CD40" i="6"/>
  <c r="CD43" i="6"/>
  <c r="BG34" i="6"/>
  <c r="CD39" i="6"/>
  <c r="BG40" i="6"/>
  <c r="S50" i="4"/>
  <c r="BG20" i="4" s="1"/>
  <c r="BG27" i="4"/>
  <c r="AN40" i="6"/>
  <c r="Q40" i="6" s="1"/>
  <c r="AQ40" i="6"/>
  <c r="AR40" i="6" s="1"/>
  <c r="S40" i="6" s="1"/>
  <c r="BA25" i="6"/>
  <c r="AP33" i="6"/>
  <c r="BA24" i="6" s="1"/>
  <c r="AQ43" i="6"/>
  <c r="AR43" i="6" s="1"/>
  <c r="AN43" i="6"/>
  <c r="Q43" i="6" s="1"/>
  <c r="P20" i="6"/>
  <c r="AQ22" i="6"/>
  <c r="AR22" i="6" s="1"/>
  <c r="AN22" i="6"/>
  <c r="Q22" i="6" s="1"/>
  <c r="P40" i="6"/>
  <c r="AQ33" i="6"/>
  <c r="AR33" i="6" s="1"/>
  <c r="BA27" i="6" s="1"/>
  <c r="AN33" i="6"/>
  <c r="S44" i="6"/>
  <c r="P44" i="6"/>
  <c r="AQ24" i="6"/>
  <c r="AR24" i="6" s="1"/>
  <c r="AN24" i="6"/>
  <c r="Q24" i="6" s="1"/>
  <c r="S47" i="6"/>
  <c r="P47" i="6"/>
  <c r="CB27" i="6"/>
  <c r="BE28" i="6"/>
  <c r="BE30" i="6"/>
  <c r="BE31" i="6"/>
  <c r="CB33" i="6"/>
  <c r="CB29" i="6"/>
  <c r="CB30" i="6"/>
  <c r="CB31" i="6"/>
  <c r="BE32" i="6"/>
  <c r="BE34" i="6"/>
  <c r="CB34" i="6"/>
  <c r="CB35" i="6"/>
  <c r="BE37" i="6"/>
  <c r="CB38" i="6"/>
  <c r="BE39" i="6"/>
  <c r="CB39" i="6"/>
  <c r="CB28" i="6"/>
  <c r="BE29" i="6"/>
  <c r="CB32" i="6"/>
  <c r="BE35" i="6"/>
  <c r="BE36" i="6"/>
  <c r="CB36" i="6"/>
  <c r="BE38" i="6"/>
  <c r="BE41" i="6"/>
  <c r="CB41" i="6"/>
  <c r="CB37" i="6"/>
  <c r="BE40" i="6"/>
  <c r="CB40" i="6"/>
  <c r="CB43" i="6"/>
  <c r="BE43" i="6"/>
  <c r="CB42" i="6"/>
  <c r="BE44" i="6"/>
  <c r="BE33" i="6"/>
  <c r="BE42" i="6"/>
  <c r="AQ18" i="6"/>
  <c r="AR18" i="6" s="1"/>
  <c r="S18" i="6" s="1"/>
  <c r="AN18" i="6"/>
  <c r="Q18" i="6" s="1"/>
  <c r="AQ46" i="6"/>
  <c r="AR46" i="6" s="1"/>
  <c r="AN46" i="6"/>
  <c r="Q46" i="6" s="1"/>
  <c r="P22" i="6"/>
  <c r="S22" i="6"/>
  <c r="AN25" i="4"/>
  <c r="Q50" i="4"/>
  <c r="BG26" i="4"/>
  <c r="BG34" i="4"/>
  <c r="S46" i="6"/>
  <c r="P46" i="6"/>
  <c r="AX26" i="6"/>
  <c r="AX34" i="6"/>
  <c r="Q30" i="6"/>
  <c r="BA21" i="6"/>
  <c r="BA28" i="6" s="1"/>
  <c r="BA33" i="6" s="1"/>
  <c r="S33" i="6"/>
  <c r="BA20" i="6" s="1"/>
  <c r="P33" i="6"/>
  <c r="S43" i="6"/>
  <c r="P43" i="6"/>
  <c r="AZ26" i="6"/>
  <c r="Q32" i="6"/>
  <c r="AZ34" i="6"/>
  <c r="BU41" i="4"/>
  <c r="BK42" i="4"/>
  <c r="AQ20" i="6"/>
  <c r="AR20" i="6" s="1"/>
  <c r="S20" i="6" s="1"/>
  <c r="AN20" i="6"/>
  <c r="Q20" i="6" s="1"/>
  <c r="P23" i="6"/>
  <c r="BT54" i="4"/>
  <c r="BR67" i="4"/>
  <c r="BV46" i="4"/>
  <c r="S31" i="6"/>
  <c r="AY20" i="6" s="1"/>
  <c r="AY26" i="6"/>
  <c r="Q31" i="6"/>
  <c r="AY34" i="6"/>
  <c r="AP50" i="4"/>
  <c r="BG24" i="4" s="1"/>
  <c r="BG25" i="4"/>
  <c r="BU54" i="4" s="1"/>
  <c r="AQ23" i="6"/>
  <c r="AR23" i="6" s="1"/>
  <c r="S23" i="6" s="1"/>
  <c r="AN23" i="6"/>
  <c r="Q23" i="6" s="1"/>
  <c r="AN47" i="6"/>
  <c r="Q47" i="6" s="1"/>
  <c r="AQ47" i="6"/>
  <c r="AR47" i="6" s="1"/>
  <c r="P21" i="6"/>
  <c r="S30" i="6"/>
  <c r="AX20" i="6" s="1"/>
  <c r="CC27" i="6"/>
  <c r="BF28" i="6"/>
  <c r="CC32" i="6"/>
  <c r="BF33" i="6"/>
  <c r="BF30" i="6"/>
  <c r="BF31" i="6"/>
  <c r="CC33" i="6"/>
  <c r="CC36" i="6"/>
  <c r="CC37" i="6"/>
  <c r="BF38" i="6"/>
  <c r="BF27" i="6"/>
  <c r="CC29" i="6"/>
  <c r="CC30" i="6"/>
  <c r="CC31" i="6"/>
  <c r="BF32" i="6"/>
  <c r="CC35" i="6"/>
  <c r="BF37" i="6"/>
  <c r="CC38" i="6"/>
  <c r="BF42" i="6"/>
  <c r="CC42" i="6"/>
  <c r="CC28" i="6"/>
  <c r="CC34" i="6"/>
  <c r="BF35" i="6"/>
  <c r="BF36" i="6"/>
  <c r="BF41" i="6"/>
  <c r="CC41" i="6"/>
  <c r="BF29" i="6"/>
  <c r="BF34" i="6"/>
  <c r="CC39" i="6"/>
  <c r="BF40" i="6"/>
  <c r="CC40" i="6"/>
  <c r="CC43" i="6"/>
  <c r="BF39" i="6"/>
  <c r="BF43" i="6"/>
  <c r="AQ21" i="6"/>
  <c r="AR21" i="6" s="1"/>
  <c r="S21" i="6" s="1"/>
  <c r="AN21" i="6"/>
  <c r="Q21" i="6" s="1"/>
  <c r="AQ44" i="6"/>
  <c r="AR44" i="6" s="1"/>
  <c r="AN44" i="6"/>
  <c r="Q44" i="6" s="1"/>
  <c r="BQ64" i="4"/>
  <c r="BT39" i="4"/>
  <c r="BT59" i="4"/>
  <c r="BT38" i="4"/>
  <c r="BV53" i="4"/>
  <c r="BT48" i="4"/>
  <c r="BT40" i="4"/>
  <c r="BP42" i="4"/>
  <c r="BT46" i="4"/>
  <c r="AN30" i="4"/>
  <c r="Q30" i="4" s="1"/>
  <c r="AP25" i="4"/>
  <c r="BE24" i="4" s="1"/>
  <c r="BS52" i="4" s="1"/>
  <c r="BV45" i="4"/>
  <c r="BQ71" i="4"/>
  <c r="BR57" i="4"/>
  <c r="BR71" i="4"/>
  <c r="BT51" i="4"/>
  <c r="BT65" i="4"/>
  <c r="BT56" i="4"/>
  <c r="BT69" i="4"/>
  <c r="BT70" i="4"/>
  <c r="BT50" i="4"/>
  <c r="BT42" i="4"/>
  <c r="BQ53" i="4"/>
  <c r="BT49" i="4"/>
  <c r="BT68" i="4"/>
  <c r="BT41" i="4"/>
  <c r="S24" i="4"/>
  <c r="BD20" i="4" s="1"/>
  <c r="BV70" i="4"/>
  <c r="BT66" i="4"/>
  <c r="BV40" i="4"/>
  <c r="BV64" i="4"/>
  <c r="BQ50" i="4"/>
  <c r="BP65" i="4"/>
  <c r="BT52" i="4"/>
  <c r="BT73" i="4"/>
  <c r="BT57" i="4"/>
  <c r="BQ42" i="4"/>
  <c r="BQ47" i="4"/>
  <c r="BQ63" i="4"/>
  <c r="BQ68" i="4"/>
  <c r="BQ66" i="4"/>
  <c r="BQ56" i="4"/>
  <c r="BQ74" i="4"/>
  <c r="BQ48" i="4"/>
  <c r="BQ46" i="4"/>
  <c r="BQ45" i="4"/>
  <c r="BQ51" i="4"/>
  <c r="BQ67" i="4"/>
  <c r="BQ52" i="4"/>
  <c r="BQ69" i="4"/>
  <c r="BQ72" i="4"/>
  <c r="BQ57" i="4"/>
  <c r="BQ60" i="4"/>
  <c r="BQ49" i="4"/>
  <c r="BL18" i="4"/>
  <c r="BL22" i="4"/>
  <c r="BL26" i="4"/>
  <c r="BL30" i="4"/>
  <c r="BL34" i="4"/>
  <c r="BL38" i="4"/>
  <c r="BL42" i="4"/>
  <c r="BL17" i="4"/>
  <c r="BL21" i="4"/>
  <c r="BL25" i="4"/>
  <c r="BL29" i="4"/>
  <c r="BL33" i="4"/>
  <c r="BL37" i="4"/>
  <c r="BL41" i="4"/>
  <c r="BL16" i="4"/>
  <c r="BL20" i="4"/>
  <c r="BL24" i="4"/>
  <c r="BL28" i="4"/>
  <c r="BL32" i="4"/>
  <c r="BL36" i="4"/>
  <c r="BL40" i="4"/>
  <c r="BL23" i="4"/>
  <c r="BL39" i="4"/>
  <c r="BL19" i="4"/>
  <c r="BL27" i="4"/>
  <c r="BL31" i="4"/>
  <c r="BL35" i="4"/>
  <c r="BN16" i="4"/>
  <c r="BN20" i="4"/>
  <c r="BN24" i="4"/>
  <c r="BN28" i="4"/>
  <c r="BN32" i="4"/>
  <c r="BN36" i="4"/>
  <c r="BN40" i="4"/>
  <c r="BN19" i="4"/>
  <c r="BN23" i="4"/>
  <c r="BN27" i="4"/>
  <c r="BN31" i="4"/>
  <c r="BN35" i="4"/>
  <c r="BN39" i="4"/>
  <c r="BN18" i="4"/>
  <c r="BN22" i="4"/>
  <c r="BN26" i="4"/>
  <c r="BN30" i="4"/>
  <c r="BN34" i="4"/>
  <c r="BN38" i="4"/>
  <c r="BN42" i="4"/>
  <c r="BN17" i="4"/>
  <c r="BN33" i="4"/>
  <c r="BN15" i="4"/>
  <c r="BN55" i="4"/>
  <c r="BN21" i="4"/>
  <c r="BN25" i="4"/>
  <c r="BN29" i="4"/>
  <c r="BN51" i="4"/>
  <c r="BN71" i="4"/>
  <c r="BN37" i="4"/>
  <c r="BN41" i="4"/>
  <c r="BN70" i="4"/>
  <c r="BR48" i="4"/>
  <c r="BR64" i="4"/>
  <c r="BR51" i="4"/>
  <c r="BR72" i="4"/>
  <c r="BR62" i="4"/>
  <c r="BR54" i="4"/>
  <c r="BR58" i="4"/>
  <c r="BR45" i="4"/>
  <c r="BR46" i="4"/>
  <c r="BR52" i="4"/>
  <c r="BR68" i="4"/>
  <c r="BR65" i="4"/>
  <c r="BR63" i="4"/>
  <c r="BR59" i="4"/>
  <c r="BR47" i="4"/>
  <c r="BR44" i="4"/>
  <c r="BR56" i="4"/>
  <c r="BR49" i="4"/>
  <c r="BR66" i="4"/>
  <c r="BR70" i="4"/>
  <c r="BR69" i="4"/>
  <c r="BR74" i="4"/>
  <c r="BR73" i="4"/>
  <c r="BV55" i="4"/>
  <c r="BV57" i="4"/>
  <c r="BV65" i="4"/>
  <c r="BV54" i="4"/>
  <c r="BV60" i="4"/>
  <c r="BV74" i="4"/>
  <c r="BV73" i="4"/>
  <c r="BV38" i="4"/>
  <c r="BV44" i="4"/>
  <c r="BV59" i="4"/>
  <c r="BV58" i="4"/>
  <c r="BV66" i="4"/>
  <c r="BV61" i="4"/>
  <c r="BV48" i="4"/>
  <c r="BV68" i="4"/>
  <c r="BV39" i="4"/>
  <c r="BV42" i="4"/>
  <c r="BV41" i="4"/>
  <c r="BV47" i="4"/>
  <c r="BV63" i="4"/>
  <c r="BV71" i="4"/>
  <c r="BV52" i="4"/>
  <c r="BV62" i="4"/>
  <c r="BV49" i="4"/>
  <c r="BV69" i="4"/>
  <c r="BI30" i="4"/>
  <c r="BI31" i="4" s="1"/>
  <c r="BI32" i="4" s="1"/>
  <c r="BW16" i="4"/>
  <c r="BW20" i="4"/>
  <c r="BW24" i="4"/>
  <c r="BW28" i="4"/>
  <c r="BW32" i="4"/>
  <c r="BW36" i="4"/>
  <c r="BW19" i="4"/>
  <c r="BW23" i="4"/>
  <c r="BW27" i="4"/>
  <c r="BW31" i="4"/>
  <c r="BW35" i="4"/>
  <c r="BW18" i="4"/>
  <c r="BW22" i="4"/>
  <c r="BW26" i="4"/>
  <c r="BW30" i="4"/>
  <c r="BW34" i="4"/>
  <c r="BW38" i="4"/>
  <c r="BW25" i="4"/>
  <c r="BW15" i="4"/>
  <c r="BW17" i="4"/>
  <c r="BW21" i="4"/>
  <c r="BW29" i="4"/>
  <c r="BW33" i="4"/>
  <c r="BW37" i="4"/>
  <c r="BV72" i="4"/>
  <c r="BV56" i="4"/>
  <c r="BV67" i="4"/>
  <c r="BQ61" i="4"/>
  <c r="BR50" i="4"/>
  <c r="BM19" i="4"/>
  <c r="BM23" i="4"/>
  <c r="BM27" i="4"/>
  <c r="BM31" i="4"/>
  <c r="BM35" i="4"/>
  <c r="BM39" i="4"/>
  <c r="BM18" i="4"/>
  <c r="BM22" i="4"/>
  <c r="BM26" i="4"/>
  <c r="BM30" i="4"/>
  <c r="BM34" i="4"/>
  <c r="BM38" i="4"/>
  <c r="BM42" i="4"/>
  <c r="BM17" i="4"/>
  <c r="BM21" i="4"/>
  <c r="BM25" i="4"/>
  <c r="BM29" i="4"/>
  <c r="BM33" i="4"/>
  <c r="BM37" i="4"/>
  <c r="BM41" i="4"/>
  <c r="BM20" i="4"/>
  <c r="BM36" i="4"/>
  <c r="BM40" i="4"/>
  <c r="BM24" i="4"/>
  <c r="BM28" i="4"/>
  <c r="BM32" i="4"/>
  <c r="BM16" i="4"/>
  <c r="BM15" i="4"/>
  <c r="BP58" i="4"/>
  <c r="BP56" i="4"/>
  <c r="BP48" i="4"/>
  <c r="BP69" i="4"/>
  <c r="BP60" i="4"/>
  <c r="BP64" i="4"/>
  <c r="BP51" i="4"/>
  <c r="BS62" i="4"/>
  <c r="BS68" i="4"/>
  <c r="BV50" i="4"/>
  <c r="BV51" i="4"/>
  <c r="BQ58" i="4"/>
  <c r="BR61" i="4"/>
  <c r="BR60" i="4"/>
  <c r="BP61" i="4"/>
  <c r="BP62" i="4"/>
  <c r="BP71" i="4"/>
  <c r="BP63" i="4"/>
  <c r="BP59" i="4"/>
  <c r="BP68" i="4"/>
  <c r="BP47" i="4"/>
  <c r="BP74" i="4"/>
  <c r="BP54" i="4"/>
  <c r="BP44" i="4"/>
  <c r="BP45" i="4"/>
  <c r="BP46" i="4"/>
  <c r="BS54" i="4"/>
  <c r="BS48" i="4"/>
  <c r="BS45" i="4"/>
  <c r="BT64" i="4"/>
  <c r="BT47" i="4"/>
  <c r="BT67" i="4"/>
  <c r="BT61" i="4"/>
  <c r="BT62" i="4"/>
  <c r="BQ62" i="4"/>
  <c r="BQ70" i="4"/>
  <c r="BQ44" i="4"/>
  <c r="BQ65" i="4"/>
  <c r="BQ73" i="4"/>
  <c r="BQ54" i="4"/>
  <c r="BP53" i="4"/>
  <c r="BP72" i="4"/>
  <c r="BP73" i="4"/>
  <c r="BP67" i="4"/>
  <c r="BP70" i="4"/>
  <c r="BP66" i="4"/>
  <c r="BP50" i="4"/>
  <c r="BP40" i="4"/>
  <c r="BP41" i="4"/>
  <c r="BS69" i="4"/>
  <c r="BS53" i="4"/>
  <c r="BT53" i="4"/>
  <c r="BT63" i="4"/>
  <c r="BT71" i="4"/>
  <c r="BT72" i="4"/>
  <c r="BT60" i="4"/>
  <c r="BT58" i="4"/>
  <c r="BT44" i="4"/>
  <c r="BT45" i="4"/>
  <c r="AN48" i="4"/>
  <c r="Q48" i="4" s="1"/>
  <c r="BA25" i="4"/>
  <c r="BO72" i="4" s="1"/>
  <c r="S49" i="4"/>
  <c r="S46" i="4"/>
  <c r="AN21" i="4"/>
  <c r="Q21" i="4" s="1"/>
  <c r="S41" i="4"/>
  <c r="S26" i="4"/>
  <c r="BF20" i="4" s="1"/>
  <c r="AN20" i="4"/>
  <c r="AQ20" i="4"/>
  <c r="AR20" i="4" s="1"/>
  <c r="AZ27" i="4" s="1"/>
  <c r="BI25" i="4"/>
  <c r="AP28" i="4"/>
  <c r="BI24" i="4" s="1"/>
  <c r="BK55" i="4"/>
  <c r="AX21" i="4"/>
  <c r="AX28" i="4" s="1"/>
  <c r="P18" i="4"/>
  <c r="S27" i="4"/>
  <c r="BH20" i="4" s="1"/>
  <c r="AZ30" i="4"/>
  <c r="AZ31" i="4" s="1"/>
  <c r="AZ32" i="4" s="1"/>
  <c r="P40" i="4"/>
  <c r="AQ42" i="4"/>
  <c r="AR42" i="4" s="1"/>
  <c r="S42" i="4" s="1"/>
  <c r="AN42" i="4"/>
  <c r="Q42" i="4" s="1"/>
  <c r="AQ33" i="4"/>
  <c r="AR33" i="4" s="1"/>
  <c r="AN33" i="4"/>
  <c r="Q33" i="4" s="1"/>
  <c r="S22" i="4"/>
  <c r="BB20" i="4" s="1"/>
  <c r="P43" i="4"/>
  <c r="AQ40" i="4"/>
  <c r="AR40" i="4" s="1"/>
  <c r="S40" i="4" s="1"/>
  <c r="AN40" i="4"/>
  <c r="Q40" i="4" s="1"/>
  <c r="AQ28" i="4"/>
  <c r="AR28" i="4" s="1"/>
  <c r="BI27" i="4" s="1"/>
  <c r="AN28" i="4"/>
  <c r="AN43" i="4"/>
  <c r="Q43" i="4" s="1"/>
  <c r="AQ43" i="4"/>
  <c r="AR43" i="4" s="1"/>
  <c r="S43" i="4" s="1"/>
  <c r="CT28" i="4"/>
  <c r="P42" i="4"/>
  <c r="AQ45" i="4"/>
  <c r="AR45" i="4" s="1"/>
  <c r="S45" i="4" s="1"/>
  <c r="AN45" i="4"/>
  <c r="Q45" i="4" s="1"/>
  <c r="BE34" i="4"/>
  <c r="BE26" i="4"/>
  <c r="Q25" i="4"/>
  <c r="BH34" i="4"/>
  <c r="BH26" i="4"/>
  <c r="Q27" i="4"/>
  <c r="P45" i="4"/>
  <c r="S25" i="4"/>
  <c r="BE20" i="4" s="1"/>
  <c r="BD26" i="4"/>
  <c r="Q24" i="4"/>
  <c r="BD34" i="4"/>
  <c r="P44" i="4"/>
  <c r="S21" i="4"/>
  <c r="BA20" i="4" s="1"/>
  <c r="P19" i="4"/>
  <c r="AY21" i="4"/>
  <c r="AY28" i="4" s="1"/>
  <c r="P54" i="4"/>
  <c r="P28" i="4"/>
  <c r="BI21" i="4"/>
  <c r="BI28" i="4" s="1"/>
  <c r="BI33" i="4" s="1"/>
  <c r="AZ21" i="4"/>
  <c r="AZ28" i="4" s="1"/>
  <c r="P20" i="4"/>
  <c r="AQ54" i="4"/>
  <c r="AR54" i="4" s="1"/>
  <c r="S54" i="4" s="1"/>
  <c r="AN54" i="4"/>
  <c r="Q54" i="4" s="1"/>
  <c r="AY30" i="4"/>
  <c r="AY31" i="4" s="1"/>
  <c r="AY32" i="4" s="1"/>
  <c r="BL15" i="4"/>
  <c r="AX30" i="4"/>
  <c r="AX31" i="4" s="1"/>
  <c r="AX32" i="4" s="1"/>
  <c r="AP18" i="4"/>
  <c r="AX24" i="4" s="1"/>
  <c r="BL58" i="4" s="1"/>
  <c r="AX25" i="4"/>
  <c r="S23" i="4"/>
  <c r="BC20" i="4" s="1"/>
  <c r="AN19" i="4"/>
  <c r="AQ19" i="4"/>
  <c r="AR19" i="4" s="1"/>
  <c r="AY27" i="4" s="1"/>
  <c r="S33" i="4"/>
  <c r="P33" i="4"/>
  <c r="AN18" i="4"/>
  <c r="AQ18" i="4"/>
  <c r="AR18" i="4" s="1"/>
  <c r="AX27" i="4" s="1"/>
  <c r="CU33" i="4"/>
  <c r="CU40" i="4"/>
  <c r="CU28" i="4"/>
  <c r="CU31" i="4"/>
  <c r="CU29" i="4"/>
  <c r="CU30" i="4"/>
  <c r="CU32" i="4"/>
  <c r="CU36" i="4"/>
  <c r="CU38" i="4"/>
  <c r="CU41" i="4"/>
  <c r="CU42" i="4"/>
  <c r="CU34" i="4"/>
  <c r="CU27" i="4"/>
  <c r="CU39" i="4"/>
  <c r="CU35" i="4"/>
  <c r="Q22" i="4"/>
  <c r="BB34" i="4"/>
  <c r="BB26" i="4"/>
  <c r="AY25" i="4"/>
  <c r="AP19" i="4"/>
  <c r="AY24" i="4" s="1"/>
  <c r="BM47" i="4" s="1"/>
  <c r="AQ44" i="4"/>
  <c r="AR44" i="4" s="1"/>
  <c r="S44" i="4" s="1"/>
  <c r="AN44" i="4"/>
  <c r="Q44" i="4" s="1"/>
  <c r="BF26" i="4"/>
  <c r="BF34" i="4"/>
  <c r="Q26" i="4"/>
  <c r="BC34" i="4"/>
  <c r="BC26" i="4"/>
  <c r="Q23" i="4"/>
  <c r="AP20" i="4"/>
  <c r="AZ24" i="4" s="1"/>
  <c r="AZ25" i="4"/>
  <c r="BN47" i="4" s="1"/>
  <c r="BK28" i="6" l="1"/>
  <c r="BK25" i="6"/>
  <c r="BK27" i="6"/>
  <c r="BK33" i="6"/>
  <c r="BK30" i="6"/>
  <c r="BK31" i="6"/>
  <c r="BK26" i="6"/>
  <c r="BK29" i="6"/>
  <c r="BK32" i="6"/>
  <c r="BK34" i="6"/>
  <c r="BK36" i="6"/>
  <c r="BK35" i="6"/>
  <c r="BA26" i="6"/>
  <c r="BA34" i="6"/>
  <c r="Q33" i="6"/>
  <c r="BW39" i="4"/>
  <c r="BS60" i="4"/>
  <c r="BS73" i="4"/>
  <c r="BS61" i="4"/>
  <c r="BU46" i="4"/>
  <c r="BU51" i="4"/>
  <c r="BU52" i="4"/>
  <c r="BU49" i="4"/>
  <c r="BU69" i="4"/>
  <c r="BU59" i="4"/>
  <c r="BU44" i="4"/>
  <c r="BU72" i="4"/>
  <c r="BU58" i="4"/>
  <c r="BU50" i="4"/>
  <c r="BU57" i="4"/>
  <c r="BU73" i="4"/>
  <c r="BU63" i="4"/>
  <c r="BU60" i="4"/>
  <c r="BU62" i="4"/>
  <c r="BU48" i="4"/>
  <c r="BU66" i="4"/>
  <c r="BU71" i="4"/>
  <c r="BU64" i="4"/>
  <c r="BU47" i="4"/>
  <c r="BU53" i="4"/>
  <c r="BU61" i="4"/>
  <c r="BU67" i="4"/>
  <c r="BU68" i="4"/>
  <c r="BU70" i="4"/>
  <c r="BU56" i="4"/>
  <c r="BU74" i="4"/>
  <c r="BU65" i="4"/>
  <c r="BU45" i="4"/>
  <c r="BN48" i="4"/>
  <c r="BQ55" i="4"/>
  <c r="BU55" i="4"/>
  <c r="BS46" i="4"/>
  <c r="BS67" i="4"/>
  <c r="BS55" i="4"/>
  <c r="BN60" i="4"/>
  <c r="BU42" i="4"/>
  <c r="BK43" i="4"/>
  <c r="BR42" i="4"/>
  <c r="BL24" i="6"/>
  <c r="BL25" i="6"/>
  <c r="BL26" i="6"/>
  <c r="BL27" i="6"/>
  <c r="BL29" i="6"/>
  <c r="BL28" i="6"/>
  <c r="BL30" i="6"/>
  <c r="BL31" i="6"/>
  <c r="BL32" i="6"/>
  <c r="BJ26" i="6"/>
  <c r="BJ30" i="6"/>
  <c r="BJ31" i="6"/>
  <c r="BJ29" i="6"/>
  <c r="BJ32" i="6"/>
  <c r="BJ34" i="6"/>
  <c r="BJ37" i="6"/>
  <c r="BJ28" i="6"/>
  <c r="BJ33" i="6"/>
  <c r="BJ27" i="6"/>
  <c r="BJ35" i="6"/>
  <c r="BJ36" i="6"/>
  <c r="BH25" i="6"/>
  <c r="BH26" i="6"/>
  <c r="BH27" i="6"/>
  <c r="CE28" i="6"/>
  <c r="BH24" i="6"/>
  <c r="BH29" i="6"/>
  <c r="CE29" i="6"/>
  <c r="CE30" i="6"/>
  <c r="CE31" i="6"/>
  <c r="BH32" i="6"/>
  <c r="BH34" i="6"/>
  <c r="CE34" i="6"/>
  <c r="BH35" i="6"/>
  <c r="BH36" i="6"/>
  <c r="CE27" i="6"/>
  <c r="BH28" i="6"/>
  <c r="CE32" i="6"/>
  <c r="BH33" i="6"/>
  <c r="BH31" i="6"/>
  <c r="CE39" i="6"/>
  <c r="BH40" i="6"/>
  <c r="CE40" i="6"/>
  <c r="BH39" i="6"/>
  <c r="CE33" i="6"/>
  <c r="CE35" i="6"/>
  <c r="CE36" i="6"/>
  <c r="BH37" i="6"/>
  <c r="BH38" i="6"/>
  <c r="CE38" i="6"/>
  <c r="CE42" i="6"/>
  <c r="BH41" i="6"/>
  <c r="BH30" i="6"/>
  <c r="CE37" i="6"/>
  <c r="CE41" i="6"/>
  <c r="BL43" i="4"/>
  <c r="BL53" i="4"/>
  <c r="BL73" i="4"/>
  <c r="BL61" i="4"/>
  <c r="BL54" i="4"/>
  <c r="BS41" i="4"/>
  <c r="BS56" i="4"/>
  <c r="BS42" i="4"/>
  <c r="BS49" i="4"/>
  <c r="BS59" i="4"/>
  <c r="BS72" i="4"/>
  <c r="CT38" i="4"/>
  <c r="BS47" i="4"/>
  <c r="BS66" i="4"/>
  <c r="BT55" i="4"/>
  <c r="BS44" i="4"/>
  <c r="BS74" i="4"/>
  <c r="BS70" i="4"/>
  <c r="BS65" i="4"/>
  <c r="BS51" i="4"/>
  <c r="BL55" i="4"/>
  <c r="BL71" i="4"/>
  <c r="BL74" i="4"/>
  <c r="BL50" i="4"/>
  <c r="BL72" i="4"/>
  <c r="BL66" i="4"/>
  <c r="BM50" i="4"/>
  <c r="CT31" i="4"/>
  <c r="BL52" i="4"/>
  <c r="BL44" i="4"/>
  <c r="BL45" i="4"/>
  <c r="BL46" i="4"/>
  <c r="CT42" i="4"/>
  <c r="BW44" i="4"/>
  <c r="BS43" i="4"/>
  <c r="BS64" i="4"/>
  <c r="BS71" i="4"/>
  <c r="BS57" i="4"/>
  <c r="BS50" i="4"/>
  <c r="BP55" i="4"/>
  <c r="BS63" i="4"/>
  <c r="BS58" i="4"/>
  <c r="BR55" i="4"/>
  <c r="BN61" i="4"/>
  <c r="BL65" i="4"/>
  <c r="BL49" i="4"/>
  <c r="BL69" i="4"/>
  <c r="BL70" i="4"/>
  <c r="BO55" i="4"/>
  <c r="BM74" i="4"/>
  <c r="BM64" i="4"/>
  <c r="BM59" i="4"/>
  <c r="BW66" i="4"/>
  <c r="BW50" i="4"/>
  <c r="BW69" i="4"/>
  <c r="BW56" i="4"/>
  <c r="BW43" i="4"/>
  <c r="BW40" i="4"/>
  <c r="CT43" i="4"/>
  <c r="CT32" i="4"/>
  <c r="BO65" i="4"/>
  <c r="BM60" i="4"/>
  <c r="BM53" i="4"/>
  <c r="BM71" i="4"/>
  <c r="BM55" i="4"/>
  <c r="BW70" i="4"/>
  <c r="BW57" i="4"/>
  <c r="BW61" i="4"/>
  <c r="BW68" i="4"/>
  <c r="BW42" i="4"/>
  <c r="BN59" i="4"/>
  <c r="BN67" i="4"/>
  <c r="BN72" i="4"/>
  <c r="BN56" i="4"/>
  <c r="BN44" i="4"/>
  <c r="CT35" i="4"/>
  <c r="CT41" i="4"/>
  <c r="CT29" i="4"/>
  <c r="CT36" i="4"/>
  <c r="CT37" i="4"/>
  <c r="BO42" i="4"/>
  <c r="BM72" i="4"/>
  <c r="BM73" i="4"/>
  <c r="BM69" i="4"/>
  <c r="BM52" i="4"/>
  <c r="BM58" i="4"/>
  <c r="BM66" i="4"/>
  <c r="BM49" i="4"/>
  <c r="BM67" i="4"/>
  <c r="BM51" i="4"/>
  <c r="BM45" i="4"/>
  <c r="BM46" i="4"/>
  <c r="BM43" i="4"/>
  <c r="BW47" i="4"/>
  <c r="BW71" i="4"/>
  <c r="BW73" i="4"/>
  <c r="BW74" i="4"/>
  <c r="BW54" i="4"/>
  <c r="BW64" i="4"/>
  <c r="BW48" i="4"/>
  <c r="BN58" i="4"/>
  <c r="BN66" i="4"/>
  <c r="BN49" i="4"/>
  <c r="BN73" i="4"/>
  <c r="BN53" i="4"/>
  <c r="BN63" i="4"/>
  <c r="BN68" i="4"/>
  <c r="BN52" i="4"/>
  <c r="BN46" i="4"/>
  <c r="BN43" i="4"/>
  <c r="BL64" i="4"/>
  <c r="BL57" i="4"/>
  <c r="BL48" i="4"/>
  <c r="BL60" i="4"/>
  <c r="BL68" i="4"/>
  <c r="BL51" i="4"/>
  <c r="BL62" i="4"/>
  <c r="BO43" i="4"/>
  <c r="BO53" i="4"/>
  <c r="BO69" i="4"/>
  <c r="BO58" i="4"/>
  <c r="BO50" i="4"/>
  <c r="BO62" i="4"/>
  <c r="BO56" i="4"/>
  <c r="BO45" i="4"/>
  <c r="BO44" i="4"/>
  <c r="BO57" i="4"/>
  <c r="BO59" i="4"/>
  <c r="BO51" i="4"/>
  <c r="BO70" i="4"/>
  <c r="BO63" i="4"/>
  <c r="BO66" i="4"/>
  <c r="BO74" i="4"/>
  <c r="BO67" i="4"/>
  <c r="BO47" i="4"/>
  <c r="BO46" i="4"/>
  <c r="BO60" i="4"/>
  <c r="BO64" i="4"/>
  <c r="BO61" i="4"/>
  <c r="BO52" i="4"/>
  <c r="BO54" i="4"/>
  <c r="BO71" i="4"/>
  <c r="BM61" i="4"/>
  <c r="BM54" i="4"/>
  <c r="BM56" i="4"/>
  <c r="BM44" i="4"/>
  <c r="BW58" i="4"/>
  <c r="BW62" i="4"/>
  <c r="BW45" i="4"/>
  <c r="CT27" i="4"/>
  <c r="CT39" i="4"/>
  <c r="BO48" i="4"/>
  <c r="BM70" i="4"/>
  <c r="BW65" i="4"/>
  <c r="BW49" i="4"/>
  <c r="BW55" i="4"/>
  <c r="BW52" i="4"/>
  <c r="BN69" i="4"/>
  <c r="BN50" i="4"/>
  <c r="BN54" i="4"/>
  <c r="BA34" i="4"/>
  <c r="CT34" i="4"/>
  <c r="CT40" i="4"/>
  <c r="CT33" i="4"/>
  <c r="CT30" i="4"/>
  <c r="BO73" i="4"/>
  <c r="BO68" i="4"/>
  <c r="BM62" i="4"/>
  <c r="BM68" i="4"/>
  <c r="BM57" i="4"/>
  <c r="BM65" i="4"/>
  <c r="BM48" i="4"/>
  <c r="BM63" i="4"/>
  <c r="BW67" i="4"/>
  <c r="BW46" i="4"/>
  <c r="BW59" i="4"/>
  <c r="BW51" i="4"/>
  <c r="BW63" i="4"/>
  <c r="BW72" i="4"/>
  <c r="BW53" i="4"/>
  <c r="BW60" i="4"/>
  <c r="BW41" i="4"/>
  <c r="BN57" i="4"/>
  <c r="BN65" i="4"/>
  <c r="BN74" i="4"/>
  <c r="BN45" i="4"/>
  <c r="BN62" i="4"/>
  <c r="BN64" i="4"/>
  <c r="BL63" i="4"/>
  <c r="BL56" i="4"/>
  <c r="BL47" i="4"/>
  <c r="BL59" i="4"/>
  <c r="BL67" i="4"/>
  <c r="BO49" i="4"/>
  <c r="BA26" i="4"/>
  <c r="CB29" i="4" s="1"/>
  <c r="CU37" i="4"/>
  <c r="S28" i="4"/>
  <c r="BI20" i="4" s="1"/>
  <c r="AZ33" i="4"/>
  <c r="S19" i="4"/>
  <c r="AY20" i="4" s="1"/>
  <c r="Q20" i="4"/>
  <c r="AZ34" i="4"/>
  <c r="AZ26" i="4"/>
  <c r="CR29" i="4"/>
  <c r="CR31" i="4"/>
  <c r="CR41" i="4"/>
  <c r="CR32" i="4"/>
  <c r="CR27" i="4"/>
  <c r="CR33" i="4"/>
  <c r="CR34" i="4"/>
  <c r="CR35" i="4"/>
  <c r="CR39" i="4"/>
  <c r="CR43" i="4"/>
  <c r="CR37" i="4"/>
  <c r="CR28" i="4"/>
  <c r="CR36" i="4"/>
  <c r="CR38" i="4"/>
  <c r="CR30" i="4"/>
  <c r="CR40" i="4"/>
  <c r="CR42" i="4"/>
  <c r="CC27" i="4"/>
  <c r="CC30" i="4"/>
  <c r="CC32" i="4"/>
  <c r="CC26" i="4"/>
  <c r="CC31" i="4"/>
  <c r="CC33" i="4"/>
  <c r="CC34" i="4"/>
  <c r="CC28" i="4"/>
  <c r="CC29" i="4"/>
  <c r="AX26" i="4"/>
  <c r="Q18" i="4"/>
  <c r="AX34" i="4"/>
  <c r="Q19" i="4"/>
  <c r="AY26" i="4"/>
  <c r="AY34" i="4"/>
  <c r="AY33" i="4"/>
  <c r="BI34" i="4"/>
  <c r="BI26" i="4"/>
  <c r="Q28" i="4"/>
  <c r="AX33" i="4"/>
  <c r="CS27" i="4"/>
  <c r="CS32" i="4"/>
  <c r="CS34" i="4"/>
  <c r="CS35" i="4"/>
  <c r="CS37" i="4"/>
  <c r="CS38" i="4"/>
  <c r="CS29" i="4"/>
  <c r="CS30" i="4"/>
  <c r="CS31" i="4"/>
  <c r="CS36" i="4"/>
  <c r="CS42" i="4"/>
  <c r="CS33" i="4"/>
  <c r="CS39" i="4"/>
  <c r="CS43" i="4"/>
  <c r="CS40" i="4"/>
  <c r="CS28" i="4"/>
  <c r="CS41" i="4"/>
  <c r="S20" i="4"/>
  <c r="AZ20" i="4" s="1"/>
  <c r="S18" i="4"/>
  <c r="AX20" i="4" s="1"/>
  <c r="CB25" i="4" l="1"/>
  <c r="CB32" i="4"/>
  <c r="CB24" i="4"/>
  <c r="BU43" i="4"/>
  <c r="BR43" i="4"/>
  <c r="BQ43" i="4"/>
  <c r="BP43" i="4"/>
  <c r="BV43" i="4"/>
  <c r="BT43" i="4"/>
  <c r="BM26" i="6"/>
  <c r="BM27" i="6"/>
  <c r="BM32" i="6"/>
  <c r="BM28" i="6"/>
  <c r="BM33" i="6"/>
  <c r="BM30" i="6"/>
  <c r="BM31" i="6"/>
  <c r="BM34" i="6"/>
  <c r="BM29" i="6"/>
  <c r="CB31" i="4"/>
  <c r="CB30" i="4"/>
  <c r="CB28" i="4"/>
  <c r="CB26" i="4"/>
  <c r="CB27" i="4"/>
  <c r="BZ28" i="4"/>
  <c r="BZ33" i="4"/>
  <c r="BZ35" i="4"/>
  <c r="BZ36" i="4"/>
  <c r="BZ37" i="4"/>
  <c r="BZ29" i="4"/>
  <c r="BZ32" i="4"/>
  <c r="BZ27" i="4"/>
  <c r="BZ34" i="4"/>
  <c r="BZ26" i="4"/>
  <c r="BZ30" i="4"/>
  <c r="BZ31" i="4"/>
  <c r="CA26" i="4"/>
  <c r="CA31" i="4"/>
  <c r="CA34" i="4"/>
  <c r="CA33" i="4"/>
  <c r="CA27" i="4"/>
  <c r="CA28" i="4"/>
  <c r="CA25" i="4"/>
  <c r="CA32" i="4"/>
  <c r="CA29" i="4"/>
  <c r="CA36" i="4"/>
  <c r="CA30" i="4"/>
  <c r="CA35" i="4"/>
</calcChain>
</file>

<file path=xl/sharedStrings.xml><?xml version="1.0" encoding="utf-8"?>
<sst xmlns="http://schemas.openxmlformats.org/spreadsheetml/2006/main" count="638" uniqueCount="170">
  <si>
    <t>SAXTON-RAWLS EQUATION SOLUTIONS FOR SOIL WATER CHARACTERISTICS</t>
  </si>
  <si>
    <t>Equations developed by Dr. Keith Saxton, 10 -15-04: Added 33 Comp, gravel, salinity</t>
  </si>
  <si>
    <t>01-15-05:  Added 1500 and Bubb. Comp.</t>
  </si>
  <si>
    <t>Sat</t>
  </si>
  <si>
    <t>EXAMPLE TENSION AND UNSATURATED CONDUCTIVITY GRAPHS TO FAR RIGHT</t>
  </si>
  <si>
    <t>Equations derived from Rawls A-Only horiz 2003 NRCS data</t>
  </si>
  <si>
    <t>Tension=A*Moist^-B</t>
  </si>
  <si>
    <t>Tension=A*Moist^-B + Salinity</t>
  </si>
  <si>
    <t>SOIL: &gt;</t>
  </si>
  <si>
    <t>Moist.</t>
  </si>
  <si>
    <t>INPUTS</t>
  </si>
  <si>
    <t>OUTPUTS</t>
  </si>
  <si>
    <t>MODEL COMPUTATIONS</t>
  </si>
  <si>
    <t>Adj.</t>
  </si>
  <si>
    <t>Saturation</t>
  </si>
  <si>
    <t>Density</t>
  </si>
  <si>
    <t>Porosity</t>
  </si>
  <si>
    <t>Moist 33</t>
  </si>
  <si>
    <t>Porosity-</t>
  </si>
  <si>
    <t xml:space="preserve">Gravel </t>
  </si>
  <si>
    <t xml:space="preserve">Tension </t>
  </si>
  <si>
    <t>Unsaturated Cond. SiL(20,20, OM=2.5)</t>
  </si>
  <si>
    <t>Total Smpls:&gt;</t>
  </si>
  <si>
    <t>Gravels</t>
  </si>
  <si>
    <t>Salinity</t>
  </si>
  <si>
    <t>1500 kPa</t>
  </si>
  <si>
    <t>33 kPa</t>
  </si>
  <si>
    <t>0 kPa</t>
  </si>
  <si>
    <t>Plant</t>
  </si>
  <si>
    <t>Matric Den.</t>
  </si>
  <si>
    <t>10 kPa</t>
  </si>
  <si>
    <t xml:space="preserve">Bulk </t>
  </si>
  <si>
    <t>Pred</t>
  </si>
  <si>
    <t>Adj. Pred</t>
  </si>
  <si>
    <t>poros-</t>
  </si>
  <si>
    <t>por-33+</t>
  </si>
  <si>
    <t>Sand Adj.</t>
  </si>
  <si>
    <t>w/om</t>
  </si>
  <si>
    <t>w/comp</t>
  </si>
  <si>
    <t>OM +</t>
  </si>
  <si>
    <t>change by</t>
  </si>
  <si>
    <t>w/comp.</t>
  </si>
  <si>
    <t>Lambda</t>
  </si>
  <si>
    <t>Red. Of</t>
  </si>
  <si>
    <t>Sat Cond.</t>
  </si>
  <si>
    <t>"B"</t>
  </si>
  <si>
    <t>"A"</t>
  </si>
  <si>
    <t>Bubbling</t>
  </si>
  <si>
    <t>"B"=</t>
  </si>
  <si>
    <t>Class No.</t>
  </si>
  <si>
    <t>Texture</t>
  </si>
  <si>
    <t>Number</t>
  </si>
  <si>
    <t>%</t>
  </si>
  <si>
    <t>Factor</t>
  </si>
  <si>
    <t>%w,g/cc</t>
  </si>
  <si>
    <t>dS/m</t>
  </si>
  <si>
    <t>Wilt Pt.</t>
  </si>
  <si>
    <t>Field Cap</t>
  </si>
  <si>
    <t xml:space="preserve">Avail </t>
  </si>
  <si>
    <t>Sat. Cond.</t>
  </si>
  <si>
    <t>%v</t>
  </si>
  <si>
    <t>Moist 1500</t>
  </si>
  <si>
    <t>Moist. 33</t>
  </si>
  <si>
    <t>Compact</t>
  </si>
  <si>
    <t>Comp</t>
  </si>
  <si>
    <t>mm/hr</t>
  </si>
  <si>
    <t>Press.</t>
  </si>
  <si>
    <t>Press., Adj.</t>
  </si>
  <si>
    <t>Clay</t>
  </si>
  <si>
    <t>Gravel Summary</t>
  </si>
  <si>
    <t>Samples</t>
  </si>
  <si>
    <t>Texture Class Summary of A Horizon Data</t>
  </si>
  <si>
    <t>g/cc</t>
  </si>
  <si>
    <t>#1, %v</t>
  </si>
  <si>
    <t>Adj, %v</t>
  </si>
  <si>
    <t>#1</t>
  </si>
  <si>
    <t>kPa</t>
  </si>
  <si>
    <t>DF=&gt;</t>
  </si>
  <si>
    <t>S=20, C=20, OM=2.5</t>
  </si>
  <si>
    <t>SOIL  FOR GRAPHS: &gt;</t>
  </si>
  <si>
    <t>Moist/Sat</t>
  </si>
  <si>
    <t>Cond, mm/hr</t>
  </si>
  <si>
    <t>%w</t>
  </si>
  <si>
    <t>Blk. Den</t>
  </si>
  <si>
    <t>Ks</t>
  </si>
  <si>
    <t>Sat. Moist.&gt;</t>
  </si>
  <si>
    <t>"A" Value</t>
  </si>
  <si>
    <t>"B" Value</t>
  </si>
  <si>
    <t>Sat Cond., mm/hr</t>
  </si>
  <si>
    <t>Bubling Pres, kPa</t>
  </si>
  <si>
    <t>Available Moist (PAW)</t>
  </si>
  <si>
    <t>Salinity ECU:</t>
  </si>
  <si>
    <t>Selected for Graphing/Examples: &gt;</t>
  </si>
  <si>
    <t>Matric. Den.</t>
  </si>
  <si>
    <t>Den/2.65</t>
  </si>
  <si>
    <t>Gravel, %v</t>
  </si>
  <si>
    <t>PAW-Bulk</t>
  </si>
  <si>
    <t>Sat Cond, Blk.</t>
  </si>
  <si>
    <t>Not Calc</t>
  </si>
  <si>
    <t>S</t>
  </si>
  <si>
    <t>C</t>
  </si>
  <si>
    <t>Meas. Den.</t>
  </si>
  <si>
    <t>Sand</t>
  </si>
  <si>
    <t>Org Mat</t>
  </si>
  <si>
    <t>DF</t>
  </si>
  <si>
    <t>Gravel</t>
  </si>
  <si>
    <t>OM</t>
  </si>
  <si>
    <t>Eample Data:  &gt;&gt;</t>
  </si>
  <si>
    <t>Tension &amp; Cond. Graphs</t>
  </si>
  <si>
    <t>Den</t>
  </si>
  <si>
    <t>S-L</t>
  </si>
  <si>
    <t>Si-L</t>
  </si>
  <si>
    <t>C-L</t>
  </si>
  <si>
    <t>Si-C Loam</t>
  </si>
  <si>
    <t>OM Effect Calcs:</t>
  </si>
  <si>
    <t>OM=&gt;</t>
  </si>
  <si>
    <t>Available Moist</t>
  </si>
  <si>
    <t>Copy to Col. "I"</t>
  </si>
  <si>
    <t>Unsaturated Conductivity</t>
  </si>
  <si>
    <t>(1.0 = Normal)</t>
  </si>
  <si>
    <t>Avg.</t>
  </si>
  <si>
    <t>Loamy Sand</t>
  </si>
  <si>
    <t>Sandy Loam</t>
  </si>
  <si>
    <t xml:space="preserve">Loam </t>
  </si>
  <si>
    <t>Silty Loam</t>
  </si>
  <si>
    <t xml:space="preserve">Silt </t>
  </si>
  <si>
    <t>Sandy Caly Loam</t>
  </si>
  <si>
    <t>Clay Loam</t>
  </si>
  <si>
    <t>Silty Clay Loam</t>
  </si>
  <si>
    <t xml:space="preserve">silty Clay  </t>
  </si>
  <si>
    <t xml:space="preserve">Clay  </t>
  </si>
  <si>
    <t>Dec. %</t>
  </si>
  <si>
    <t>Org matter</t>
  </si>
  <si>
    <t>Optional Inputs</t>
  </si>
  <si>
    <t>TENSION AND UNSATURATED CONDUCTIVITY GRAPHS EXAMPLES</t>
  </si>
  <si>
    <t>For additional Calculations:  Coplete Columns 40F-J with data.  Copy line 40M-AR. Paste equations to all data lines data.</t>
  </si>
  <si>
    <t>Computed. DF</t>
  </si>
  <si>
    <t>Enter</t>
  </si>
  <si>
    <t xml:space="preserve">Sa </t>
  </si>
  <si>
    <t>LSa</t>
  </si>
  <si>
    <t xml:space="preserve">SaL </t>
  </si>
  <si>
    <t xml:space="preserve">L </t>
  </si>
  <si>
    <t xml:space="preserve">SiL </t>
  </si>
  <si>
    <t>Si</t>
  </si>
  <si>
    <t xml:space="preserve">SaCL </t>
  </si>
  <si>
    <t xml:space="preserve">CL </t>
  </si>
  <si>
    <t xml:space="preserve">SiCL </t>
  </si>
  <si>
    <t xml:space="preserve">SiC </t>
  </si>
  <si>
    <t xml:space="preserve">SaC </t>
  </si>
  <si>
    <t xml:space="preserve">C </t>
  </si>
  <si>
    <t>&lt;33 kPa</t>
  </si>
  <si>
    <t>&gt;Air Entry</t>
  </si>
  <si>
    <t>10-02-05:  Revised Moist33 Compaction to 0.2*Sat Compaction</t>
  </si>
  <si>
    <t>MUCK</t>
  </si>
  <si>
    <t>Sandy Clay Loam</t>
  </si>
  <si>
    <t>Moist. (%)</t>
  </si>
  <si>
    <t>SAND</t>
  </si>
  <si>
    <t>LOSA</t>
  </si>
  <si>
    <t>SALO</t>
  </si>
  <si>
    <t>LOAM</t>
  </si>
  <si>
    <t>SILO</t>
  </si>
  <si>
    <t>SILT</t>
  </si>
  <si>
    <t>SNCL</t>
  </si>
  <si>
    <t>CLLO</t>
  </si>
  <si>
    <t>SLCL</t>
  </si>
  <si>
    <t>SICL</t>
  </si>
  <si>
    <t>CLAY</t>
  </si>
  <si>
    <t>SandyClay</t>
  </si>
  <si>
    <t>SACL</t>
  </si>
  <si>
    <t>pressurehead (mH2O)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</si>
</sst>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0" x14ac:knownFonts="1">
    <font>
      <sz val="10"/>
      <name val="Arial"/>
    </font>
    <font>
      <sz val="8"/>
      <name val="Arial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color indexed="8"/>
      <name val="Times New Roman"/>
      <family val="1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color indexed="8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2" fontId="2" fillId="0" borderId="0" xfId="0" applyNumberFormat="1" applyFont="1"/>
    <xf numFmtId="0" fontId="2" fillId="0" borderId="0" xfId="0" applyFont="1" applyFill="1"/>
    <xf numFmtId="0" fontId="5" fillId="4" borderId="0" xfId="0" applyFont="1" applyFill="1"/>
    <xf numFmtId="0" fontId="2" fillId="4" borderId="0" xfId="0" applyFont="1" applyFill="1"/>
    <xf numFmtId="10" fontId="2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5" fillId="5" borderId="0" xfId="0" applyFont="1" applyFill="1"/>
    <xf numFmtId="0" fontId="5" fillId="6" borderId="0" xfId="0" applyFont="1" applyFill="1"/>
    <xf numFmtId="0" fontId="2" fillId="6" borderId="0" xfId="0" applyFont="1" applyFill="1"/>
    <xf numFmtId="0" fontId="5" fillId="0" borderId="0" xfId="0" applyFont="1" applyAlignment="1">
      <alignment horizontal="right"/>
    </xf>
    <xf numFmtId="0" fontId="2" fillId="7" borderId="0" xfId="0" applyFont="1" applyFill="1"/>
    <xf numFmtId="0" fontId="5" fillId="7" borderId="0" xfId="0" applyFont="1" applyFill="1"/>
    <xf numFmtId="0" fontId="2" fillId="8" borderId="0" xfId="0" applyFont="1" applyFill="1"/>
    <xf numFmtId="0" fontId="5" fillId="8" borderId="0" xfId="0" applyFont="1" applyFill="1"/>
    <xf numFmtId="0" fontId="2" fillId="9" borderId="0" xfId="0" applyFont="1" applyFill="1"/>
    <xf numFmtId="0" fontId="5" fillId="9" borderId="0" xfId="0" applyFont="1" applyFill="1"/>
    <xf numFmtId="0" fontId="2" fillId="0" borderId="0" xfId="0" applyFont="1" applyFill="1" applyAlignment="1">
      <alignment horizontal="center"/>
    </xf>
    <xf numFmtId="1" fontId="2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10" borderId="0" xfId="0" applyFont="1" applyFill="1"/>
    <xf numFmtId="2" fontId="2" fillId="10" borderId="0" xfId="0" applyNumberFormat="1" applyFont="1" applyFill="1"/>
    <xf numFmtId="164" fontId="2" fillId="10" borderId="0" xfId="0" applyNumberFormat="1" applyFont="1" applyFill="1"/>
    <xf numFmtId="165" fontId="2" fillId="10" borderId="0" xfId="0" applyNumberFormat="1" applyFont="1" applyFill="1"/>
    <xf numFmtId="11" fontId="2" fillId="0" borderId="0" xfId="0" applyNumberFormat="1" applyFont="1"/>
    <xf numFmtId="2" fontId="2" fillId="11" borderId="0" xfId="0" applyNumberFormat="1" applyFont="1" applyFill="1"/>
    <xf numFmtId="0" fontId="2" fillId="11" borderId="0" xfId="0" applyFont="1" applyFill="1"/>
    <xf numFmtId="2" fontId="4" fillId="7" borderId="0" xfId="0" applyNumberFormat="1" applyFont="1" applyFill="1"/>
    <xf numFmtId="2" fontId="4" fillId="11" borderId="0" xfId="0" applyNumberFormat="1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4" fillId="11" borderId="0" xfId="0" applyFont="1" applyFill="1"/>
    <xf numFmtId="167" fontId="2" fillId="0" borderId="0" xfId="0" applyNumberFormat="1" applyFont="1"/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6" fillId="0" borderId="0" xfId="0" applyFont="1" applyAlignment="1">
      <alignment horizontal="right" vertical="top" wrapText="1"/>
    </xf>
    <xf numFmtId="0" fontId="4" fillId="0" borderId="0" xfId="0" applyFont="1" applyFill="1"/>
    <xf numFmtId="4" fontId="2" fillId="0" borderId="0" xfId="0" applyNumberFormat="1" applyFont="1"/>
    <xf numFmtId="0" fontId="4" fillId="6" borderId="0" xfId="0" applyFont="1" applyFill="1"/>
    <xf numFmtId="0" fontId="5" fillId="3" borderId="0" xfId="0" applyFont="1" applyFill="1"/>
    <xf numFmtId="0" fontId="5" fillId="0" borderId="0" xfId="0" applyFont="1" applyFill="1"/>
    <xf numFmtId="0" fontId="5" fillId="12" borderId="0" xfId="0" applyFont="1" applyFill="1"/>
    <xf numFmtId="0" fontId="2" fillId="12" borderId="0" xfId="0" applyFont="1" applyFill="1"/>
    <xf numFmtId="0" fontId="7" fillId="7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8" fillId="0" borderId="0" xfId="0" applyNumberFormat="1" applyFont="1"/>
    <xf numFmtId="0" fontId="9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center"/>
    </xf>
    <xf numFmtId="0" fontId="2" fillId="0" borderId="0" xfId="0" quotePrefix="1" applyFont="1" applyFill="1"/>
    <xf numFmtId="1" fontId="2" fillId="13" borderId="0" xfId="0" applyNumberFormat="1" applyFont="1" applyFill="1"/>
    <xf numFmtId="1" fontId="2" fillId="14" borderId="0" xfId="0" applyNumberFormat="1" applyFont="1" applyFill="1"/>
    <xf numFmtId="165" fontId="2" fillId="13" borderId="0" xfId="0" applyNumberFormat="1" applyFont="1" applyFill="1"/>
    <xf numFmtId="165" fontId="2" fillId="1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Moisture vs. Tension</a:t>
            </a:r>
          </a:p>
        </c:rich>
      </c:tx>
      <c:layout>
        <c:manualLayout>
          <c:xMode val="edge"/>
          <c:yMode val="edge"/>
          <c:x val="0.38747125840039226"/>
          <c:y val="2.7491472794342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6897259788997"/>
          <c:y val="0.12027511590406852"/>
          <c:w val="0.8503485095234723"/>
          <c:h val="0.75257858237117159"/>
        </c:manualLayout>
      </c:layout>
      <c:scatterChart>
        <c:scatterStyle val="lineMarker"/>
        <c:varyColors val="0"/>
        <c:ser>
          <c:idx val="4"/>
          <c:order val="0"/>
          <c:tx>
            <c:strRef>
              <c:f>Equations!$AX$18</c:f>
              <c:strCache>
                <c:ptCount val="1"/>
                <c:pt idx="0">
                  <c:v>Sand</c:v>
                </c:pt>
              </c:strCache>
            </c:strRef>
          </c:tx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Equations!$BL$15:$BL$74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5.152508540317325E-2</c:v>
                </c:pt>
                <c:pt idx="29">
                  <c:v>6.3134105928858666E-2</c:v>
                </c:pt>
                <c:pt idx="30">
                  <c:v>7.8129611844737129E-2</c:v>
                </c:pt>
                <c:pt idx="31">
                  <c:v>9.7749730125214207E-2</c:v>
                </c:pt>
                <c:pt idx="32">
                  <c:v>0.12378767856177506</c:v>
                </c:pt>
                <c:pt idx="33">
                  <c:v>0.15889237355725283</c:v>
                </c:pt>
                <c:pt idx="34">
                  <c:v>0.2070636418706932</c:v>
                </c:pt>
                <c:pt idx="35">
                  <c:v>0.27449159151653707</c:v>
                </c:pt>
                <c:pt idx="36">
                  <c:v>0.3710255716144702</c:v>
                </c:pt>
                <c:pt idx="37">
                  <c:v>0.51283970232911591</c:v>
                </c:pt>
                <c:pt idx="38">
                  <c:v>0.72747358217069458</c:v>
                </c:pt>
                <c:pt idx="39">
                  <c:v>1.0638292010916506</c:v>
                </c:pt>
                <c:pt idx="40">
                  <c:v>1.6131280889690409</c:v>
                </c:pt>
                <c:pt idx="41">
                  <c:v>2.0182211536834607</c:v>
                </c:pt>
                <c:pt idx="42">
                  <c:v>2.5558220070655695</c:v>
                </c:pt>
                <c:pt idx="43">
                  <c:v>3.2806223511966901</c:v>
                </c:pt>
                <c:pt idx="44">
                  <c:v>4.2752058920966141</c:v>
                </c:pt>
                <c:pt idx="45">
                  <c:v>5.6673786801997128</c:v>
                </c:pt>
                <c:pt idx="46">
                  <c:v>7.6604984610250906</c:v>
                </c:pt>
                <c:pt idx="47">
                  <c:v>10.588509393975</c:v>
                </c:pt>
                <c:pt idx="48">
                  <c:v>15.020016632292048</c:v>
                </c:pt>
                <c:pt idx="49">
                  <c:v>21.96469079555569</c:v>
                </c:pt>
                <c:pt idx="50">
                  <c:v>33.305966457277243</c:v>
                </c:pt>
                <c:pt idx="51">
                  <c:v>52.76959878152045</c:v>
                </c:pt>
                <c:pt idx="52">
                  <c:v>88.269409610941764</c:v>
                </c:pt>
                <c:pt idx="53">
                  <c:v>158.16493837881617</c:v>
                </c:pt>
                <c:pt idx="54">
                  <c:v>310.11559067363527</c:v>
                </c:pt>
                <c:pt idx="55">
                  <c:v>687.66231847232393</c:v>
                </c:pt>
                <c:pt idx="56">
                  <c:v>1822.482675622244</c:v>
                </c:pt>
                <c:pt idx="57">
                  <c:v>6402.9010042568734</c:v>
                </c:pt>
                <c:pt idx="58">
                  <c:v>37628.473075586277</c:v>
                </c:pt>
                <c:pt idx="59">
                  <c:v>776908.33769746951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0-46BF-A8FE-C3976BE8418C}"/>
            </c:ext>
          </c:extLst>
        </c:ser>
        <c:ser>
          <c:idx val="0"/>
          <c:order val="1"/>
          <c:tx>
            <c:strRef>
              <c:f>Equations!$AY$18</c:f>
              <c:strCache>
                <c:ptCount val="1"/>
                <c:pt idx="0">
                  <c:v>Loamy Sand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Equations!$BM$15:$BM$74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9.3913755225998499E-2</c:v>
                </c:pt>
                <c:pt idx="29">
                  <c:v>0.1155307369220233</c:v>
                </c:pt>
                <c:pt idx="30">
                  <c:v>0.14356754722899359</c:v>
                </c:pt>
                <c:pt idx="31">
                  <c:v>0.18040808557182483</c:v>
                </c:pt>
                <c:pt idx="32">
                  <c:v>0.22951993267432516</c:v>
                </c:pt>
                <c:pt idx="33">
                  <c:v>0.29604865538684544</c:v>
                </c:pt>
                <c:pt idx="34">
                  <c:v>0.38780135472843957</c:v>
                </c:pt>
                <c:pt idx="35">
                  <c:v>0.51692188174866782</c:v>
                </c:pt>
                <c:pt idx="36">
                  <c:v>0.7028377721056045</c:v>
                </c:pt>
                <c:pt idx="37">
                  <c:v>0.97763721218095212</c:v>
                </c:pt>
                <c:pt idx="38">
                  <c:v>1.3962974913206845</c:v>
                </c:pt>
                <c:pt idx="39">
                  <c:v>2.057099943664741</c:v>
                </c:pt>
                <c:pt idx="40">
                  <c:v>3.1447235030283363</c:v>
                </c:pt>
                <c:pt idx="41">
                  <c:v>3.951683773834727</c:v>
                </c:pt>
                <c:pt idx="42">
                  <c:v>5.0274364967953451</c:v>
                </c:pt>
                <c:pt idx="43">
                  <c:v>6.4846908831701118</c:v>
                </c:pt>
                <c:pt idx="44">
                  <c:v>8.4944547584669632</c:v>
                </c:pt>
                <c:pt idx="45">
                  <c:v>11.32272872344776</c:v>
                </c:pt>
                <c:pt idx="46">
                  <c:v>15.395056218597933</c:v>
                </c:pt>
                <c:pt idx="47">
                  <c:v>21.414301337034079</c:v>
                </c:pt>
                <c:pt idx="48">
                  <c:v>30.5846942636135</c:v>
                </c:pt>
                <c:pt idx="49">
                  <c:v>45.059002997401358</c:v>
                </c:pt>
                <c:pt idx="50">
                  <c:v>68.882460565584282</c:v>
                </c:pt>
                <c:pt idx="51">
                  <c:v>110.12166758158529</c:v>
                </c:pt>
                <c:pt idx="52">
                  <c:v>186.06371732293042</c:v>
                </c:pt>
                <c:pt idx="53">
                  <c:v>337.21545053526086</c:v>
                </c:pt>
                <c:pt idx="54">
                  <c:v>669.93139285378618</c:v>
                </c:pt>
                <c:pt idx="55">
                  <c:v>1508.8109873571052</c:v>
                </c:pt>
                <c:pt idx="56">
                  <c:v>4075.5655175536367</c:v>
                </c:pt>
                <c:pt idx="57">
                  <c:v>14674.270315167387</c:v>
                </c:pt>
                <c:pt idx="58">
                  <c:v>89271.753391037011</c:v>
                </c:pt>
                <c:pt idx="59">
                  <c:v>1955420.8904716093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0-46BF-A8FE-C3976BE8418C}"/>
            </c:ext>
          </c:extLst>
        </c:ser>
        <c:ser>
          <c:idx val="1"/>
          <c:order val="2"/>
          <c:tx>
            <c:strRef>
              <c:f>Equations!$AZ$18</c:f>
              <c:strCache>
                <c:ptCount val="1"/>
                <c:pt idx="0">
                  <c:v>Sandy Loam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Equations!$BN$15:$BN$74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0.52572761638792886</c:v>
                </c:pt>
                <c:pt idx="29">
                  <c:v>0.65606161878668978</c:v>
                </c:pt>
                <c:pt idx="30">
                  <c:v>0.82760324417352549</c:v>
                </c:pt>
                <c:pt idx="31">
                  <c:v>1.0565137629091621</c:v>
                </c:pt>
                <c:pt idx="32">
                  <c:v>1.3666693296249419</c:v>
                </c:pt>
                <c:pt idx="33">
                  <c:v>1.7940850390369762</c:v>
                </c:pt>
                <c:pt idx="34">
                  <c:v>2.3943589726576961</c:v>
                </c:pt>
                <c:pt idx="35">
                  <c:v>3.2555757038503859</c:v>
                </c:pt>
                <c:pt idx="36">
                  <c:v>4.5214325817287442</c:v>
                </c:pt>
                <c:pt idx="37">
                  <c:v>6.4342835936228946</c:v>
                </c:pt>
                <c:pt idx="38">
                  <c:v>9.4187848495748128</c:v>
                </c:pt>
                <c:pt idx="39">
                  <c:v>14.252722635840312</c:v>
                </c:pt>
                <c:pt idx="40">
                  <c:v>22.436712708321998</c:v>
                </c:pt>
                <c:pt idx="41">
                  <c:v>28.64258439979109</c:v>
                </c:pt>
                <c:pt idx="42">
                  <c:v>37.051047506092878</c:v>
                </c:pt>
                <c:pt idx="43">
                  <c:v>48.638488162730454</c:v>
                </c:pt>
                <c:pt idx="44">
                  <c:v>64.912196476177499</c:v>
                </c:pt>
                <c:pt idx="45">
                  <c:v>88.260186607205924</c:v>
                </c:pt>
                <c:pt idx="46">
                  <c:v>122.57816119075559</c:v>
                </c:pt>
                <c:pt idx="47">
                  <c:v>174.43645066683382</c:v>
                </c:pt>
                <c:pt idx="48">
                  <c:v>255.34768165686023</c:v>
                </c:pt>
                <c:pt idx="49">
                  <c:v>386.39800573896383</c:v>
                </c:pt>
                <c:pt idx="50">
                  <c:v>608.26982095568928</c:v>
                </c:pt>
                <c:pt idx="51">
                  <c:v>1004.4713022684764</c:v>
                </c:pt>
                <c:pt idx="52">
                  <c:v>1759.8001383580577</c:v>
                </c:pt>
                <c:pt idx="53">
                  <c:v>3323.1515298104787</c:v>
                </c:pt>
                <c:pt idx="54">
                  <c:v>6922.59559687008</c:v>
                </c:pt>
                <c:pt idx="55">
                  <c:v>16490.480575090347</c:v>
                </c:pt>
                <c:pt idx="56">
                  <c:v>47709.008400317834</c:v>
                </c:pt>
                <c:pt idx="57">
                  <c:v>187674.81845479889</c:v>
                </c:pt>
                <c:pt idx="58">
                  <c:v>1293413.6285870031</c:v>
                </c:pt>
                <c:pt idx="59">
                  <c:v>35065051.039783172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0-46BF-A8FE-C3976BE8418C}"/>
            </c:ext>
          </c:extLst>
        </c:ser>
        <c:ser>
          <c:idx val="2"/>
          <c:order val="3"/>
          <c:tx>
            <c:strRef>
              <c:f>Equations!$BA$18</c:f>
              <c:strCache>
                <c:ptCount val="1"/>
                <c:pt idx="0">
                  <c:v>Loam 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Equations!$BO$15:$BO$74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2.4057719827690458</c:v>
                </c:pt>
                <c:pt idx="28">
                  <c:v>3.0280130705794277</c:v>
                </c:pt>
                <c:pt idx="29">
                  <c:v>3.8522044742047661</c:v>
                </c:pt>
                <c:pt idx="30">
                  <c:v>4.9586444722123169</c:v>
                </c:pt>
                <c:pt idx="31">
                  <c:v>6.4660979691443634</c:v>
                </c:pt>
                <c:pt idx="32">
                  <c:v>8.5537363944432734</c:v>
                </c:pt>
                <c:pt idx="33">
                  <c:v>11.497853122196007</c:v>
                </c:pt>
                <c:pt idx="34">
                  <c:v>15.7350378917806</c:v>
                </c:pt>
                <c:pt idx="35">
                  <c:v>21.97430446305491</c:v>
                </c:pt>
                <c:pt idx="36">
                  <c:v>31.403165545235058</c:v>
                </c:pt>
                <c:pt idx="37">
                  <c:v>46.081612978144541</c:v>
                </c:pt>
                <c:pt idx="38">
                  <c:v>69.73004725572261</c:v>
                </c:pt>
                <c:pt idx="39">
                  <c:v>109.38908993814397</c:v>
                </c:pt>
                <c:pt idx="40">
                  <c:v>179.13449958732113</c:v>
                </c:pt>
                <c:pt idx="41">
                  <c:v>233.59231146258989</c:v>
                </c:pt>
                <c:pt idx="42">
                  <c:v>309.00970965091688</c:v>
                </c:pt>
                <c:pt idx="43">
                  <c:v>415.36798552814531</c:v>
                </c:pt>
                <c:pt idx="44">
                  <c:v>568.43924877600455</c:v>
                </c:pt>
                <c:pt idx="45">
                  <c:v>793.83711734682129</c:v>
                </c:pt>
                <c:pt idx="46">
                  <c:v>1134.4613183960951</c:v>
                </c:pt>
                <c:pt idx="47">
                  <c:v>1664.7304978760892</c:v>
                </c:pt>
                <c:pt idx="48">
                  <c:v>2519.0467256429852</c:v>
                </c:pt>
                <c:pt idx="49">
                  <c:v>3951.7573797016648</c:v>
                </c:pt>
                <c:pt idx="50">
                  <c:v>6471.3590825525134</c:v>
                </c:pt>
                <c:pt idx="51">
                  <c:v>11163.191879583159</c:v>
                </c:pt>
                <c:pt idx="52">
                  <c:v>20535.265423022334</c:v>
                </c:pt>
                <c:pt idx="53">
                  <c:v>40983.208558485145</c:v>
                </c:pt>
                <c:pt idx="54">
                  <c:v>91002.324761107477</c:v>
                </c:pt>
                <c:pt idx="55">
                  <c:v>233782.37286403164</c:v>
                </c:pt>
                <c:pt idx="56">
                  <c:v>741850.82557546347</c:v>
                </c:pt>
                <c:pt idx="57">
                  <c:v>3287522.6281530275</c:v>
                </c:pt>
                <c:pt idx="58">
                  <c:v>26799879.917305704</c:v>
                </c:pt>
                <c:pt idx="59">
                  <c:v>968164405.59308207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F0-46BF-A8FE-C3976BE8418C}"/>
            </c:ext>
          </c:extLst>
        </c:ser>
        <c:ser>
          <c:idx val="3"/>
          <c:order val="4"/>
          <c:tx>
            <c:strRef>
              <c:f>Equations!$BB$18</c:f>
              <c:strCache>
                <c:ptCount val="1"/>
                <c:pt idx="0">
                  <c:v>Silty Loam</c:v>
                </c:pt>
              </c:strCache>
            </c:strRef>
          </c:tx>
          <c:xVal>
            <c:numRef>
              <c:f>Equations!$BK$15:$BK$74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Equations!$BP$15:$BP$74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6.2804706064477545</c:v>
                </c:pt>
                <c:pt idx="26">
                  <c:v>7.4044990112044973</c:v>
                </c:pt>
                <c:pt idx="27">
                  <c:v>8.7910909510039161</c:v>
                </c:pt>
                <c:pt idx="28">
                  <c:v>10.517297021911244</c:v>
                </c:pt>
                <c:pt idx="29">
                  <c:v>12.687856006332561</c:v>
                </c:pt>
                <c:pt idx="30">
                  <c:v>15.447162600450485</c:v>
                </c:pt>
                <c:pt idx="31">
                  <c:v>18.997377754084948</c:v>
                </c:pt>
                <c:pt idx="32">
                  <c:v>23.626391061366206</c:v>
                </c:pt>
                <c:pt idx="33">
                  <c:v>29.751963103559824</c:v>
                </c:pt>
                <c:pt idx="34">
                  <c:v>37.993145316178371</c:v>
                </c:pt>
                <c:pt idx="35">
                  <c:v>49.289047622870193</c:v>
                </c:pt>
                <c:pt idx="36">
                  <c:v>65.102521625014504</c:v>
                </c:pt>
                <c:pt idx="37">
                  <c:v>87.781857273445539</c:v>
                </c:pt>
                <c:pt idx="38">
                  <c:v>121.22912131300605</c:v>
                </c:pt>
                <c:pt idx="39">
                  <c:v>172.19297006115593</c:v>
                </c:pt>
                <c:pt idx="40">
                  <c:v>252.90650265440664</c:v>
                </c:pt>
                <c:pt idx="41">
                  <c:v>311.03190221161628</c:v>
                </c:pt>
                <c:pt idx="42">
                  <c:v>386.81977319907287</c:v>
                </c:pt>
                <c:pt idx="43">
                  <c:v>487.1098421275654</c:v>
                </c:pt>
                <c:pt idx="44">
                  <c:v>622.0374417807385</c:v>
                </c:pt>
                <c:pt idx="45">
                  <c:v>806.9780176395027</c:v>
                </c:pt>
                <c:pt idx="46">
                  <c:v>1065.8819023297606</c:v>
                </c:pt>
                <c:pt idx="47">
                  <c:v>1437.196143639218</c:v>
                </c:pt>
                <c:pt idx="48">
                  <c:v>1984.806781942272</c:v>
                </c:pt>
                <c:pt idx="49">
                  <c:v>2819.2052460541745</c:v>
                </c:pt>
                <c:pt idx="50">
                  <c:v>4140.6762354542707</c:v>
                </c:pt>
                <c:pt idx="51">
                  <c:v>6333.1524712826786</c:v>
                </c:pt>
                <c:pt idx="52">
                  <c:v>10184.220752377711</c:v>
                </c:pt>
                <c:pt idx="53">
                  <c:v>17451.001917529109</c:v>
                </c:pt>
                <c:pt idx="54">
                  <c:v>32495.970596640767</c:v>
                </c:pt>
                <c:pt idx="55">
                  <c:v>67792.64078584993</c:v>
                </c:pt>
                <c:pt idx="56">
                  <c:v>166739.72556417319</c:v>
                </c:pt>
                <c:pt idx="57">
                  <c:v>532035.71986205189</c:v>
                </c:pt>
                <c:pt idx="58">
                  <c:v>2729922.7655414757</c:v>
                </c:pt>
                <c:pt idx="59">
                  <c:v>44695277.508738339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F0-46BF-A8FE-C3976BE84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0888"/>
        <c:axId val="495616376"/>
      </c:scatterChart>
      <c:valAx>
        <c:axId val="495610888"/>
        <c:scaling>
          <c:orientation val="minMax"/>
          <c:max val="6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7563831444146404"/>
              <c:y val="0.9398641206157852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6376"/>
        <c:crosses val="autoZero"/>
        <c:crossBetween val="midCat"/>
        <c:majorUnit val="10"/>
      </c:valAx>
      <c:valAx>
        <c:axId val="495616376"/>
        <c:scaling>
          <c:logBase val="10"/>
          <c:orientation val="minMax"/>
          <c:max val="1000000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6.9605145510657322E-3"/>
              <c:y val="0.407217093324756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0888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36797323411497"/>
          <c:y val="0.29493672595010345"/>
          <c:w val="0.14190199302010331"/>
          <c:h val="0.2067958751752097"/>
        </c:manualLayout>
      </c:layout>
      <c:overlay val="1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Gravel Effects</a:t>
            </a:r>
          </a:p>
        </c:rich>
      </c:tx>
      <c:layout>
        <c:manualLayout>
          <c:xMode val="edge"/>
          <c:yMode val="edge"/>
          <c:x val="0.40663958498963559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85228763113711"/>
          <c:y val="0.14989748088732924"/>
          <c:w val="0.69018073859561213"/>
          <c:h val="0.6673517984709863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'Equations-Protected'!$BU$20:$BU$34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'Equations-Protected'!$BV$20:$BV$34</c:f>
              <c:numCache>
                <c:formatCode>0.00</c:formatCode>
                <c:ptCount val="15"/>
                <c:pt idx="0">
                  <c:v>0</c:v>
                </c:pt>
                <c:pt idx="1">
                  <c:v>2.6533370684474079E-2</c:v>
                </c:pt>
                <c:pt idx="2">
                  <c:v>5.4410780977330563E-2</c:v>
                </c:pt>
                <c:pt idx="3">
                  <c:v>8.3737007450988055E-2</c:v>
                </c:pt>
                <c:pt idx="4">
                  <c:v>0.11462800790875503</c:v>
                </c:pt>
                <c:pt idx="5">
                  <c:v>0.14721245377321235</c:v>
                </c:pt>
                <c:pt idx="6">
                  <c:v>0.18163352159376231</c:v>
                </c:pt>
                <c:pt idx="7">
                  <c:v>0.21805099627413727</c:v>
                </c:pt>
                <c:pt idx="8">
                  <c:v>0.2566437511884162</c:v>
                </c:pt>
                <c:pt idx="9">
                  <c:v>0.29761268640397059</c:v>
                </c:pt>
                <c:pt idx="10">
                  <c:v>0.34118422686778971</c:v>
                </c:pt>
                <c:pt idx="11">
                  <c:v>0.38761450914396078</c:v>
                </c:pt>
                <c:pt idx="12">
                  <c:v>0.4371944201814284</c:v>
                </c:pt>
                <c:pt idx="13">
                  <c:v>0.49025569750739106</c:v>
                </c:pt>
                <c:pt idx="14">
                  <c:v>0.54717836119434171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5-436D-841B-1075502A2CF7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'Equations-Protected'!$BU$20:$BU$34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'Equations-Protected'!$BW$20:$BW$34</c:f>
              <c:numCache>
                <c:formatCode>0.00</c:formatCode>
                <c:ptCount val="15"/>
                <c:pt idx="0">
                  <c:v>1.3723687836147198</c:v>
                </c:pt>
                <c:pt idx="1">
                  <c:v>1.4062686462771261</c:v>
                </c:pt>
                <c:pt idx="2">
                  <c:v>1.4418856958992596</c:v>
                </c:pt>
                <c:pt idx="3">
                  <c:v>1.4793537983007889</c:v>
                </c:pt>
                <c:pt idx="4">
                  <c:v>1.5188211047910039</c:v>
                </c:pt>
                <c:pt idx="5">
                  <c:v>1.5604520099960508</c:v>
                </c:pt>
                <c:pt idx="6">
                  <c:v>1.6044294407449005</c:v>
                </c:pt>
                <c:pt idx="7">
                  <c:v>1.650957543218468</c:v>
                </c:pt>
                <c:pt idx="8">
                  <c:v>1.700264851623257</c:v>
                </c:pt>
                <c:pt idx="9">
                  <c:v>1.7526080421567158</c:v>
                </c:pt>
                <c:pt idx="10">
                  <c:v>1.8082764023992852</c:v>
                </c:pt>
                <c:pt idx="11">
                  <c:v>1.8675971804209017</c:v>
                </c:pt>
                <c:pt idx="12">
                  <c:v>1.9309420224679754</c:v>
                </c:pt>
                <c:pt idx="13">
                  <c:v>1.9987347667609019</c:v>
                </c:pt>
                <c:pt idx="14">
                  <c:v>2.0714609388071508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5-436D-841B-1075502A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5392"/>
        <c:axId val="495626568"/>
      </c:scatterChart>
      <c:scatterChart>
        <c:scatterStyle val="lineMarker"/>
        <c:varyColors val="0"/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'Equations-Protected'!$BU$20:$BU$34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'Equations-Protected'!$BX$20:$BX$34</c:f>
              <c:numCache>
                <c:formatCode>0.0</c:formatCode>
                <c:ptCount val="15"/>
                <c:pt idx="0">
                  <c:v>12.141446393783953</c:v>
                </c:pt>
                <c:pt idx="1">
                  <c:v>11.664543073356816</c:v>
                </c:pt>
                <c:pt idx="2">
                  <c:v>11.176752886627749</c:v>
                </c:pt>
                <c:pt idx="3">
                  <c:v>10.677698737280368</c:v>
                </c:pt>
                <c:pt idx="4">
                  <c:v>10.166985909890023</c:v>
                </c:pt>
                <c:pt idx="5">
                  <c:v>9.6442010287377826</c:v>
                </c:pt>
                <c:pt idx="6">
                  <c:v>9.108910941907757</c:v>
                </c:pt>
                <c:pt idx="7">
                  <c:v>8.5606615243366857</c:v>
                </c:pt>
                <c:pt idx="8">
                  <c:v>7.998976392864062</c:v>
                </c:pt>
                <c:pt idx="9">
                  <c:v>7.4233555256411936</c:v>
                </c:pt>
                <c:pt idx="10">
                  <c:v>6.8332737774896826</c:v>
                </c:pt>
                <c:pt idx="11">
                  <c:v>6.2281792819440156</c:v>
                </c:pt>
                <c:pt idx="12">
                  <c:v>5.6074917297578617</c:v>
                </c:pt>
                <c:pt idx="13">
                  <c:v>4.9706005125864676</c:v>
                </c:pt>
                <c:pt idx="14">
                  <c:v>4.316862719363237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B5-436D-841B-1075502A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2256"/>
        <c:axId val="495625000"/>
      </c:scatterChart>
      <c:valAx>
        <c:axId val="495625392"/>
        <c:scaling>
          <c:orientation val="minMax"/>
          <c:max val="0.8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Gravel, %w</a:t>
                </a:r>
              </a:p>
            </c:rich>
          </c:tx>
          <c:layout>
            <c:manualLayout>
              <c:xMode val="edge"/>
              <c:yMode val="edge"/>
              <c:x val="0.48962728206692008"/>
              <c:y val="0.8973314577977546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6568"/>
        <c:crosses val="autoZero"/>
        <c:crossBetween val="midCat"/>
        <c:majorUnit val="0.2"/>
        <c:minorUnit val="0.1"/>
      </c:valAx>
      <c:valAx>
        <c:axId val="495626568"/>
        <c:scaling>
          <c:orientation val="minMax"/>
          <c:max val="2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Gravel, %v,
Bulk Den., g/cc</a:t>
                </a:r>
              </a:p>
            </c:rich>
          </c:tx>
          <c:layout>
            <c:manualLayout>
              <c:xMode val="edge"/>
              <c:yMode val="edge"/>
              <c:x val="7.3305816026108764E-2"/>
              <c:y val="0.3531831826976453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5392"/>
        <c:crosses val="autoZero"/>
        <c:crossBetween val="midCat"/>
        <c:majorUnit val="0.5"/>
        <c:minorUnit val="0.1"/>
      </c:valAx>
      <c:valAx>
        <c:axId val="495622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95625000"/>
        <c:crosses val="autoZero"/>
        <c:crossBetween val="midCat"/>
      </c:valAx>
      <c:valAx>
        <c:axId val="495625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Sat. Cond., mm/hr</a:t>
                </a:r>
              </a:p>
            </c:rich>
          </c:tx>
          <c:layout>
            <c:manualLayout>
              <c:xMode val="edge"/>
              <c:yMode val="edge"/>
              <c:x val="0.94605939817688767"/>
              <c:y val="0.338809466065201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2256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Moisture vrs. Tension</a:t>
            </a:r>
          </a:p>
        </c:rich>
      </c:tx>
      <c:layout>
        <c:manualLayout>
          <c:xMode val="edge"/>
          <c:yMode val="edge"/>
          <c:x val="0.38747124126885529"/>
          <c:y val="2.74914089347079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36897259788997"/>
          <c:y val="0.12027511590406852"/>
          <c:w val="0.8503485095234723"/>
          <c:h val="0.7525785823711715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'Equations-Protected'!$BD$24:$BD$50</c:f>
              <c:numCache>
                <c:formatCode>0</c:formatCode>
                <c:ptCount val="27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</c:numCache>
            </c:numRef>
          </c:xVal>
          <c:yVal>
            <c:numRef>
              <c:f>'Equations-Protected'!$BE$24:$BE$50</c:f>
              <c:numCache>
                <c:formatCode>0</c:formatCode>
                <c:ptCount val="27"/>
                <c:pt idx="4">
                  <c:v>16.229850331793806</c:v>
                </c:pt>
                <c:pt idx="5">
                  <c:v>18.274468559432222</c:v>
                </c:pt>
                <c:pt idx="6">
                  <c:v>20.716726985240378</c:v>
                </c:pt>
                <c:pt idx="7">
                  <c:v>23.664704921007893</c:v>
                </c:pt>
                <c:pt idx="8">
                  <c:v>27.265363556557539</c:v>
                </c:pt>
                <c:pt idx="9">
                  <c:v>31.722458108585137</c:v>
                </c:pt>
                <c:pt idx="10">
                  <c:v>37.32479735054067</c:v>
                </c:pt>
                <c:pt idx="11">
                  <c:v>44.492247669230593</c:v>
                </c:pt>
                <c:pt idx="12">
                  <c:v>53.853373566801423</c:v>
                </c:pt>
                <c:pt idx="13">
                  <c:v>66.382084064701303</c:v>
                </c:pt>
                <c:pt idx="14">
                  <c:v>74.291197264095388</c:v>
                </c:pt>
                <c:pt idx="15">
                  <c:v>83.65031844968567</c:v>
                </c:pt>
                <c:pt idx="16">
                  <c:v>94.829614547455648</c:v>
                </c:pt>
                <c:pt idx="17">
                  <c:v>108.32381232987588</c:v>
                </c:pt>
                <c:pt idx="18">
                  <c:v>124.80561810785443</c:v>
                </c:pt>
                <c:pt idx="19">
                  <c:v>145.20770955171378</c:v>
                </c:pt>
                <c:pt idx="20">
                  <c:v>170.8520920479078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D-46A3-B6E7-18748FD69F97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'Equations-Protected'!$BD$24:$BD$50</c:f>
              <c:numCache>
                <c:formatCode>0</c:formatCode>
                <c:ptCount val="27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</c:numCache>
            </c:numRef>
          </c:xVal>
          <c:yVal>
            <c:numRef>
              <c:f>'Equations-Protected'!$BF$24:$BF$50</c:f>
              <c:numCache>
                <c:formatCode>0</c:formatCode>
                <c:ptCount val="27"/>
                <c:pt idx="3">
                  <c:v>15.447162600450485</c:v>
                </c:pt>
                <c:pt idx="4">
                  <c:v>18.997377754084948</c:v>
                </c:pt>
                <c:pt idx="5">
                  <c:v>23.626391061366206</c:v>
                </c:pt>
                <c:pt idx="6">
                  <c:v>29.751963103559824</c:v>
                </c:pt>
                <c:pt idx="7">
                  <c:v>37.993145316178371</c:v>
                </c:pt>
                <c:pt idx="8">
                  <c:v>49.289047622870193</c:v>
                </c:pt>
                <c:pt idx="9">
                  <c:v>65.102521625014504</c:v>
                </c:pt>
                <c:pt idx="10">
                  <c:v>87.781857273445539</c:v>
                </c:pt>
                <c:pt idx="11">
                  <c:v>121.22912131300605</c:v>
                </c:pt>
                <c:pt idx="12">
                  <c:v>172.19297006115593</c:v>
                </c:pt>
                <c:pt idx="13">
                  <c:v>252.90650265440664</c:v>
                </c:pt>
                <c:pt idx="14">
                  <c:v>311.03190221161628</c:v>
                </c:pt>
                <c:pt idx="15">
                  <c:v>386.81977319907287</c:v>
                </c:pt>
                <c:pt idx="16">
                  <c:v>487.1098421275654</c:v>
                </c:pt>
                <c:pt idx="17">
                  <c:v>622.0374417807385</c:v>
                </c:pt>
                <c:pt idx="18">
                  <c:v>806.9780176395027</c:v>
                </c:pt>
                <c:pt idx="19">
                  <c:v>1065.8819023297606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D-46A3-B6E7-18748FD69F97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'Equations-Protected'!$BD$24:$BD$50</c:f>
              <c:numCache>
                <c:formatCode>0</c:formatCode>
                <c:ptCount val="27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</c:numCache>
            </c:numRef>
          </c:xVal>
          <c:yVal>
            <c:numRef>
              <c:f>'Equations-Protected'!$BG$24:$BG$50</c:f>
              <c:numCache>
                <c:formatCode>0</c:formatCode>
                <c:ptCount val="27"/>
                <c:pt idx="1">
                  <c:v>6.9951107839453037</c:v>
                </c:pt>
                <c:pt idx="2">
                  <c:v>9.6646375905348236</c:v>
                </c:pt>
                <c:pt idx="3">
                  <c:v>13.565241943793151</c:v>
                </c:pt>
                <c:pt idx="4">
                  <c:v>19.374192735367856</c:v>
                </c:pt>
                <c:pt idx="5">
                  <c:v>28.209215945160793</c:v>
                </c:pt>
                <c:pt idx="6">
                  <c:v>41.964998013490018</c:v>
                </c:pt>
                <c:pt idx="7">
                  <c:v>63.95049859967763</c:v>
                </c:pt>
                <c:pt idx="8">
                  <c:v>100.14107978969797</c:v>
                </c:pt>
                <c:pt idx="9">
                  <c:v>161.74215254443058</c:v>
                </c:pt>
                <c:pt idx="10">
                  <c:v>270.6891410554544</c:v>
                </c:pt>
                <c:pt idx="11">
                  <c:v>472.09419554742942</c:v>
                </c:pt>
                <c:pt idx="12">
                  <c:v>864.20538509213213</c:v>
                </c:pt>
                <c:pt idx="13">
                  <c:v>1675.9070013315416</c:v>
                </c:pt>
                <c:pt idx="14">
                  <c:v>2393.569195808273</c:v>
                </c:pt>
                <c:pt idx="15">
                  <c:v>3485.0850947188364</c:v>
                </c:pt>
                <c:pt idx="16">
                  <c:v>5184.5322238319359</c:v>
                </c:pt>
                <c:pt idx="17">
                  <c:v>7900.713366257447</c:v>
                </c:pt>
                <c:pt idx="18">
                  <c:v>12371.849867170644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BD-46A3-B6E7-18748FD69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2648"/>
        <c:axId val="495626960"/>
      </c:scatterChart>
      <c:valAx>
        <c:axId val="495622648"/>
        <c:scaling>
          <c:orientation val="minMax"/>
          <c:max val="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7563829463312446"/>
              <c:y val="0.939864166463728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6960"/>
        <c:crosses val="autoZero"/>
        <c:crossBetween val="midCat"/>
        <c:majorUnit val="10"/>
      </c:valAx>
      <c:valAx>
        <c:axId val="495626960"/>
        <c:scaling>
          <c:logBase val="10"/>
          <c:orientation val="minMax"/>
          <c:max val="10000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6.9605568445475635E-3"/>
              <c:y val="0.407217216404650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2648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Organic Matter Effects on Conductivity</a:t>
            </a:r>
          </a:p>
        </c:rich>
      </c:tx>
      <c:layout>
        <c:manualLayout>
          <c:xMode val="edge"/>
          <c:yMode val="edge"/>
          <c:x val="0.15824468085106383"/>
          <c:y val="2.9013539651837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38297872340424"/>
          <c:y val="0.19922649376897758"/>
          <c:w val="0.72739361702127658"/>
          <c:h val="0.5938110056997681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'Equations-Protected'!$BI$15:$BI$37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'Equations-Protected'!$BJ$15:$BJ$37</c:f>
              <c:numCache>
                <c:formatCode>General</c:formatCode>
                <c:ptCount val="23"/>
                <c:pt idx="11">
                  <c:v>1.2786556378198501</c:v>
                </c:pt>
                <c:pt idx="12" formatCode="0.0000">
                  <c:v>0.89162883481131838</c:v>
                </c:pt>
                <c:pt idx="13" formatCode="0.0000">
                  <c:v>0.61035424837874575</c:v>
                </c:pt>
                <c:pt idx="14" formatCode="0.0000">
                  <c:v>0.40933436048861699</c:v>
                </c:pt>
                <c:pt idx="15" formatCode="0.0000">
                  <c:v>0.2683210083623947</c:v>
                </c:pt>
                <c:pt idx="16" formatCode="0.0000">
                  <c:v>0.17143834264987651</c:v>
                </c:pt>
                <c:pt idx="17" formatCode="0.0000">
                  <c:v>0.10641464241036659</c:v>
                </c:pt>
                <c:pt idx="18" formatCode="0.0000">
                  <c:v>6.391468320522084E-2</c:v>
                </c:pt>
                <c:pt idx="19" formatCode="0.0000">
                  <c:v>3.6964542779758199E-2</c:v>
                </c:pt>
                <c:pt idx="20" formatCode="0.0000">
                  <c:v>2.0460924115776404E-2</c:v>
                </c:pt>
                <c:pt idx="21" formatCode="0.0000">
                  <c:v>1.0757278829622909E-2</c:v>
                </c:pt>
                <c:pt idx="22" formatCode="0.0000">
                  <c:v>5.3192258782451792E-3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0-4F06-8820-0D0EC747C05F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'Equations-Protected'!$BI$15:$BI$37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'Equations-Protected'!$BK$15:$BK$37</c:f>
              <c:numCache>
                <c:formatCode>General</c:formatCode>
                <c:ptCount val="23"/>
                <c:pt idx="10">
                  <c:v>3.3976270300272464</c:v>
                </c:pt>
                <c:pt idx="11">
                  <c:v>2.0304735690487599</c:v>
                </c:pt>
                <c:pt idx="12" formatCode="0.0000">
                  <c:v>1.1833371244593118</c:v>
                </c:pt>
                <c:pt idx="13" formatCode="0.0000">
                  <c:v>0.67079439421390841</c:v>
                </c:pt>
                <c:pt idx="14" formatCode="0.0000">
                  <c:v>0.36875564556106322</c:v>
                </c:pt>
                <c:pt idx="15" formatCode="0.0000">
                  <c:v>0.19589865283684277</c:v>
                </c:pt>
                <c:pt idx="16" formatCode="0.0000">
                  <c:v>0.10015332898891266</c:v>
                </c:pt>
                <c:pt idx="17" formatCode="0.0000">
                  <c:v>4.9033044825955191E-2</c:v>
                </c:pt>
                <c:pt idx="18" formatCode="0.0000">
                  <c:v>2.2850958674594159E-2</c:v>
                </c:pt>
                <c:pt idx="19" formatCode="0.0000">
                  <c:v>1.0063208364173851E-2</c:v>
                </c:pt>
                <c:pt idx="20" formatCode="0.0000">
                  <c:v>4.1499776929806425E-3</c:v>
                </c:pt>
                <c:pt idx="21" formatCode="0.0000">
                  <c:v>1.5843938949853227E-3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0-4F06-8820-0D0EC747C05F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'Equations-Protected'!$BI$15:$BI$37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'Equations-Protected'!$BL$15:$BL$37</c:f>
              <c:numCache>
                <c:formatCode>General</c:formatCode>
                <c:ptCount val="23"/>
                <c:pt idx="9">
                  <c:v>2.1108489173417109</c:v>
                </c:pt>
                <c:pt idx="10">
                  <c:v>0.99596284133026203</c:v>
                </c:pt>
                <c:pt idx="11">
                  <c:v>0.45378592841839871</c:v>
                </c:pt>
                <c:pt idx="12" formatCode="0.0000">
                  <c:v>0.19897530808751615</c:v>
                </c:pt>
                <c:pt idx="13" formatCode="0.0000">
                  <c:v>8.3633035153624344E-2</c:v>
                </c:pt>
                <c:pt idx="14" formatCode="0.0000">
                  <c:v>3.3542835428103039E-2</c:v>
                </c:pt>
                <c:pt idx="15" formatCode="0.0000">
                  <c:v>1.2768404638932791E-2</c:v>
                </c:pt>
                <c:pt idx="16" formatCode="0.0000">
                  <c:v>4.5839129872142859E-3</c:v>
                </c:pt>
                <c:pt idx="17" formatCode="0.0000">
                  <c:v>1.5403291141728162E-3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F0-4F06-8820-0D0EC747C05F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'Equations-Protected'!$BI$15:$BI$37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'Equations-Protected'!$BM$15:$BM$37</c:f>
              <c:numCache>
                <c:formatCode>General</c:formatCode>
                <c:ptCount val="23"/>
                <c:pt idx="11">
                  <c:v>3.2257277287184218E-3</c:v>
                </c:pt>
                <c:pt idx="12" formatCode="0.0000">
                  <c:v>8.3903356368484683E-4</c:v>
                </c:pt>
                <c:pt idx="13" formatCode="0.0000">
                  <c:v>2.0366945641792504E-4</c:v>
                </c:pt>
                <c:pt idx="14" formatCode="0.0000">
                  <c:v>4.5795349147787075E-5</c:v>
                </c:pt>
                <c:pt idx="15" formatCode="0.0000">
                  <c:v>9.455024891601323E-6</c:v>
                </c:pt>
                <c:pt idx="16" formatCode="0.0000">
                  <c:v>1.7740035949463395E-6</c:v>
                </c:pt>
                <c:pt idx="17" formatCode="0.0000">
                  <c:v>2.9876543360453353E-7</c:v>
                </c:pt>
                <c:pt idx="18" formatCode="0.0000">
                  <c:v>4.4495064811954662E-8</c:v>
                </c:pt>
                <c:pt idx="19" formatCode="0.0000">
                  <c:v>5.7541152424424041E-9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F0-4F06-8820-0D0EC747C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3824"/>
        <c:axId val="495624216"/>
      </c:scatterChart>
      <c:valAx>
        <c:axId val="495623824"/>
        <c:scaling>
          <c:orientation val="minMax"/>
          <c:max val="7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9601063829787234"/>
              <c:y val="0.895552069530960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4216"/>
        <c:crossesAt val="1E-4"/>
        <c:crossBetween val="midCat"/>
        <c:majorUnit val="10"/>
      </c:valAx>
      <c:valAx>
        <c:axId val="495624216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2.1276595744680851E-2"/>
              <c:y val="0.272727475796666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382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Organic Matter Effects on Tension</a:t>
            </a:r>
          </a:p>
        </c:rich>
      </c:tx>
      <c:layout>
        <c:manualLayout>
          <c:xMode val="edge"/>
          <c:yMode val="edge"/>
          <c:x val="0.26872785040625902"/>
          <c:y val="2.96296296296296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7123412141547"/>
          <c:y val="0.16481511287455308"/>
          <c:w val="0.80023827674357439"/>
          <c:h val="0.65740859629737469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'Equations-Protected'!$BD$23:$BD$44</c:f>
              <c:numCache>
                <c:formatCode>0</c:formatCode>
                <c:ptCount val="22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</c:numCache>
            </c:numRef>
          </c:xVal>
          <c:yVal>
            <c:numRef>
              <c:f>'Equations-Protected'!$BE$23:$BE$44</c:f>
              <c:numCache>
                <c:formatCode>0</c:formatCode>
                <c:ptCount val="22"/>
                <c:pt idx="5">
                  <c:v>16.229850331793806</c:v>
                </c:pt>
                <c:pt idx="6">
                  <c:v>18.274468559432222</c:v>
                </c:pt>
                <c:pt idx="7">
                  <c:v>20.716726985240378</c:v>
                </c:pt>
                <c:pt idx="8">
                  <c:v>23.664704921007893</c:v>
                </c:pt>
                <c:pt idx="9">
                  <c:v>27.265363556557539</c:v>
                </c:pt>
                <c:pt idx="10">
                  <c:v>31.722458108585137</c:v>
                </c:pt>
                <c:pt idx="11">
                  <c:v>37.32479735054067</c:v>
                </c:pt>
                <c:pt idx="12">
                  <c:v>44.492247669230593</c:v>
                </c:pt>
                <c:pt idx="13">
                  <c:v>53.853373566801423</c:v>
                </c:pt>
                <c:pt idx="14">
                  <c:v>66.382084064701303</c:v>
                </c:pt>
                <c:pt idx="15">
                  <c:v>74.291197264095388</c:v>
                </c:pt>
                <c:pt idx="16">
                  <c:v>83.65031844968567</c:v>
                </c:pt>
                <c:pt idx="17">
                  <c:v>94.829614547455648</c:v>
                </c:pt>
                <c:pt idx="18">
                  <c:v>108.32381232987588</c:v>
                </c:pt>
                <c:pt idx="19">
                  <c:v>124.80561810785443</c:v>
                </c:pt>
                <c:pt idx="20">
                  <c:v>145.20770955171378</c:v>
                </c:pt>
                <c:pt idx="21">
                  <c:v>170.8520920479078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6-4B5E-A6D6-F78F3EC2CE9F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'Equations-Protected'!$BD$23:$BD$44</c:f>
              <c:numCache>
                <c:formatCode>0</c:formatCode>
                <c:ptCount val="22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</c:numCache>
            </c:numRef>
          </c:xVal>
          <c:yVal>
            <c:numRef>
              <c:f>'Equations-Protected'!$BF$23:$BF$44</c:f>
              <c:numCache>
                <c:formatCode>0</c:formatCode>
                <c:ptCount val="22"/>
                <c:pt idx="4">
                  <c:v>15.447162600450485</c:v>
                </c:pt>
                <c:pt idx="5">
                  <c:v>18.997377754084948</c:v>
                </c:pt>
                <c:pt idx="6">
                  <c:v>23.626391061366206</c:v>
                </c:pt>
                <c:pt idx="7">
                  <c:v>29.751963103559824</c:v>
                </c:pt>
                <c:pt idx="8">
                  <c:v>37.993145316178371</c:v>
                </c:pt>
                <c:pt idx="9">
                  <c:v>49.289047622870193</c:v>
                </c:pt>
                <c:pt idx="10">
                  <c:v>65.102521625014504</c:v>
                </c:pt>
                <c:pt idx="11">
                  <c:v>87.781857273445539</c:v>
                </c:pt>
                <c:pt idx="12">
                  <c:v>121.22912131300605</c:v>
                </c:pt>
                <c:pt idx="13">
                  <c:v>172.19297006115593</c:v>
                </c:pt>
                <c:pt idx="14">
                  <c:v>252.90650265440664</c:v>
                </c:pt>
                <c:pt idx="15">
                  <c:v>311.03190221161628</c:v>
                </c:pt>
                <c:pt idx="16">
                  <c:v>386.81977319907287</c:v>
                </c:pt>
                <c:pt idx="17">
                  <c:v>487.1098421275654</c:v>
                </c:pt>
                <c:pt idx="18">
                  <c:v>622.0374417807385</c:v>
                </c:pt>
                <c:pt idx="19">
                  <c:v>806.9780176395027</c:v>
                </c:pt>
                <c:pt idx="20">
                  <c:v>1065.8819023297606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6-4B5E-A6D6-F78F3EC2CE9F}"/>
            </c:ext>
          </c:extLst>
        </c:ser>
        <c:ser>
          <c:idx val="2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'Equations-Protected'!$BD$23:$BD$44</c:f>
              <c:numCache>
                <c:formatCode>0</c:formatCode>
                <c:ptCount val="22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</c:numCache>
            </c:numRef>
          </c:xVal>
          <c:yVal>
            <c:numRef>
              <c:f>'Equations-Protected'!$BG$23:$BG$44</c:f>
              <c:numCache>
                <c:formatCode>0</c:formatCode>
                <c:ptCount val="22"/>
                <c:pt idx="2">
                  <c:v>6.9951107839453037</c:v>
                </c:pt>
                <c:pt idx="3">
                  <c:v>9.6646375905348236</c:v>
                </c:pt>
                <c:pt idx="4">
                  <c:v>13.565241943793151</c:v>
                </c:pt>
                <c:pt idx="5">
                  <c:v>19.374192735367856</c:v>
                </c:pt>
                <c:pt idx="6">
                  <c:v>28.209215945160793</c:v>
                </c:pt>
                <c:pt idx="7">
                  <c:v>41.964998013490018</c:v>
                </c:pt>
                <c:pt idx="8">
                  <c:v>63.95049859967763</c:v>
                </c:pt>
                <c:pt idx="9">
                  <c:v>100.14107978969797</c:v>
                </c:pt>
                <c:pt idx="10">
                  <c:v>161.74215254443058</c:v>
                </c:pt>
                <c:pt idx="11">
                  <c:v>270.6891410554544</c:v>
                </c:pt>
                <c:pt idx="12">
                  <c:v>472.09419554742942</c:v>
                </c:pt>
                <c:pt idx="13">
                  <c:v>864.20538509213213</c:v>
                </c:pt>
                <c:pt idx="14">
                  <c:v>1675.9070013315416</c:v>
                </c:pt>
                <c:pt idx="15">
                  <c:v>2393.569195808273</c:v>
                </c:pt>
                <c:pt idx="16">
                  <c:v>3485.0850947188364</c:v>
                </c:pt>
                <c:pt idx="17">
                  <c:v>5184.5322238319359</c:v>
                </c:pt>
                <c:pt idx="18">
                  <c:v>7900.713366257447</c:v>
                </c:pt>
                <c:pt idx="19">
                  <c:v>12371.849867170644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76-4B5E-A6D6-F78F3EC2CE9F}"/>
            </c:ext>
          </c:extLst>
        </c:ser>
        <c:ser>
          <c:idx val="3"/>
          <c:order val="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'Equations-Protected'!$BD$23:$BD$44</c:f>
              <c:numCache>
                <c:formatCode>0</c:formatCode>
                <c:ptCount val="22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38</c:v>
                </c:pt>
                <c:pt idx="6">
                  <c:v>36</c:v>
                </c:pt>
                <c:pt idx="7">
                  <c:v>34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</c:numCache>
            </c:numRef>
          </c:xVal>
          <c:yVal>
            <c:numRef>
              <c:f>'Equations-Protected'!$BH$23:$BH$44</c:f>
              <c:numCache>
                <c:formatCode>0</c:formatCode>
                <c:ptCount val="22"/>
                <c:pt idx="1">
                  <c:v>16.386591721415723</c:v>
                </c:pt>
                <c:pt idx="2">
                  <c:v>28.31084597980394</c:v>
                </c:pt>
                <c:pt idx="3">
                  <c:v>50.172507163058533</c:v>
                </c:pt>
                <c:pt idx="4">
                  <c:v>91.433646775129048</c:v>
                </c:pt>
                <c:pt idx="5">
                  <c:v>171.83758660439585</c:v>
                </c:pt>
                <c:pt idx="6">
                  <c:v>334.15563229948543</c:v>
                </c:pt>
                <c:pt idx="7">
                  <c:v>674.98288214821912</c:v>
                </c:pt>
                <c:pt idx="8">
                  <c:v>1422.8314017845553</c:v>
                </c:pt>
                <c:pt idx="9">
                  <c:v>3147.1861344512204</c:v>
                </c:pt>
                <c:pt idx="10">
                  <c:v>7353.3772466433429</c:v>
                </c:pt>
                <c:pt idx="11">
                  <c:v>18296.8558238306</c:v>
                </c:pt>
                <c:pt idx="12">
                  <c:v>48974.479497367916</c:v>
                </c:pt>
                <c:pt idx="13">
                  <c:v>142820.41079302851</c:v>
                </c:pt>
                <c:pt idx="14">
                  <c:v>461257.533669047</c:v>
                </c:pt>
                <c:pt idx="15">
                  <c:v>866873.23741685203</c:v>
                </c:pt>
                <c:pt idx="16">
                  <c:v>1685723.0161140945</c:v>
                </c:pt>
                <c:pt idx="17">
                  <c:v>3405102.5029573822</c:v>
                </c:pt>
                <c:pt idx="18">
                  <c:v>7177792.0531606367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76-4B5E-A6D6-F78F3EC2C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00120"/>
        <c:axId val="496507960"/>
      </c:scatterChart>
      <c:valAx>
        <c:axId val="496500120"/>
        <c:scaling>
          <c:orientation val="minMax"/>
          <c:max val="5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7324643032061187"/>
              <c:y val="0.9203721201516477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507960"/>
        <c:crossesAt val="10"/>
        <c:crossBetween val="midCat"/>
        <c:majorUnit val="5"/>
        <c:minorUnit val="2"/>
      </c:valAx>
      <c:valAx>
        <c:axId val="496507960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1.5457810596641926E-2"/>
              <c:y val="0.374074657334499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50012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Density Effects on Conductivity </a:t>
            </a:r>
          </a:p>
        </c:rich>
      </c:tx>
      <c:layout>
        <c:manualLayout>
          <c:xMode val="edge"/>
          <c:yMode val="edge"/>
          <c:x val="0.28917423783565516"/>
          <c:y val="3.1390134529147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3643598707375"/>
          <c:y val="0.17488789237668162"/>
          <c:w val="0.7777788597573615"/>
          <c:h val="0.6390134529147981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'Equations-Protected'!$BO$20:$BO$38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'Equations-Protected'!$BP$20:$BP$38</c:f>
              <c:numCache>
                <c:formatCode>0.0</c:formatCode>
                <c:ptCount val="19"/>
                <c:pt idx="0">
                  <c:v>25.043627272756698</c:v>
                </c:pt>
                <c:pt idx="1">
                  <c:v>18.339034689289761</c:v>
                </c:pt>
                <c:pt idx="2">
                  <c:v>11.544186800733005</c:v>
                </c:pt>
                <c:pt idx="3">
                  <c:v>7.1308839324565811</c:v>
                </c:pt>
                <c:pt idx="4">
                  <c:v>4.3153674232388557</c:v>
                </c:pt>
                <c:pt idx="5">
                  <c:v>2.5538453475831608</c:v>
                </c:pt>
                <c:pt idx="6">
                  <c:v>1.4749294430325441</c:v>
                </c:pt>
                <c:pt idx="7">
                  <c:v>0.82930251304899372</c:v>
                </c:pt>
                <c:pt idx="8">
                  <c:v>0.45271588181167832</c:v>
                </c:pt>
                <c:pt idx="9">
                  <c:v>0.2391782097609618</c:v>
                </c:pt>
                <c:pt idx="10">
                  <c:v>0.12183570482790193</c:v>
                </c:pt>
                <c:pt idx="11">
                  <c:v>5.957480332055156E-2</c:v>
                </c:pt>
                <c:pt idx="12">
                  <c:v>2.7815778843141716E-2</c:v>
                </c:pt>
                <c:pt idx="13">
                  <c:v>1.2322263594898242E-2</c:v>
                </c:pt>
                <c:pt idx="14">
                  <c:v>5.1389449442117386E-3</c:v>
                </c:pt>
                <c:pt idx="15">
                  <c:v>1.9982087690722217E-3</c:v>
                </c:pt>
                <c:pt idx="16">
                  <c:v>7.1563584777588069E-4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1-4CA1-ADDD-CE84AA9EC8C1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'Equations-Protected'!$BO$20:$BO$38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'Equations-Protected'!$BQ$20:$BQ$38</c:f>
              <c:numCache>
                <c:formatCode>0.0</c:formatCode>
                <c:ptCount val="19"/>
                <c:pt idx="0">
                  <c:v>12.141446393783953</c:v>
                </c:pt>
                <c:pt idx="1">
                  <c:v>8.8598081743549244</c:v>
                </c:pt>
                <c:pt idx="2">
                  <c:v>5.5481137151608797</c:v>
                </c:pt>
                <c:pt idx="3">
                  <c:v>3.4085292776126903</c:v>
                </c:pt>
                <c:pt idx="4">
                  <c:v>2.0510805101370009</c:v>
                </c:pt>
                <c:pt idx="5">
                  <c:v>1.2066782344823672</c:v>
                </c:pt>
                <c:pt idx="6">
                  <c:v>0.69259699016441734</c:v>
                </c:pt>
                <c:pt idx="7">
                  <c:v>0.38690438868892107</c:v>
                </c:pt>
                <c:pt idx="8">
                  <c:v>0.20977470317076707</c:v>
                </c:pt>
                <c:pt idx="9">
                  <c:v>0.11003363297820933</c:v>
                </c:pt>
                <c:pt idx="10">
                  <c:v>5.5625803228133368E-2</c:v>
                </c:pt>
                <c:pt idx="11">
                  <c:v>2.698124329674214E-2</c:v>
                </c:pt>
                <c:pt idx="12">
                  <c:v>1.2489989680379886E-2</c:v>
                </c:pt>
                <c:pt idx="13">
                  <c:v>5.4824607260835437E-3</c:v>
                </c:pt>
                <c:pt idx="14">
                  <c:v>2.2640065132010639E-3</c:v>
                </c:pt>
                <c:pt idx="15">
                  <c:v>8.7100446568229458E-4</c:v>
                </c:pt>
                <c:pt idx="16">
                  <c:v>3.083506243525358E-4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61-4CA1-ADDD-CE84AA9EC8C1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'Equations-Protected'!$BO$20:$BO$38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'Equations-Protected'!$BR$20:$BR$38</c:f>
              <c:numCache>
                <c:formatCode>0.0</c:formatCode>
                <c:ptCount val="19"/>
                <c:pt idx="0">
                  <c:v>4.558694484951423</c:v>
                </c:pt>
                <c:pt idx="1">
                  <c:v>3.3143725721800479</c:v>
                </c:pt>
                <c:pt idx="2">
                  <c:v>2.0642198463781791</c:v>
                </c:pt>
                <c:pt idx="3">
                  <c:v>1.2609985801750192</c:v>
                </c:pt>
                <c:pt idx="4">
                  <c:v>0.75433178803508183</c:v>
                </c:pt>
                <c:pt idx="5">
                  <c:v>0.44105134367180593</c:v>
                </c:pt>
                <c:pt idx="6">
                  <c:v>0.25151937731289464</c:v>
                </c:pt>
                <c:pt idx="7">
                  <c:v>0.13955670695577072</c:v>
                </c:pt>
                <c:pt idx="8">
                  <c:v>7.5128609669685514E-2</c:v>
                </c:pt>
                <c:pt idx="9">
                  <c:v>3.9112493268458191E-2</c:v>
                </c:pt>
                <c:pt idx="10">
                  <c:v>1.9616324959359152E-2</c:v>
                </c:pt>
                <c:pt idx="11">
                  <c:v>9.4350776108034426E-3</c:v>
                </c:pt>
                <c:pt idx="12">
                  <c:v>4.3286414808002271E-3</c:v>
                </c:pt>
                <c:pt idx="13">
                  <c:v>1.8819250734118547E-3</c:v>
                </c:pt>
                <c:pt idx="14">
                  <c:v>7.6918907908050569E-4</c:v>
                </c:pt>
                <c:pt idx="15">
                  <c:v>2.9264855277530254E-4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61-4CA1-ADDD-CE84AA9EC8C1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'Equations-Protected'!$BO$20:$BO$38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'Equations-Protected'!$BS$20:$BS$38</c:f>
              <c:numCache>
                <c:formatCode>0.0</c:formatCode>
                <c:ptCount val="19"/>
                <c:pt idx="0">
                  <c:v>0.99723754689836819</c:v>
                </c:pt>
                <c:pt idx="1">
                  <c:v>0.72226063565323995</c:v>
                </c:pt>
                <c:pt idx="2">
                  <c:v>0.44727489119340375</c:v>
                </c:pt>
                <c:pt idx="3">
                  <c:v>0.27161772540020068</c:v>
                </c:pt>
                <c:pt idx="4">
                  <c:v>0.16148093356182561</c:v>
                </c:pt>
                <c:pt idx="5">
                  <c:v>9.380888325259186E-2</c:v>
                </c:pt>
                <c:pt idx="6">
                  <c:v>5.3136356779577738E-2</c:v>
                </c:pt>
                <c:pt idx="7">
                  <c:v>2.9274760146012425E-2</c:v>
                </c:pt>
                <c:pt idx="8">
                  <c:v>1.5642724394539453E-2</c:v>
                </c:pt>
                <c:pt idx="9">
                  <c:v>8.0800113853484665E-3</c:v>
                </c:pt>
                <c:pt idx="10">
                  <c:v>4.0189125403382545E-3</c:v>
                </c:pt>
                <c:pt idx="11">
                  <c:v>1.9160735343759356E-3</c:v>
                </c:pt>
                <c:pt idx="12">
                  <c:v>8.7085772820830448E-4</c:v>
                </c:pt>
                <c:pt idx="13">
                  <c:v>3.7483992176318783E-4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61-4CA1-ADDD-CE84AA9EC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07568"/>
        <c:axId val="496504432"/>
      </c:scatterChart>
      <c:valAx>
        <c:axId val="496507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 / Saturation</a:t>
                </a:r>
              </a:p>
            </c:rich>
          </c:tx>
          <c:layout>
            <c:manualLayout>
              <c:xMode val="edge"/>
              <c:yMode val="edge"/>
              <c:x val="0.45584105405627712"/>
              <c:y val="0.90134529147982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504432"/>
        <c:crossesAt val="1E-4"/>
        <c:crossBetween val="midCat"/>
      </c:valAx>
      <c:valAx>
        <c:axId val="496504432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2.2792022792022793E-2"/>
              <c:y val="0.316143497757847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507568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Moisture vrs. Conductivity</a:t>
            </a:r>
          </a:p>
        </c:rich>
      </c:tx>
      <c:layout>
        <c:manualLayout>
          <c:xMode val="edge"/>
          <c:yMode val="edge"/>
          <c:x val="0.34495641344956413"/>
          <c:y val="3.66492146596858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4894146948942"/>
          <c:y val="0.10296701667317142"/>
          <c:w val="0.81693648816936493"/>
          <c:h val="0.7312403387467596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'Equations-Protected'!$BI$17:$BI$37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'Equations-Protected'!$BJ$17:$BJ$37</c:f>
              <c:numCache>
                <c:formatCode>General</c:formatCode>
                <c:ptCount val="21"/>
                <c:pt idx="9">
                  <c:v>1.2786556378198501</c:v>
                </c:pt>
                <c:pt idx="10" formatCode="0.0000">
                  <c:v>0.89162883481131838</c:v>
                </c:pt>
                <c:pt idx="11" formatCode="0.0000">
                  <c:v>0.61035424837874575</c:v>
                </c:pt>
                <c:pt idx="12" formatCode="0.0000">
                  <c:v>0.40933436048861699</c:v>
                </c:pt>
                <c:pt idx="13" formatCode="0.0000">
                  <c:v>0.2683210083623947</c:v>
                </c:pt>
                <c:pt idx="14" formatCode="0.0000">
                  <c:v>0.17143834264987651</c:v>
                </c:pt>
                <c:pt idx="15" formatCode="0.0000">
                  <c:v>0.10641464241036659</c:v>
                </c:pt>
                <c:pt idx="16" formatCode="0.0000">
                  <c:v>6.391468320522084E-2</c:v>
                </c:pt>
                <c:pt idx="17" formatCode="0.0000">
                  <c:v>3.6964542779758199E-2</c:v>
                </c:pt>
                <c:pt idx="18" formatCode="0.0000">
                  <c:v>2.0460924115776404E-2</c:v>
                </c:pt>
                <c:pt idx="19" formatCode="0.0000">
                  <c:v>1.0757278829622909E-2</c:v>
                </c:pt>
                <c:pt idx="20" formatCode="0.0000">
                  <c:v>5.3192258782451792E-3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4-4821-AAF8-FDF6D43FCBC1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'Equations-Protected'!$BI$17:$BI$37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'Equations-Protected'!$BK$17:$BK$37</c:f>
              <c:numCache>
                <c:formatCode>General</c:formatCode>
                <c:ptCount val="21"/>
                <c:pt idx="8">
                  <c:v>3.3976270300272464</c:v>
                </c:pt>
                <c:pt idx="9">
                  <c:v>2.0304735690487599</c:v>
                </c:pt>
                <c:pt idx="10" formatCode="0.0000">
                  <c:v>1.1833371244593118</c:v>
                </c:pt>
                <c:pt idx="11" formatCode="0.0000">
                  <c:v>0.67079439421390841</c:v>
                </c:pt>
                <c:pt idx="12" formatCode="0.0000">
                  <c:v>0.36875564556106322</c:v>
                </c:pt>
                <c:pt idx="13" formatCode="0.0000">
                  <c:v>0.19589865283684277</c:v>
                </c:pt>
                <c:pt idx="14" formatCode="0.0000">
                  <c:v>0.10015332898891266</c:v>
                </c:pt>
                <c:pt idx="15" formatCode="0.0000">
                  <c:v>4.9033044825955191E-2</c:v>
                </c:pt>
                <c:pt idx="16" formatCode="0.0000">
                  <c:v>2.2850958674594159E-2</c:v>
                </c:pt>
                <c:pt idx="17" formatCode="0.0000">
                  <c:v>1.0063208364173851E-2</c:v>
                </c:pt>
                <c:pt idx="18" formatCode="0.0000">
                  <c:v>4.1499776929806425E-3</c:v>
                </c:pt>
                <c:pt idx="19" formatCode="0.0000">
                  <c:v>1.5843938949853227E-3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4-4821-AAF8-FDF6D43FCBC1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'Equations-Protected'!$BI$17:$BI$37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'Equations-Protected'!$BL$17:$BL$37</c:f>
              <c:numCache>
                <c:formatCode>General</c:formatCode>
                <c:ptCount val="21"/>
                <c:pt idx="7">
                  <c:v>2.1108489173417109</c:v>
                </c:pt>
                <c:pt idx="8">
                  <c:v>0.99596284133026203</c:v>
                </c:pt>
                <c:pt idx="9">
                  <c:v>0.45378592841839871</c:v>
                </c:pt>
                <c:pt idx="10" formatCode="0.0000">
                  <c:v>0.19897530808751615</c:v>
                </c:pt>
                <c:pt idx="11" formatCode="0.0000">
                  <c:v>8.3633035153624344E-2</c:v>
                </c:pt>
                <c:pt idx="12" formatCode="0.0000">
                  <c:v>3.3542835428103039E-2</c:v>
                </c:pt>
                <c:pt idx="13" formatCode="0.0000">
                  <c:v>1.2768404638932791E-2</c:v>
                </c:pt>
                <c:pt idx="14" formatCode="0.0000">
                  <c:v>4.5839129872142859E-3</c:v>
                </c:pt>
                <c:pt idx="15" formatCode="0.0000">
                  <c:v>1.5403291141728162E-3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4-4821-AAF8-FDF6D43FC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99336"/>
        <c:axId val="496504824"/>
      </c:scatterChart>
      <c:valAx>
        <c:axId val="496499336"/>
        <c:scaling>
          <c:orientation val="minMax"/>
          <c:max val="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9066002490660027"/>
              <c:y val="0.917977216198760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504824"/>
        <c:crossesAt val="1E-3"/>
        <c:crossBetween val="midCat"/>
        <c:majorUnit val="10"/>
      </c:valAx>
      <c:valAx>
        <c:axId val="496504824"/>
        <c:scaling>
          <c:logBase val="10"/>
          <c:orientation val="minMax"/>
          <c:min val="1E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2.6151930261519303E-2"/>
              <c:y val="0.32984348160668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499336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Equations!$BL$13</c:f>
              <c:strCache>
                <c:ptCount val="1"/>
                <c:pt idx="0">
                  <c:v>SAND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Equations!$BK$80:$BK$139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Equations!$BL$80:$BL$139</c:f>
              <c:numCache>
                <c:formatCode>0.0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5.2554419243568806E-3</c:v>
                </c:pt>
                <c:pt idx="29">
                  <c:v>6.4395357049690186E-3</c:v>
                </c:pt>
                <c:pt idx="30">
                  <c:v>7.9690433195725215E-3</c:v>
                </c:pt>
                <c:pt idx="31">
                  <c:v>9.9702509132179595E-3</c:v>
                </c:pt>
                <c:pt idx="32">
                  <c:v>1.2626062636129089E-2</c:v>
                </c:pt>
                <c:pt idx="33">
                  <c:v>1.6206661957360546E-2</c:v>
                </c:pt>
                <c:pt idx="34">
                  <c:v>2.1120022140327023E-2</c:v>
                </c:pt>
                <c:pt idx="35">
                  <c:v>2.7997520172001678E-2</c:v>
                </c:pt>
                <c:pt idx="36">
                  <c:v>3.7843767338056174E-2</c:v>
                </c:pt>
                <c:pt idx="37">
                  <c:v>5.2308487235018748E-2</c:v>
                </c:pt>
                <c:pt idx="38">
                  <c:v>7.42006564896735E-2</c:v>
                </c:pt>
                <c:pt idx="39">
                  <c:v>0.10850816723591153</c:v>
                </c:pt>
                <c:pt idx="40">
                  <c:v>0.16453540875845848</c:v>
                </c:pt>
                <c:pt idx="41">
                  <c:v>0.20585398317532422</c:v>
                </c:pt>
                <c:pt idx="42">
                  <c:v>0.26068805169411929</c:v>
                </c:pt>
                <c:pt idx="43">
                  <c:v>0.33461604396291805</c:v>
                </c:pt>
                <c:pt idx="44">
                  <c:v>0.4360613108114979</c:v>
                </c:pt>
                <c:pt idx="45">
                  <c:v>0.57805977969895039</c:v>
                </c:pt>
                <c:pt idx="46">
                  <c:v>0.78135347973752589</c:v>
                </c:pt>
                <c:pt idx="47">
                  <c:v>1.0800039582683691</c:v>
                </c:pt>
                <c:pt idx="48">
                  <c:v>1.532007652121695</c:v>
                </c:pt>
                <c:pt idx="49">
                  <c:v>2.2403486759750209</c:v>
                </c:pt>
                <c:pt idx="50">
                  <c:v>3.3971330873333958</c:v>
                </c:pt>
                <c:pt idx="51">
                  <c:v>5.3823794681340731</c:v>
                </c:pt>
                <c:pt idx="52">
                  <c:v>9.0032797088581606</c:v>
                </c:pt>
                <c:pt idx="53">
                  <c:v>16.1324652179647</c:v>
                </c:pt>
                <c:pt idx="54">
                  <c:v>31.631087340663527</c:v>
                </c:pt>
                <c:pt idx="55">
                  <c:v>70.139997828656334</c:v>
                </c:pt>
                <c:pt idx="56">
                  <c:v>185.88910207394571</c:v>
                </c:pt>
                <c:pt idx="57">
                  <c:v>653.08138961776388</c:v>
                </c:pt>
                <c:pt idx="58">
                  <c:v>3838.0189650067268</c:v>
                </c:pt>
                <c:pt idx="59">
                  <c:v>79242.889504579784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B-45A3-9120-69A1EE946A20}"/>
            </c:ext>
          </c:extLst>
        </c:ser>
        <c:ser>
          <c:idx val="1"/>
          <c:order val="1"/>
          <c:tx>
            <c:strRef>
              <c:f>Equations!$BM$13</c:f>
              <c:strCache>
                <c:ptCount val="1"/>
                <c:pt idx="0">
                  <c:v>LOSA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Equations!$BK$80:$BK$139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Equations!$BM$80:$BM$139</c:f>
              <c:numCache>
                <c:formatCode>0.0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9.5789901681192762E-3</c:v>
                </c:pt>
                <c:pt idx="29">
                  <c:v>1.1783873304059646E-2</c:v>
                </c:pt>
                <c:pt idx="30">
                  <c:v>1.4643564407131904E-2</c:v>
                </c:pt>
                <c:pt idx="31">
                  <c:v>1.8401215815330607E-2</c:v>
                </c:pt>
                <c:pt idx="32">
                  <c:v>2.3410512902865166E-2</c:v>
                </c:pt>
                <c:pt idx="33">
                  <c:v>3.0196291825528725E-2</c:v>
                </c:pt>
                <c:pt idx="34">
                  <c:v>3.9554859191688371E-2</c:v>
                </c:pt>
                <c:pt idx="35">
                  <c:v>5.272486028314452E-2</c:v>
                </c:pt>
                <c:pt idx="36">
                  <c:v>7.1687859702565332E-2</c:v>
                </c:pt>
                <c:pt idx="37">
                  <c:v>9.971677972979609E-2</c:v>
                </c:pt>
                <c:pt idx="38">
                  <c:v>0.14241917926659334</c:v>
                </c:pt>
                <c:pt idx="39">
                  <c:v>0.20981953163074324</c:v>
                </c:pt>
                <c:pt idx="40">
                  <c:v>0.32075466947809689</c:v>
                </c:pt>
                <c:pt idx="41">
                  <c:v>0.40306278804407025</c:v>
                </c:pt>
                <c:pt idx="42">
                  <c:v>0.51278712748475985</c:v>
                </c:pt>
                <c:pt idx="43">
                  <c:v>0.66142377188196155</c:v>
                </c:pt>
                <c:pt idx="44">
                  <c:v>0.86641513183112018</c:v>
                </c:pt>
                <c:pt idx="45">
                  <c:v>1.1548926656929415</c:v>
                </c:pt>
                <c:pt idx="46">
                  <c:v>1.5702608398601092</c:v>
                </c:pt>
                <c:pt idx="47">
                  <c:v>2.1842101987186506</c:v>
                </c:pt>
                <c:pt idx="48">
                  <c:v>3.1195694916156822</c:v>
                </c:pt>
                <c:pt idx="49">
                  <c:v>4.5959161749915598</c:v>
                </c:pt>
                <c:pt idx="50">
                  <c:v>7.0258548486934949</c:v>
                </c:pt>
                <c:pt idx="51">
                  <c:v>11.232160491532399</c:v>
                </c:pt>
                <c:pt idx="52">
                  <c:v>18.978077434887549</c:v>
                </c:pt>
                <c:pt idx="53">
                  <c:v>34.395211622002648</c:v>
                </c:pt>
                <c:pt idx="54">
                  <c:v>68.331483604484319</c:v>
                </c:pt>
                <c:pt idx="55">
                  <c:v>153.89530083920019</c:v>
                </c:pt>
                <c:pt idx="56">
                  <c:v>415.69844511301898</c:v>
                </c:pt>
                <c:pt idx="57">
                  <c:v>1496.7423114436372</c:v>
                </c:pt>
                <c:pt idx="58">
                  <c:v>9105.5165025153037</c:v>
                </c:pt>
                <c:pt idx="59">
                  <c:v>199448.49867080199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B-45A3-9120-69A1EE946A20}"/>
            </c:ext>
          </c:extLst>
        </c:ser>
        <c:ser>
          <c:idx val="2"/>
          <c:order val="2"/>
          <c:tx>
            <c:strRef>
              <c:f>Equations!$BN$13</c:f>
              <c:strCache>
                <c:ptCount val="1"/>
                <c:pt idx="0">
                  <c:v>SALO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Equations!$BK$80:$BK$139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Equations!$BN$80:$BN$139</c:f>
              <c:numCache>
                <c:formatCode>0.0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5.3623025257269606E-2</c:v>
                </c:pt>
                <c:pt idx="29">
                  <c:v>6.6916798086872606E-2</c:v>
                </c:pt>
                <c:pt idx="30">
                  <c:v>8.4413655060054382E-2</c:v>
                </c:pt>
                <c:pt idx="31">
                  <c:v>0.10776200912247105</c:v>
                </c:pt>
                <c:pt idx="32">
                  <c:v>0.13939717392882361</c:v>
                </c:pt>
                <c:pt idx="33">
                  <c:v>0.18299260750833601</c:v>
                </c:pt>
                <c:pt idx="34">
                  <c:v>0.24421918815665578</c:v>
                </c:pt>
                <c:pt idx="35">
                  <c:v>0.33206134270432985</c:v>
                </c:pt>
                <c:pt idx="36">
                  <c:v>0.46117587505652119</c:v>
                </c:pt>
                <c:pt idx="37">
                  <c:v>0.6562823426013159</c:v>
                </c:pt>
                <c:pt idx="38">
                  <c:v>0.96069470603738893</c:v>
                </c:pt>
                <c:pt idx="39">
                  <c:v>1.4537454036323127</c:v>
                </c:pt>
                <c:pt idx="40">
                  <c:v>2.2884938411922415</c:v>
                </c:pt>
                <c:pt idx="41">
                  <c:v>2.9214786874923231</c:v>
                </c:pt>
                <c:pt idx="42">
                  <c:v>3.7791228657112881</c:v>
                </c:pt>
                <c:pt idx="43">
                  <c:v>4.9610155485934806</c:v>
                </c:pt>
                <c:pt idx="44">
                  <c:v>6.6208969105752207</c:v>
                </c:pt>
                <c:pt idx="45">
                  <c:v>9.002338983381966</c:v>
                </c:pt>
                <c:pt idx="46">
                  <c:v>12.50269460577737</c:v>
                </c:pt>
                <c:pt idx="47">
                  <c:v>17.792122590330152</c:v>
                </c:pt>
                <c:pt idx="48">
                  <c:v>26.044884757903784</c:v>
                </c:pt>
                <c:pt idx="49">
                  <c:v>39.41172077559289</c:v>
                </c:pt>
                <c:pt idx="50">
                  <c:v>62.042143033007136</c:v>
                </c:pt>
                <c:pt idx="51">
                  <c:v>102.4537960965707</c:v>
                </c:pt>
                <c:pt idx="52">
                  <c:v>179.49562534924766</c:v>
                </c:pt>
                <c:pt idx="53">
                  <c:v>338.95392378488145</c:v>
                </c:pt>
                <c:pt idx="54">
                  <c:v>706.08906012446437</c:v>
                </c:pt>
                <c:pt idx="55">
                  <c:v>1681.9916413333142</c:v>
                </c:pt>
                <c:pt idx="56">
                  <c:v>4866.2107195863709</c:v>
                </c:pt>
                <c:pt idx="57">
                  <c:v>19142.406098616051</c:v>
                </c:pt>
                <c:pt idx="58">
                  <c:v>131925.2584643375</c:v>
                </c:pt>
                <c:pt idx="59">
                  <c:v>3576555.7276076055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B-45A3-9120-69A1EE946A20}"/>
            </c:ext>
          </c:extLst>
        </c:ser>
        <c:ser>
          <c:idx val="3"/>
          <c:order val="3"/>
          <c:tx>
            <c:strRef>
              <c:f>Equations!$BO$13</c:f>
              <c:strCache>
                <c:ptCount val="1"/>
                <c:pt idx="0">
                  <c:v>LOAM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Equations!$BK$80:$BK$139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Equations!$BO$80:$BO$139</c:f>
              <c:numCache>
                <c:formatCode>0.0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0.24538328931928291</c:v>
                </c:pt>
                <c:pt idx="28">
                  <c:v>0.30885046990419301</c:v>
                </c:pt>
                <c:pt idx="29">
                  <c:v>0.39291612496161066</c:v>
                </c:pt>
                <c:pt idx="30">
                  <c:v>0.50577049690130493</c:v>
                </c:pt>
                <c:pt idx="31">
                  <c:v>0.65952733679403708</c:v>
                </c:pt>
                <c:pt idx="32">
                  <c:v>0.87246172433293823</c:v>
                </c:pt>
                <c:pt idx="33">
                  <c:v>1.1727549574282725</c:v>
                </c:pt>
                <c:pt idx="34">
                  <c:v>1.6049381999222265</c:v>
                </c:pt>
                <c:pt idx="35">
                  <c:v>2.2413292482696008</c:v>
                </c:pt>
                <c:pt idx="36">
                  <c:v>3.2030517071939437</c:v>
                </c:pt>
                <c:pt idx="37">
                  <c:v>4.700220075179419</c:v>
                </c:pt>
                <c:pt idx="38">
                  <c:v>7.1123067699474776</c:v>
                </c:pt>
                <c:pt idx="39">
                  <c:v>11.157439232361988</c:v>
                </c:pt>
                <c:pt idx="40">
                  <c:v>18.271312931621427</c:v>
                </c:pt>
                <c:pt idx="41">
                  <c:v>23.825886308813757</c:v>
                </c:pt>
                <c:pt idx="42">
                  <c:v>31.518289982936352</c:v>
                </c:pt>
                <c:pt idx="43">
                  <c:v>42.366593050728589</c:v>
                </c:pt>
                <c:pt idx="44">
                  <c:v>57.979514950660544</c:v>
                </c:pt>
                <c:pt idx="45">
                  <c:v>80.969586658039006</c:v>
                </c:pt>
                <c:pt idx="46">
                  <c:v>115.71248310619652</c:v>
                </c:pt>
                <c:pt idx="47">
                  <c:v>169.79873750494914</c:v>
                </c:pt>
                <c:pt idx="48">
                  <c:v>256.93705634387447</c:v>
                </c:pt>
                <c:pt idx="49">
                  <c:v>403.07029567566281</c:v>
                </c:pt>
                <c:pt idx="50">
                  <c:v>660.06395843682787</c:v>
                </c:pt>
                <c:pt idx="51">
                  <c:v>1138.6202692249879</c:v>
                </c:pt>
                <c:pt idx="52">
                  <c:v>2094.5505279123959</c:v>
                </c:pt>
                <c:pt idx="53">
                  <c:v>4180.1943804184311</c:v>
                </c:pt>
                <c:pt idx="54">
                  <c:v>9282.0308597491476</c:v>
                </c:pt>
                <c:pt idx="55">
                  <c:v>23845.272140967616</c:v>
                </c:pt>
                <c:pt idx="56">
                  <c:v>75667.102729497725</c:v>
                </c:pt>
                <c:pt idx="57">
                  <c:v>335319.8565722956</c:v>
                </c:pt>
                <c:pt idx="58">
                  <c:v>2733527.0069530876</c:v>
                </c:pt>
                <c:pt idx="59">
                  <c:v>98750574.928898275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B-45A3-9120-69A1EE946A20}"/>
            </c:ext>
          </c:extLst>
        </c:ser>
        <c:ser>
          <c:idx val="4"/>
          <c:order val="4"/>
          <c:tx>
            <c:strRef>
              <c:f>Equations!$BP$13</c:f>
              <c:strCache>
                <c:ptCount val="1"/>
                <c:pt idx="0">
                  <c:v>SILO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Equations!$BK$80:$BK$139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Equations!$BP$80:$BP$139</c:f>
              <c:numCache>
                <c:formatCode>0.0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0.64059376654199285</c:v>
                </c:pt>
                <c:pt idx="26">
                  <c:v>0.75524211610421921</c:v>
                </c:pt>
                <c:pt idx="27">
                  <c:v>0.89667135111424812</c:v>
                </c:pt>
                <c:pt idx="28">
                  <c:v>1.0727404577278399</c:v>
                </c:pt>
                <c:pt idx="29">
                  <c:v>1.2941325543494742</c:v>
                </c:pt>
                <c:pt idx="30">
                  <c:v>1.575575572704736</c:v>
                </c:pt>
                <c:pt idx="31">
                  <c:v>1.9376894714572179</c:v>
                </c:pt>
                <c:pt idx="32">
                  <c:v>2.4098383366776059</c:v>
                </c:pt>
                <c:pt idx="33">
                  <c:v>3.0346328007587871</c:v>
                </c:pt>
                <c:pt idx="34">
                  <c:v>3.8752147069809619</c:v>
                </c:pt>
                <c:pt idx="35">
                  <c:v>5.0273711389695581</c:v>
                </c:pt>
                <c:pt idx="36">
                  <c:v>6.6403096443655825</c:v>
                </c:pt>
                <c:pt idx="37">
                  <c:v>8.9535504755197515</c:v>
                </c:pt>
                <c:pt idx="38">
                  <c:v>12.365095595980918</c:v>
                </c:pt>
                <c:pt idx="39">
                  <c:v>17.563292653624508</c:v>
                </c:pt>
                <c:pt idx="40">
                  <c:v>25.795890032830233</c:v>
                </c:pt>
                <c:pt idx="41">
                  <c:v>31.72454904062571</c:v>
                </c:pt>
                <c:pt idx="42">
                  <c:v>39.45474010054582</c:v>
                </c:pt>
                <c:pt idx="43">
                  <c:v>49.684099813765826</c:v>
                </c:pt>
                <c:pt idx="44">
                  <c:v>63.446409151470597</c:v>
                </c:pt>
                <c:pt idx="45">
                  <c:v>82.309928702725813</c:v>
                </c:pt>
                <c:pt idx="46">
                  <c:v>108.71753810954579</c:v>
                </c:pt>
                <c:pt idx="47">
                  <c:v>146.59074910219189</c:v>
                </c:pt>
                <c:pt idx="48">
                  <c:v>202.4457929947433</c:v>
                </c:pt>
                <c:pt idx="49">
                  <c:v>287.55254508646556</c:v>
                </c:pt>
                <c:pt idx="50">
                  <c:v>422.33959075892005</c:v>
                </c:pt>
                <c:pt idx="51">
                  <c:v>645.96719734643193</c:v>
                </c:pt>
                <c:pt idx="52">
                  <c:v>1038.7674331861451</c:v>
                </c:pt>
                <c:pt idx="53">
                  <c:v>1779.96264114424</c:v>
                </c:pt>
                <c:pt idx="54">
                  <c:v>3314.515345485222</c:v>
                </c:pt>
                <c:pt idx="55">
                  <c:v>6914.695701346277</c:v>
                </c:pt>
                <c:pt idx="56">
                  <c:v>17007.074075257115</c:v>
                </c:pt>
                <c:pt idx="57">
                  <c:v>54266.437513681813</c:v>
                </c:pt>
                <c:pt idx="58">
                  <c:v>278445.93444185483</c:v>
                </c:pt>
                <c:pt idx="59">
                  <c:v>4558816.999568182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B-45A3-9120-69A1EE946A20}"/>
            </c:ext>
          </c:extLst>
        </c:ser>
        <c:ser>
          <c:idx val="5"/>
          <c:order val="5"/>
          <c:tx>
            <c:strRef>
              <c:f>Equations!$BQ$13</c:f>
              <c:strCache>
                <c:ptCount val="1"/>
                <c:pt idx="0">
                  <c:v>SILT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Equations!$BK$80:$BK$139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Equations!$BQ$80:$BQ$139</c:f>
              <c:numCache>
                <c:formatCode>0.0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1.2776975815080398</c:v>
                </c:pt>
                <c:pt idx="28">
                  <c:v>1.4439841053507099</c:v>
                </c:pt>
                <c:pt idx="29">
                  <c:v>1.6412282702382093</c:v>
                </c:pt>
                <c:pt idx="30">
                  <c:v>1.8771074468209135</c:v>
                </c:pt>
                <c:pt idx="31">
                  <c:v>2.1617294162016423</c:v>
                </c:pt>
                <c:pt idx="32">
                  <c:v>2.5085876423108422</c:v>
                </c:pt>
                <c:pt idx="33">
                  <c:v>2.9359740118571134</c:v>
                </c:pt>
                <c:pt idx="34">
                  <c:v>3.469112497317123</c:v>
                </c:pt>
                <c:pt idx="35">
                  <c:v>4.1434580371537324</c:v>
                </c:pt>
                <c:pt idx="36">
                  <c:v>5.0099328664061273</c:v>
                </c:pt>
                <c:pt idx="37">
                  <c:v>6.1434889250455367</c:v>
                </c:pt>
                <c:pt idx="38">
                  <c:v>7.6575915156818688</c:v>
                </c:pt>
                <c:pt idx="39">
                  <c:v>9.7296931121637726</c:v>
                </c:pt>
                <c:pt idx="40">
                  <c:v>12.648116643700142</c:v>
                </c:pt>
                <c:pt idx="41">
                  <c:v>14.565924744767546</c:v>
                </c:pt>
                <c:pt idx="42">
                  <c:v>16.903086269583881</c:v>
                </c:pt>
                <c:pt idx="43">
                  <c:v>19.78285357491518</c:v>
                </c:pt>
                <c:pt idx="44">
                  <c:v>23.375188026927621</c:v>
                </c:pt>
                <c:pt idx="45">
                  <c:v>27.918988149002399</c:v>
                </c:pt>
                <c:pt idx="46">
                  <c:v>33.757372482182262</c:v>
                </c:pt>
                <c:pt idx="47">
                  <c:v>41.39537385292217</c:v>
                </c:pt>
                <c:pt idx="48">
                  <c:v>51.597531544710371</c:v>
                </c:pt>
                <c:pt idx="49">
                  <c:v>65.559536082216624</c:v>
                </c:pt>
                <c:pt idx="50">
                  <c:v>85.224132962436116</c:v>
                </c:pt>
                <c:pt idx="51">
                  <c:v>113.89449609733531</c:v>
                </c:pt>
                <c:pt idx="52">
                  <c:v>157.50409239157969</c:v>
                </c:pt>
                <c:pt idx="53">
                  <c:v>227.46017307777993</c:v>
                </c:pt>
                <c:pt idx="54">
                  <c:v>347.66874885599316</c:v>
                </c:pt>
                <c:pt idx="55">
                  <c:v>574.24777489039593</c:v>
                </c:pt>
                <c:pt idx="56">
                  <c:v>1061.2765592096039</c:v>
                </c:pt>
                <c:pt idx="57">
                  <c:v>2342.6228990499694</c:v>
                </c:pt>
                <c:pt idx="58">
                  <c:v>7150.9756859370927</c:v>
                </c:pt>
                <c:pt idx="59">
                  <c:v>48183.909101834717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B-45A3-9120-69A1EE946A20}"/>
            </c:ext>
          </c:extLst>
        </c:ser>
        <c:ser>
          <c:idx val="6"/>
          <c:order val="6"/>
          <c:tx>
            <c:strRef>
              <c:f>Equations!$BR$13</c:f>
              <c:strCache>
                <c:ptCount val="1"/>
                <c:pt idx="0">
                  <c:v>SNCL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Equations!$BK$80:$BK$139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Equations!$BR$80:$BR$139</c:f>
              <c:numCache>
                <c:formatCode>0.0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0.16642756778228451</c:v>
                </c:pt>
                <c:pt idx="30">
                  <c:v>0.24098678990273145</c:v>
                </c:pt>
                <c:pt idx="31">
                  <c:v>0.35563888969177293</c:v>
                </c:pt>
                <c:pt idx="32">
                  <c:v>0.53600099122038947</c:v>
                </c:pt>
                <c:pt idx="33">
                  <c:v>0.82700416530739995</c:v>
                </c:pt>
                <c:pt idx="34">
                  <c:v>1.3099999149155677</c:v>
                </c:pt>
                <c:pt idx="35">
                  <c:v>2.1376248402202145</c:v>
                </c:pt>
                <c:pt idx="36">
                  <c:v>3.6080221232975407</c:v>
                </c:pt>
                <c:pt idx="37">
                  <c:v>6.3308439983014422</c:v>
                </c:pt>
                <c:pt idx="38">
                  <c:v>11.62009071094791</c:v>
                </c:pt>
                <c:pt idx="39">
                  <c:v>22.486393980914876</c:v>
                </c:pt>
                <c:pt idx="40">
                  <c:v>46.342068309946661</c:v>
                </c:pt>
                <c:pt idx="41">
                  <c:v>68.389813924746278</c:v>
                </c:pt>
                <c:pt idx="42">
                  <c:v>103.07367702337615</c:v>
                </c:pt>
                <c:pt idx="43">
                  <c:v>159.03396006376511</c:v>
                </c:pt>
                <c:pt idx="44">
                  <c:v>251.91466124572605</c:v>
                </c:pt>
                <c:pt idx="45">
                  <c:v>411.06799425191662</c:v>
                </c:pt>
                <c:pt idx="46">
                  <c:v>693.82727480266033</c:v>
                </c:pt>
                <c:pt idx="47">
                  <c:v>1217.4294082564397</c:v>
                </c:pt>
                <c:pt idx="48">
                  <c:v>2234.5583245947842</c:v>
                </c:pt>
                <c:pt idx="49">
                  <c:v>4324.162358976323</c:v>
                </c:pt>
                <c:pt idx="50">
                  <c:v>8911.6390824184909</c:v>
                </c:pt>
                <c:pt idx="51">
                  <c:v>19821.200089443348</c:v>
                </c:pt>
                <c:pt idx="52">
                  <c:v>48443.511963616518</c:v>
                </c:pt>
                <c:pt idx="53">
                  <c:v>133423.87347118452</c:v>
                </c:pt>
                <c:pt idx="54">
                  <c:v>429708.42743176396</c:v>
                </c:pt>
                <c:pt idx="55">
                  <c:v>1713719.6079408326</c:v>
                </c:pt>
                <c:pt idx="56">
                  <c:v>9315749.3881625663</c:v>
                </c:pt>
                <c:pt idx="57">
                  <c:v>82633480.886816114</c:v>
                </c:pt>
                <c:pt idx="58">
                  <c:v>1791430537.2457244</c:v>
                </c:pt>
                <c:pt idx="59">
                  <c:v>344494386447.7959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B-45A3-9120-69A1EE946A20}"/>
            </c:ext>
          </c:extLst>
        </c:ser>
        <c:ser>
          <c:idx val="7"/>
          <c:order val="7"/>
          <c:tx>
            <c:strRef>
              <c:f>Equations!$BS$13</c:f>
              <c:strCache>
                <c:ptCount val="1"/>
                <c:pt idx="0">
                  <c:v>CLLO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Equations!$BK$80:$BK$139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Equations!$BS$80:$BS$139</c:f>
              <c:numCache>
                <c:formatCode>0.0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0.38975959063497639</c:v>
                </c:pt>
                <c:pt idx="27">
                  <c:v>0.52388485477291369</c:v>
                </c:pt>
                <c:pt idx="28">
                  <c:v>0.71348544484320264</c:v>
                </c:pt>
                <c:pt idx="29">
                  <c:v>0.98577112836544822</c:v>
                </c:pt>
                <c:pt idx="30">
                  <c:v>1.3836239312873484</c:v>
                </c:pt>
                <c:pt idx="31">
                  <c:v>1.976123745459178</c:v>
                </c:pt>
                <c:pt idx="32">
                  <c:v>2.8772760873930414</c:v>
                </c:pt>
                <c:pt idx="33">
                  <c:v>4.2803346795047927</c:v>
                </c:pt>
                <c:pt idx="34">
                  <c:v>6.522805906956795</c:v>
                </c:pt>
                <c:pt idx="35">
                  <c:v>10.214163158761773</c:v>
                </c:pt>
                <c:pt idx="36">
                  <c:v>16.497332954743172</c:v>
                </c:pt>
                <c:pt idx="37">
                  <c:v>27.609678843606069</c:v>
                </c:pt>
                <c:pt idx="38">
                  <c:v>48.152537897058892</c:v>
                </c:pt>
                <c:pt idx="39">
                  <c:v>88.146990471333822</c:v>
                </c:pt>
                <c:pt idx="40">
                  <c:v>170.93871552474079</c:v>
                </c:pt>
                <c:pt idx="41">
                  <c:v>244.13863270812294</c:v>
                </c:pt>
                <c:pt idx="42">
                  <c:v>355.47078036688987</c:v>
                </c:pt>
                <c:pt idx="43">
                  <c:v>528.81053556929214</c:v>
                </c:pt>
                <c:pt idx="44">
                  <c:v>805.85485560008374</c:v>
                </c:pt>
                <c:pt idx="45">
                  <c:v>1261.9006444145239</c:v>
                </c:pt>
                <c:pt idx="46">
                  <c:v>2038.1498477291932</c:v>
                </c:pt>
                <c:pt idx="47">
                  <c:v>3411.0157614760697</c:v>
                </c:pt>
                <c:pt idx="48">
                  <c:v>5948.9669058566014</c:v>
                </c:pt>
                <c:pt idx="49">
                  <c:v>10890.049664378143</c:v>
                </c:pt>
                <c:pt idx="50">
                  <c:v>21118.487332075398</c:v>
                </c:pt>
                <c:pt idx="51">
                  <c:v>43916.354168547747</c:v>
                </c:pt>
                <c:pt idx="52">
                  <c:v>99558.695683650789</c:v>
                </c:pt>
                <c:pt idx="53">
                  <c:v>251801.59806401804</c:v>
                </c:pt>
                <c:pt idx="54">
                  <c:v>734960.37369068048</c:v>
                </c:pt>
                <c:pt idx="55">
                  <c:v>2609066.6811549705</c:v>
                </c:pt>
                <c:pt idx="56">
                  <c:v>12299899.687082998</c:v>
                </c:pt>
                <c:pt idx="57">
                  <c:v>90800093.435343653</c:v>
                </c:pt>
                <c:pt idx="58">
                  <c:v>1519581300.9947701</c:v>
                </c:pt>
                <c:pt idx="59">
                  <c:v>187735460375.98477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B-45A3-9120-69A1EE946A20}"/>
            </c:ext>
          </c:extLst>
        </c:ser>
        <c:ser>
          <c:idx val="8"/>
          <c:order val="8"/>
          <c:tx>
            <c:strRef>
              <c:f>Equations!$BT$13</c:f>
              <c:strCache>
                <c:ptCount val="1"/>
                <c:pt idx="0">
                  <c:v>SLCL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Equations!$BK$80:$BK$139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Equations!$BT$80:$BT$139</c:f>
              <c:numCache>
                <c:formatCode>0.0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0.41523540177104562</c:v>
                </c:pt>
                <c:pt idx="24">
                  <c:v>0.52232437387968356</c:v>
                </c:pt>
                <c:pt idx="25">
                  <c:v>0.66297152815806815</c:v>
                </c:pt>
                <c:pt idx="26">
                  <c:v>0.84972291791273824</c:v>
                </c:pt>
                <c:pt idx="27">
                  <c:v>1.1006459243517843</c:v>
                </c:pt>
                <c:pt idx="28">
                  <c:v>1.442161086990968</c:v>
                </c:pt>
                <c:pt idx="29">
                  <c:v>1.9135540428329101</c:v>
                </c:pt>
                <c:pt idx="30">
                  <c:v>2.5743143185121968</c:v>
                </c:pt>
                <c:pt idx="31">
                  <c:v>3.5163446543045929</c:v>
                </c:pt>
                <c:pt idx="32">
                  <c:v>4.8847833673957783</c:v>
                </c:pt>
                <c:pt idx="33">
                  <c:v>6.9145013704952198</c:v>
                </c:pt>
                <c:pt idx="34">
                  <c:v>9.9960464801693014</c:v>
                </c:pt>
                <c:pt idx="35">
                  <c:v>14.798903854925289</c:v>
                </c:pt>
                <c:pt idx="36">
                  <c:v>22.510838240611001</c:v>
                </c:pt>
                <c:pt idx="37">
                  <c:v>35.323131965555916</c:v>
                </c:pt>
                <c:pt idx="38">
                  <c:v>57.464051582825007</c:v>
                </c:pt>
                <c:pt idx="39">
                  <c:v>97.528755958660042</c:v>
                </c:pt>
                <c:pt idx="40">
                  <c:v>174.092669117089</c:v>
                </c:pt>
                <c:pt idx="41">
                  <c:v>237.79917704738293</c:v>
                </c:pt>
                <c:pt idx="42">
                  <c:v>330.34232392421171</c:v>
                </c:pt>
                <c:pt idx="43">
                  <c:v>467.60568068431832</c:v>
                </c:pt>
                <c:pt idx="44">
                  <c:v>676.00075089389804</c:v>
                </c:pt>
                <c:pt idx="45">
                  <c:v>1000.8026811582655</c:v>
                </c:pt>
                <c:pt idx="46">
                  <c:v>1522.3362140315287</c:v>
                </c:pt>
                <c:pt idx="47">
                  <c:v>2388.7907864385606</c:v>
                </c:pt>
                <c:pt idx="48">
                  <c:v>3886.1105834651294</c:v>
                </c:pt>
                <c:pt idx="49">
                  <c:v>6595.5587934286086</c:v>
                </c:pt>
                <c:pt idx="50">
                  <c:v>11773.332115026513</c:v>
                </c:pt>
                <c:pt idx="51">
                  <c:v>22339.998065017036</c:v>
                </c:pt>
                <c:pt idx="52">
                  <c:v>45715.775343350921</c:v>
                </c:pt>
                <c:pt idx="53">
                  <c:v>102950.74416069087</c:v>
                </c:pt>
                <c:pt idx="54">
                  <c:v>262805.26783171383</c:v>
                </c:pt>
                <c:pt idx="55">
                  <c:v>796192.91147457494</c:v>
                </c:pt>
                <c:pt idx="56">
                  <c:v>3091612.1209630938</c:v>
                </c:pt>
                <c:pt idx="57">
                  <c:v>17772682.304504592</c:v>
                </c:pt>
                <c:pt idx="58">
                  <c:v>209075870.08422244</c:v>
                </c:pt>
                <c:pt idx="59">
                  <c:v>14139134451.917385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B-45A3-9120-69A1EE946A20}"/>
            </c:ext>
          </c:extLst>
        </c:ser>
        <c:ser>
          <c:idx val="9"/>
          <c:order val="9"/>
          <c:tx>
            <c:strRef>
              <c:f>Equations!$BU$13</c:f>
              <c:strCache>
                <c:ptCount val="1"/>
                <c:pt idx="0">
                  <c:v>SACL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Equations!$BK$80:$BK$139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Equations!$BU$80:$BU$139</c:f>
              <c:numCache>
                <c:formatCode>0.0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0.44619580519012819</c:v>
                </c:pt>
                <c:pt idx="29">
                  <c:v>0.71804672106653022</c:v>
                </c:pt>
                <c:pt idx="30">
                  <c:v>1.1826689818976521</c:v>
                </c:pt>
                <c:pt idx="31">
                  <c:v>1.9984432678654955</c:v>
                </c:pt>
                <c:pt idx="32">
                  <c:v>3.4740922675719501</c:v>
                </c:pt>
                <c:pt idx="33">
                  <c:v>6.233342271206511</c:v>
                </c:pt>
                <c:pt idx="34">
                  <c:v>11.587677556580489</c:v>
                </c:pt>
                <c:pt idx="35">
                  <c:v>22.421059649145597</c:v>
                </c:pt>
                <c:pt idx="36">
                  <c:v>45.404686777861606</c:v>
                </c:pt>
                <c:pt idx="37">
                  <c:v>96.886863335623545</c:v>
                </c:pt>
                <c:pt idx="38">
                  <c:v>219.67939775868757</c:v>
                </c:pt>
                <c:pt idx="39">
                  <c:v>534.89235556670087</c:v>
                </c:pt>
                <c:pt idx="40">
                  <c:v>1417.7645558844933</c:v>
                </c:pt>
                <c:pt idx="41">
                  <c:v>2395.7016506676932</c:v>
                </c:pt>
                <c:pt idx="42">
                  <c:v>4164.6859402136188</c:v>
                </c:pt>
                <c:pt idx="43">
                  <c:v>7472.4304704711903</c:v>
                </c:pt>
                <c:pt idx="44">
                  <c:v>13891.121502466049</c:v>
                </c:pt>
                <c:pt idx="45">
                  <c:v>26878.005733206552</c:v>
                </c:pt>
                <c:pt idx="46">
                  <c:v>54430.408313744418</c:v>
                </c:pt>
                <c:pt idx="47">
                  <c:v>116146.41363779292</c:v>
                </c:pt>
                <c:pt idx="48">
                  <c:v>263348.12916170014</c:v>
                </c:pt>
                <c:pt idx="49">
                  <c:v>641220.35374532477</c:v>
                </c:pt>
                <c:pt idx="50">
                  <c:v>1699593.3491864458</c:v>
                </c:pt>
                <c:pt idx="51">
                  <c:v>4992558.5288888179</c:v>
                </c:pt>
                <c:pt idx="52">
                  <c:v>16652453.060940817</c:v>
                </c:pt>
                <c:pt idx="53">
                  <c:v>65250298.139827035</c:v>
                </c:pt>
                <c:pt idx="54">
                  <c:v>315697502.08960921</c:v>
                </c:pt>
                <c:pt idx="55">
                  <c:v>2037445174.2424212</c:v>
                </c:pt>
                <c:pt idx="56">
                  <c:v>19962692925.665302</c:v>
                </c:pt>
                <c:pt idx="57">
                  <c:v>378453088475.98926</c:v>
                </c:pt>
                <c:pt idx="58">
                  <c:v>23930955240410.438</c:v>
                </c:pt>
                <c:pt idx="59">
                  <c:v>2.8688044285960852E+16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5B-45A3-9120-69A1EE946A20}"/>
            </c:ext>
          </c:extLst>
        </c:ser>
        <c:ser>
          <c:idx val="10"/>
          <c:order val="10"/>
          <c:tx>
            <c:strRef>
              <c:f>Equations!$BV$13</c:f>
              <c:strCache>
                <c:ptCount val="1"/>
                <c:pt idx="0">
                  <c:v>SICL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Equations!$BK$80:$BK$139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Equations!$BV$80:$BV$139</c:f>
              <c:numCache>
                <c:formatCode>0.0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0.26164938103487634</c:v>
                </c:pt>
                <c:pt idx="24">
                  <c:v>0.37410616542478276</c:v>
                </c:pt>
                <c:pt idx="25">
                  <c:v>0.54245132335658153</c:v>
                </c:pt>
                <c:pt idx="26">
                  <c:v>0.79857339553775564</c:v>
                </c:pt>
                <c:pt idx="27">
                  <c:v>1.1951378406596882</c:v>
                </c:pt>
                <c:pt idx="28">
                  <c:v>1.8209835741711495</c:v>
                </c:pt>
                <c:pt idx="29">
                  <c:v>2.8294594850079555</c:v>
                </c:pt>
                <c:pt idx="30">
                  <c:v>4.4920130621412078</c:v>
                </c:pt>
                <c:pt idx="31">
                  <c:v>7.3025943709077081</c:v>
                </c:pt>
                <c:pt idx="32">
                  <c:v>12.187822537629238</c:v>
                </c:pt>
                <c:pt idx="33">
                  <c:v>20.945617558197547</c:v>
                </c:pt>
                <c:pt idx="34">
                  <c:v>37.19814199288642</c:v>
                </c:pt>
                <c:pt idx="35">
                  <c:v>68.557077338173315</c:v>
                </c:pt>
                <c:pt idx="36">
                  <c:v>131.79832470573305</c:v>
                </c:pt>
                <c:pt idx="37">
                  <c:v>265.95769497777565</c:v>
                </c:pt>
                <c:pt idx="38">
                  <c:v>567.71782765632918</c:v>
                </c:pt>
                <c:pt idx="39">
                  <c:v>1294.5645881805815</c:v>
                </c:pt>
                <c:pt idx="40">
                  <c:v>3193.4395907659432</c:v>
                </c:pt>
                <c:pt idx="41">
                  <c:v>5191.5240799066287</c:v>
                </c:pt>
                <c:pt idx="42">
                  <c:v>8664.5061976605502</c:v>
                </c:pt>
                <c:pt idx="43">
                  <c:v>14890.554287815574</c:v>
                </c:pt>
                <c:pt idx="44">
                  <c:v>26444.718147456413</c:v>
                </c:pt>
                <c:pt idx="45">
                  <c:v>48738.256538943919</c:v>
                </c:pt>
                <c:pt idx="46">
                  <c:v>93697.409666767126</c:v>
                </c:pt>
                <c:pt idx="47">
                  <c:v>189073.32210784749</c:v>
                </c:pt>
                <c:pt idx="48">
                  <c:v>403599.13520758302</c:v>
                </c:pt>
                <c:pt idx="49">
                  <c:v>920325.42014222674</c:v>
                </c:pt>
                <c:pt idx="50">
                  <c:v>2270264.1953160809</c:v>
                </c:pt>
                <c:pt idx="51">
                  <c:v>6159727.6640279563</c:v>
                </c:pt>
                <c:pt idx="52">
                  <c:v>18799947.535878085</c:v>
                </c:pt>
                <c:pt idx="53">
                  <c:v>66610896.594196767</c:v>
                </c:pt>
                <c:pt idx="54">
                  <c:v>286924690.40961093</c:v>
                </c:pt>
                <c:pt idx="55">
                  <c:v>1613964933.4334164</c:v>
                </c:pt>
                <c:pt idx="56">
                  <c:v>13365165224.336636</c:v>
                </c:pt>
                <c:pt idx="57">
                  <c:v>203979074247.29367</c:v>
                </c:pt>
                <c:pt idx="58">
                  <c:v>9501496806463.0234</c:v>
                </c:pt>
                <c:pt idx="59">
                  <c:v>6754756865918749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5B-45A3-9120-69A1EE946A20}"/>
            </c:ext>
          </c:extLst>
        </c:ser>
        <c:ser>
          <c:idx val="11"/>
          <c:order val="11"/>
          <c:tx>
            <c:strRef>
              <c:f>Equations!$BW$13</c:f>
              <c:strCache>
                <c:ptCount val="1"/>
                <c:pt idx="0">
                  <c:v>CLAY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Equations!$BK$80:$BK$139</c:f>
              <c:numCache>
                <c:formatCode>0</c:formatCode>
                <c:ptCount val="60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64</c:v>
                </c:pt>
                <c:pt idx="19">
                  <c:v>62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54</c:v>
                </c:pt>
                <c:pt idx="24">
                  <c:v>52</c:v>
                </c:pt>
                <c:pt idx="25">
                  <c:v>50</c:v>
                </c:pt>
                <c:pt idx="26">
                  <c:v>48</c:v>
                </c:pt>
                <c:pt idx="27">
                  <c:v>46</c:v>
                </c:pt>
                <c:pt idx="28">
                  <c:v>44</c:v>
                </c:pt>
                <c:pt idx="29">
                  <c:v>42</c:v>
                </c:pt>
                <c:pt idx="30">
                  <c:v>40</c:v>
                </c:pt>
                <c:pt idx="31">
                  <c:v>38</c:v>
                </c:pt>
                <c:pt idx="32">
                  <c:v>36</c:v>
                </c:pt>
                <c:pt idx="33">
                  <c:v>34</c:v>
                </c:pt>
                <c:pt idx="34">
                  <c:v>32</c:v>
                </c:pt>
                <c:pt idx="35">
                  <c:v>30</c:v>
                </c:pt>
                <c:pt idx="36">
                  <c:v>28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xVal>
          <c:yVal>
            <c:numRef>
              <c:f>Equations!$BW$80:$BW$139</c:f>
              <c:numCache>
                <c:formatCode>0.0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0.36993852109480896</c:v>
                </c:pt>
                <c:pt idx="25">
                  <c:v>0.59930674125195449</c:v>
                </c:pt>
                <c:pt idx="26">
                  <c:v>0.99019999343533505</c:v>
                </c:pt>
                <c:pt idx="27">
                  <c:v>1.671395213732995</c:v>
                </c:pt>
                <c:pt idx="28">
                  <c:v>2.8876421205719898</c:v>
                </c:pt>
                <c:pt idx="29">
                  <c:v>5.1174820096192342</c:v>
                </c:pt>
                <c:pt idx="30">
                  <c:v>9.3260247275448016</c:v>
                </c:pt>
                <c:pt idx="31">
                  <c:v>17.527044346547179</c:v>
                </c:pt>
                <c:pt idx="32">
                  <c:v>34.083117097338061</c:v>
                </c:pt>
                <c:pt idx="33">
                  <c:v>68.84672406281004</c:v>
                </c:pt>
                <c:pt idx="34">
                  <c:v>145.12557799214247</c:v>
                </c:pt>
                <c:pt idx="35">
                  <c:v>321.00585230143025</c:v>
                </c:pt>
                <c:pt idx="36">
                  <c:v>750.02781199158119</c:v>
                </c:pt>
                <c:pt idx="37">
                  <c:v>1866.2378223743933</c:v>
                </c:pt>
                <c:pt idx="38">
                  <c:v>4995.2859031684893</c:v>
                </c:pt>
                <c:pt idx="39">
                  <c:v>14567.35818412303</c:v>
                </c:pt>
                <c:pt idx="40">
                  <c:v>47047.222947843424</c:v>
                </c:pt>
                <c:pt idx="41">
                  <c:v>88419.10536150074</c:v>
                </c:pt>
                <c:pt idx="42">
                  <c:v>171939.92678358051</c:v>
                </c:pt>
                <c:pt idx="43">
                  <c:v>347312.73729577678</c:v>
                </c:pt>
                <c:pt idx="44">
                  <c:v>732118.52023777273</c:v>
                </c:pt>
                <c:pt idx="45">
                  <c:v>1619386.0022890803</c:v>
                </c:pt>
                <c:pt idx="46">
                  <c:v>3783683.4791602357</c:v>
                </c:pt>
                <c:pt idx="47">
                  <c:v>9414655.1685222406</c:v>
                </c:pt>
                <c:pt idx="48">
                  <c:v>25199839.850355819</c:v>
                </c:pt>
                <c:pt idx="49">
                  <c:v>73488304.853546739</c:v>
                </c:pt>
                <c:pt idx="50">
                  <c:v>237340265.73686799</c:v>
                </c:pt>
                <c:pt idx="51">
                  <c:v>867389515.39887571</c:v>
                </c:pt>
                <c:pt idx="52">
                  <c:v>3693336041.0400267</c:v>
                </c:pt>
                <c:pt idx="53">
                  <c:v>19087639740.259132</c:v>
                </c:pt>
                <c:pt idx="54">
                  <c:v>127126242780.37531</c:v>
                </c:pt>
                <c:pt idx="55">
                  <c:v>1197316190213.7139</c:v>
                </c:pt>
                <c:pt idx="56">
                  <c:v>18631861829714.426</c:v>
                </c:pt>
                <c:pt idx="57">
                  <c:v>641316837703101.88</c:v>
                </c:pt>
                <c:pt idx="58">
                  <c:v>9.399260489273464E+16</c:v>
                </c:pt>
                <c:pt idx="59">
                  <c:v>4.741667716981491E+20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B5B-45A3-9120-69A1EE94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13840"/>
        <c:axId val="496520112"/>
      </c:scatterChart>
      <c:valAx>
        <c:axId val="49651384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Soil Moisture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20112"/>
        <c:crosses val="autoZero"/>
        <c:crossBetween val="midCat"/>
      </c:valAx>
      <c:valAx>
        <c:axId val="496520112"/>
        <c:scaling>
          <c:logBase val="3"/>
          <c:orientation val="minMax"/>
          <c:max val="218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PressureHead (mH2O)</a:t>
                </a:r>
              </a:p>
            </c:rich>
          </c:tx>
          <c:layout>
            <c:manualLayout>
              <c:xMode val="edge"/>
              <c:yMode val="edge"/>
              <c:x val="7.3339938932662505E-3"/>
              <c:y val="0.38411704743135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1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Salinity Effects on Tension</a:t>
            </a:r>
          </a:p>
        </c:rich>
      </c:tx>
      <c:layout>
        <c:manualLayout>
          <c:xMode val="edge"/>
          <c:yMode val="edge"/>
          <c:x val="0.34821454645170713"/>
          <c:y val="2.99401197604790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0416583885089"/>
          <c:y val="0.15968094997690163"/>
          <c:w val="0.83163317100878098"/>
          <c:h val="0.6746520136524093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Equations!$CQ$15:$CQ$44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Equations!$CR$15:$CR$44</c:f>
              <c:numCache>
                <c:formatCode>0</c:formatCode>
                <c:ptCount val="30"/>
                <c:pt idx="12">
                  <c:v>0.14356754722899359</c:v>
                </c:pt>
                <c:pt idx="13">
                  <c:v>0.18040808557182483</c:v>
                </c:pt>
                <c:pt idx="14">
                  <c:v>0.22951993267432516</c:v>
                </c:pt>
                <c:pt idx="15">
                  <c:v>0.29604865538684544</c:v>
                </c:pt>
                <c:pt idx="16">
                  <c:v>0.38780135472843957</c:v>
                </c:pt>
                <c:pt idx="17">
                  <c:v>0.51692188174866782</c:v>
                </c:pt>
                <c:pt idx="18">
                  <c:v>0.7028377721056045</c:v>
                </c:pt>
                <c:pt idx="19">
                  <c:v>0.97763721218095212</c:v>
                </c:pt>
                <c:pt idx="20">
                  <c:v>1.3962974913206845</c:v>
                </c:pt>
                <c:pt idx="21">
                  <c:v>2.057099943664741</c:v>
                </c:pt>
                <c:pt idx="22">
                  <c:v>3.1447235030283363</c:v>
                </c:pt>
                <c:pt idx="23">
                  <c:v>3.951683773834727</c:v>
                </c:pt>
                <c:pt idx="24">
                  <c:v>5.0274364967953451</c:v>
                </c:pt>
                <c:pt idx="25">
                  <c:v>6.4846908831701118</c:v>
                </c:pt>
                <c:pt idx="26">
                  <c:v>8.4944547584669632</c:v>
                </c:pt>
                <c:pt idx="27">
                  <c:v>11.32272872344776</c:v>
                </c:pt>
                <c:pt idx="28">
                  <c:v>15.395056218597933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C-46E1-B60A-C294C8C18FA6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Equations!$CQ$15:$CQ$44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Equations!$CS$15:$CS$44</c:f>
              <c:numCache>
                <c:formatCode>0</c:formatCode>
                <c:ptCount val="30"/>
                <c:pt idx="12">
                  <c:v>0.82760324417352549</c:v>
                </c:pt>
                <c:pt idx="13">
                  <c:v>1.0565137629091621</c:v>
                </c:pt>
                <c:pt idx="14">
                  <c:v>1.3666693296249419</c:v>
                </c:pt>
                <c:pt idx="15">
                  <c:v>1.7940850390369762</c:v>
                </c:pt>
                <c:pt idx="16">
                  <c:v>2.3943589726576961</c:v>
                </c:pt>
                <c:pt idx="17">
                  <c:v>3.2555757038503859</c:v>
                </c:pt>
                <c:pt idx="18">
                  <c:v>4.5214325817287442</c:v>
                </c:pt>
                <c:pt idx="19">
                  <c:v>6.4342835936228946</c:v>
                </c:pt>
                <c:pt idx="20">
                  <c:v>9.4187848495748128</c:v>
                </c:pt>
                <c:pt idx="21">
                  <c:v>14.252722635840312</c:v>
                </c:pt>
                <c:pt idx="22">
                  <c:v>22.436712708321998</c:v>
                </c:pt>
                <c:pt idx="23">
                  <c:v>28.64258439979109</c:v>
                </c:pt>
                <c:pt idx="24">
                  <c:v>37.051047506092878</c:v>
                </c:pt>
                <c:pt idx="25">
                  <c:v>48.638488162730454</c:v>
                </c:pt>
                <c:pt idx="26">
                  <c:v>64.912196476177499</c:v>
                </c:pt>
                <c:pt idx="27">
                  <c:v>88.260186607205924</c:v>
                </c:pt>
                <c:pt idx="28">
                  <c:v>122.57816119075559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C-46E1-B60A-C294C8C18FA6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Equations!$CQ$15:$CQ$44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Equations!$CT$15:$CT$44</c:f>
              <c:numCache>
                <c:formatCode>0</c:formatCode>
                <c:ptCount val="30"/>
                <c:pt idx="12">
                  <c:v>4.9586444722123169</c:v>
                </c:pt>
                <c:pt idx="13">
                  <c:v>6.4660979691443634</c:v>
                </c:pt>
                <c:pt idx="14">
                  <c:v>8.5537363944432734</c:v>
                </c:pt>
                <c:pt idx="15">
                  <c:v>11.497853122196007</c:v>
                </c:pt>
                <c:pt idx="16">
                  <c:v>15.7350378917806</c:v>
                </c:pt>
                <c:pt idx="17">
                  <c:v>21.97430446305491</c:v>
                </c:pt>
                <c:pt idx="18">
                  <c:v>31.403165545235058</c:v>
                </c:pt>
                <c:pt idx="19">
                  <c:v>46.081612978144541</c:v>
                </c:pt>
                <c:pt idx="20">
                  <c:v>69.73004725572261</c:v>
                </c:pt>
                <c:pt idx="21">
                  <c:v>109.38908993814397</c:v>
                </c:pt>
                <c:pt idx="22">
                  <c:v>179.13449958732113</c:v>
                </c:pt>
                <c:pt idx="23">
                  <c:v>233.59231146258989</c:v>
                </c:pt>
                <c:pt idx="24">
                  <c:v>309.00970965091688</c:v>
                </c:pt>
                <c:pt idx="25">
                  <c:v>415.36798552814531</c:v>
                </c:pt>
                <c:pt idx="26">
                  <c:v>568.43924877600455</c:v>
                </c:pt>
                <c:pt idx="27">
                  <c:v>793.83711734682129</c:v>
                </c:pt>
                <c:pt idx="28">
                  <c:v>1134.4613183960951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C-46E1-B60A-C294C8C18FA6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Equations!$CQ$15:$CQ$44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Equations!$CU$15:$CU$44</c:f>
              <c:numCache>
                <c:formatCode>0</c:formatCode>
                <c:ptCount val="30"/>
                <c:pt idx="12">
                  <c:v>15.447162600450485</c:v>
                </c:pt>
                <c:pt idx="13">
                  <c:v>18.997377754084948</c:v>
                </c:pt>
                <c:pt idx="14">
                  <c:v>23.626391061366206</c:v>
                </c:pt>
                <c:pt idx="15">
                  <c:v>29.751963103559824</c:v>
                </c:pt>
                <c:pt idx="16">
                  <c:v>37.993145316178371</c:v>
                </c:pt>
                <c:pt idx="17">
                  <c:v>49.289047622870193</c:v>
                </c:pt>
                <c:pt idx="18">
                  <c:v>65.102521625014504</c:v>
                </c:pt>
                <c:pt idx="19">
                  <c:v>87.781857273445539</c:v>
                </c:pt>
                <c:pt idx="20">
                  <c:v>121.22912131300605</c:v>
                </c:pt>
                <c:pt idx="21">
                  <c:v>172.19297006115593</c:v>
                </c:pt>
                <c:pt idx="22">
                  <c:v>252.90650265440664</c:v>
                </c:pt>
                <c:pt idx="23">
                  <c:v>311.03190221161628</c:v>
                </c:pt>
                <c:pt idx="24">
                  <c:v>386.81977319907287</c:v>
                </c:pt>
                <c:pt idx="25">
                  <c:v>487.1098421275654</c:v>
                </c:pt>
                <c:pt idx="26">
                  <c:v>622.0374417807385</c:v>
                </c:pt>
                <c:pt idx="27">
                  <c:v>806.9780176395027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C-46E1-B60A-C294C8C18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1280"/>
        <c:axId val="495617160"/>
      </c:scatterChart>
      <c:valAx>
        <c:axId val="495611280"/>
        <c:scaling>
          <c:orientation val="minMax"/>
          <c:max val="5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8469420969597254"/>
              <c:y val="0.91217732513974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7160"/>
        <c:crossesAt val="10"/>
        <c:crossBetween val="midCat"/>
        <c:majorUnit val="5"/>
      </c:valAx>
      <c:valAx>
        <c:axId val="495617160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2.0408052792586815E-2"/>
              <c:y val="0.393214411072867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1280"/>
        <c:crosses val="autoZero"/>
        <c:crossBetween val="midCat"/>
        <c:majorUnit val="10"/>
        <c:min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Gravel Effects</a:t>
            </a:r>
          </a:p>
        </c:rich>
      </c:tx>
      <c:layout>
        <c:manualLayout>
          <c:xMode val="edge"/>
          <c:yMode val="edge"/>
          <c:x val="0.40663955135104513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23541536379367"/>
          <c:y val="0.14784409073818774"/>
          <c:w val="0.68879761086295554"/>
          <c:h val="0.6694051886201278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Equations!$CK$20:$CK$34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Equations!$CL$20:$CL$34</c:f>
              <c:numCache>
                <c:formatCode>0.00</c:formatCode>
                <c:ptCount val="15"/>
                <c:pt idx="0">
                  <c:v>0</c:v>
                </c:pt>
                <c:pt idx="1">
                  <c:v>2.6533370684474079E-2</c:v>
                </c:pt>
                <c:pt idx="2">
                  <c:v>5.4410780977330563E-2</c:v>
                </c:pt>
                <c:pt idx="3">
                  <c:v>8.3737007450988055E-2</c:v>
                </c:pt>
                <c:pt idx="4">
                  <c:v>0.11462800790875503</c:v>
                </c:pt>
                <c:pt idx="5">
                  <c:v>0.14721245377321235</c:v>
                </c:pt>
                <c:pt idx="6">
                  <c:v>0.18163352159376231</c:v>
                </c:pt>
                <c:pt idx="7">
                  <c:v>0.21805099627413727</c:v>
                </c:pt>
                <c:pt idx="8">
                  <c:v>0.2566437511884162</c:v>
                </c:pt>
                <c:pt idx="9">
                  <c:v>0.29761268640397059</c:v>
                </c:pt>
                <c:pt idx="10">
                  <c:v>0.34118422686778971</c:v>
                </c:pt>
                <c:pt idx="11">
                  <c:v>0.38761450914396078</c:v>
                </c:pt>
                <c:pt idx="12">
                  <c:v>0.4371944201814284</c:v>
                </c:pt>
                <c:pt idx="13">
                  <c:v>0.49025569750739106</c:v>
                </c:pt>
                <c:pt idx="14">
                  <c:v>0.54717836119434171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6-4B44-8D28-B732F0C4CDD8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Equations!$CK$20:$CK$34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Equations!$CM$20:$CM$34</c:f>
              <c:numCache>
                <c:formatCode>0.00</c:formatCode>
                <c:ptCount val="15"/>
                <c:pt idx="0">
                  <c:v>1.3723687836147198</c:v>
                </c:pt>
                <c:pt idx="1">
                  <c:v>1.4062686462771261</c:v>
                </c:pt>
                <c:pt idx="2">
                  <c:v>1.4418856958992596</c:v>
                </c:pt>
                <c:pt idx="3">
                  <c:v>1.4793537983007889</c:v>
                </c:pt>
                <c:pt idx="4">
                  <c:v>1.5188211047910039</c:v>
                </c:pt>
                <c:pt idx="5">
                  <c:v>1.5604520099960508</c:v>
                </c:pt>
                <c:pt idx="6">
                  <c:v>1.6044294407449005</c:v>
                </c:pt>
                <c:pt idx="7">
                  <c:v>1.650957543218468</c:v>
                </c:pt>
                <c:pt idx="8">
                  <c:v>1.700264851623257</c:v>
                </c:pt>
                <c:pt idx="9">
                  <c:v>1.7526080421567158</c:v>
                </c:pt>
                <c:pt idx="10">
                  <c:v>1.8082764023992852</c:v>
                </c:pt>
                <c:pt idx="11">
                  <c:v>1.8675971804209017</c:v>
                </c:pt>
                <c:pt idx="12">
                  <c:v>1.9309420224679754</c:v>
                </c:pt>
                <c:pt idx="13">
                  <c:v>1.9987347667609019</c:v>
                </c:pt>
                <c:pt idx="14">
                  <c:v>2.0714609388071508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6-4B44-8D28-B732F0C4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8728"/>
        <c:axId val="495611672"/>
      </c:scatterChart>
      <c:scatterChart>
        <c:scatterStyle val="lineMarker"/>
        <c:varyColors val="0"/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Equations!$CK$20:$CK$34</c:f>
              <c:numCache>
                <c:formatCode>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</c:numCache>
            </c:numRef>
          </c:xVal>
          <c:yVal>
            <c:numRef>
              <c:f>Equations!$CN$20:$CN$34</c:f>
              <c:numCache>
                <c:formatCode>0.0</c:formatCode>
                <c:ptCount val="15"/>
                <c:pt idx="0">
                  <c:v>12.141446393783953</c:v>
                </c:pt>
                <c:pt idx="1">
                  <c:v>11.664543073356816</c:v>
                </c:pt>
                <c:pt idx="2">
                  <c:v>11.176752886627749</c:v>
                </c:pt>
                <c:pt idx="3">
                  <c:v>10.677698737280368</c:v>
                </c:pt>
                <c:pt idx="4">
                  <c:v>10.166985909890023</c:v>
                </c:pt>
                <c:pt idx="5">
                  <c:v>9.6442010287377826</c:v>
                </c:pt>
                <c:pt idx="6">
                  <c:v>9.108910941907757</c:v>
                </c:pt>
                <c:pt idx="7">
                  <c:v>8.5606615243366857</c:v>
                </c:pt>
                <c:pt idx="8">
                  <c:v>7.998976392864062</c:v>
                </c:pt>
                <c:pt idx="9">
                  <c:v>7.4233555256411936</c:v>
                </c:pt>
                <c:pt idx="10">
                  <c:v>6.8332737774896826</c:v>
                </c:pt>
                <c:pt idx="11">
                  <c:v>6.2281792819440156</c:v>
                </c:pt>
                <c:pt idx="12">
                  <c:v>5.6074917297578617</c:v>
                </c:pt>
                <c:pt idx="13">
                  <c:v>4.9706005125864676</c:v>
                </c:pt>
                <c:pt idx="14">
                  <c:v>4.316862719363237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26-4B44-8D28-B732F0C4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2064"/>
        <c:axId val="495608536"/>
      </c:scatterChart>
      <c:valAx>
        <c:axId val="495618728"/>
        <c:scaling>
          <c:orientation val="minMax"/>
          <c:max val="0.8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Gravel, %w</a:t>
                </a:r>
              </a:p>
            </c:rich>
          </c:tx>
          <c:layout>
            <c:manualLayout>
              <c:xMode val="edge"/>
              <c:yMode val="edge"/>
              <c:x val="0.4910103287448781"/>
              <c:y val="0.8973314577977546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1672"/>
        <c:crosses val="autoZero"/>
        <c:crossBetween val="midCat"/>
        <c:majorUnit val="0.2"/>
        <c:minorUnit val="0.1"/>
      </c:valAx>
      <c:valAx>
        <c:axId val="495611672"/>
        <c:scaling>
          <c:orientation val="minMax"/>
          <c:max val="2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Gravel, %v,
Bulk Den., g/cc</a:t>
                </a:r>
              </a:p>
            </c:rich>
          </c:tx>
          <c:layout>
            <c:manualLayout>
              <c:xMode val="edge"/>
              <c:yMode val="edge"/>
              <c:x val="7.4688872524028033E-2"/>
              <c:y val="0.3531831826976453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8728"/>
        <c:crosses val="autoZero"/>
        <c:crossBetween val="midCat"/>
        <c:majorUnit val="0.5"/>
        <c:minorUnit val="0.1"/>
      </c:valAx>
      <c:valAx>
        <c:axId val="495612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95608536"/>
        <c:crosses val="autoZero"/>
        <c:crossBetween val="midCat"/>
      </c:valAx>
      <c:valAx>
        <c:axId val="4956085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Sat. Cond., mm/hr</a:t>
                </a:r>
              </a:p>
            </c:rich>
          </c:tx>
          <c:layout>
            <c:manualLayout>
              <c:xMode val="edge"/>
              <c:yMode val="edge"/>
              <c:x val="0.94605940444494796"/>
              <c:y val="0.338809466065201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2064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Organic Matter Effects on Conductivity</a:t>
            </a:r>
          </a:p>
        </c:rich>
      </c:tx>
      <c:layout>
        <c:manualLayout>
          <c:xMode val="edge"/>
          <c:yMode val="edge"/>
          <c:x val="0.15824468085106383"/>
          <c:y val="2.9013539651837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138297872340424"/>
          <c:y val="0.19922649376897758"/>
          <c:w val="0.72739361702127658"/>
          <c:h val="0.5938110056997681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Equations!$BY$15:$BY$37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Equations!$BZ$15:$BZ$37</c:f>
              <c:numCache>
                <c:formatCode>General</c:formatCode>
                <c:ptCount val="23"/>
                <c:pt idx="11">
                  <c:v>36.08994761286344</c:v>
                </c:pt>
                <c:pt idx="12" formatCode="0.0000">
                  <c:v>20.188352537947978</c:v>
                </c:pt>
                <c:pt idx="13" formatCode="0.0000">
                  <c:v>10.961557377029031</c:v>
                </c:pt>
                <c:pt idx="14" formatCode="0.0000">
                  <c:v>5.7583777885632843</c:v>
                </c:pt>
                <c:pt idx="15" formatCode="0.0000">
                  <c:v>2.915708029359291</c:v>
                </c:pt>
                <c:pt idx="16" formatCode="0.0000">
                  <c:v>1.4166571526666125</c:v>
                </c:pt>
                <c:pt idx="17" formatCode="0.0000">
                  <c:v>0.65697281389529805</c:v>
                </c:pt>
                <c:pt idx="18" formatCode="0.0000">
                  <c:v>0.28893315155392657</c:v>
                </c:pt>
                <c:pt idx="19" formatCode="0.0000">
                  <c:v>0.11956334689028154</c:v>
                </c:pt>
                <c:pt idx="20" formatCode="0.0000">
                  <c:v>4.6101098847112158E-2</c:v>
                </c:pt>
                <c:pt idx="21" formatCode="0.0000">
                  <c:v>1.6360279744673807E-2</c:v>
                </c:pt>
                <c:pt idx="22" formatCode="0.0000">
                  <c:v>5.2596703004457197E-3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7-49BE-8492-64ACF9BE3292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Equations!$BY$15:$BY$37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Equations!$CA$15:$CA$37</c:f>
              <c:numCache>
                <c:formatCode>General</c:formatCode>
                <c:ptCount val="23"/>
                <c:pt idx="10">
                  <c:v>35.731434744386526</c:v>
                </c:pt>
                <c:pt idx="11">
                  <c:v>19.955959616512775</c:v>
                </c:pt>
                <c:pt idx="12" formatCode="0.0000">
                  <c:v>10.833021692412425</c:v>
                </c:pt>
                <c:pt idx="13" formatCode="0.0000">
                  <c:v>5.6992076374128962</c:v>
                </c:pt>
                <c:pt idx="14" formatCode="0.0000">
                  <c:v>2.8959737001779335</c:v>
                </c:pt>
                <c:pt idx="15" formatCode="0.0000">
                  <c:v>1.4156787382546572</c:v>
                </c:pt>
                <c:pt idx="16" formatCode="0.0000">
                  <c:v>0.6626518550420113</c:v>
                </c:pt>
                <c:pt idx="17" formatCode="0.0000">
                  <c:v>0.29533993460342517</c:v>
                </c:pt>
                <c:pt idx="18" formatCode="0.0000">
                  <c:v>0.12449043446001469</c:v>
                </c:pt>
                <c:pt idx="19" formatCode="0.0000">
                  <c:v>4.9219098420101241E-2</c:v>
                </c:pt>
                <c:pt idx="20" formatCode="0.0000">
                  <c:v>1.8065832515596486E-2</c:v>
                </c:pt>
                <c:pt idx="21" formatCode="0.0000">
                  <c:v>6.0769600707313168E-3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7-49BE-8492-64ACF9BE3292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Equations!$BY$15:$BY$37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Equations!$CB$15:$CB$37</c:f>
              <c:numCache>
                <c:formatCode>General</c:formatCode>
                <c:ptCount val="23"/>
                <c:pt idx="9">
                  <c:v>13.553459026847234</c:v>
                </c:pt>
                <c:pt idx="10">
                  <c:v>7.4873496799689327</c:v>
                </c:pt>
                <c:pt idx="11">
                  <c:v>4.0235998790192946</c:v>
                </c:pt>
                <c:pt idx="12" formatCode="0.0000">
                  <c:v>2.0976817974184714</c:v>
                </c:pt>
                <c:pt idx="13" formatCode="0.0000">
                  <c:v>1.0576739472877956</c:v>
                </c:pt>
                <c:pt idx="14" formatCode="0.0000">
                  <c:v>0.51390323994743892</c:v>
                </c:pt>
                <c:pt idx="15" formatCode="0.0000">
                  <c:v>0.23960110465175916</c:v>
                </c:pt>
                <c:pt idx="16" formatCode="0.0000">
                  <c:v>0.10665959411360379</c:v>
                </c:pt>
                <c:pt idx="17" formatCode="0.0000">
                  <c:v>4.5062892720429827E-2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47-49BE-8492-64ACF9BE3292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Equations!$BY$15:$BY$37</c:f>
              <c:numCache>
                <c:formatCode>0</c:formatCode>
                <c:ptCount val="23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</c:numCache>
            </c:numRef>
          </c:xVal>
          <c:yVal>
            <c:numRef>
              <c:f>Equations!$CC$15:$CC$37</c:f>
              <c:numCache>
                <c:formatCode>General</c:formatCode>
                <c:ptCount val="23"/>
                <c:pt idx="11">
                  <c:v>2.0304735690487599</c:v>
                </c:pt>
                <c:pt idx="12" formatCode="0.0000">
                  <c:v>1.1833371244593118</c:v>
                </c:pt>
                <c:pt idx="13" formatCode="0.0000">
                  <c:v>0.67079439421390841</c:v>
                </c:pt>
                <c:pt idx="14" formatCode="0.0000">
                  <c:v>0.36875564556106322</c:v>
                </c:pt>
                <c:pt idx="15" formatCode="0.0000">
                  <c:v>0.19589865283684277</c:v>
                </c:pt>
                <c:pt idx="16" formatCode="0.0000">
                  <c:v>0.10015332898891266</c:v>
                </c:pt>
                <c:pt idx="17" formatCode="0.0000">
                  <c:v>4.9033044825955191E-2</c:v>
                </c:pt>
                <c:pt idx="18" formatCode="0.0000">
                  <c:v>2.2850958674594159E-2</c:v>
                </c:pt>
                <c:pt idx="19" formatCode="0.0000">
                  <c:v>1.0063208364173851E-2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47-49BE-8492-64ACF9BE3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08928"/>
        <c:axId val="495612456"/>
      </c:scatterChart>
      <c:valAx>
        <c:axId val="495608928"/>
        <c:scaling>
          <c:orientation val="minMax"/>
          <c:max val="7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9601063829787234"/>
              <c:y val="0.895552069530960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2456"/>
        <c:crossesAt val="1E-4"/>
        <c:crossBetween val="midCat"/>
        <c:majorUnit val="10"/>
      </c:valAx>
      <c:valAx>
        <c:axId val="495612456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2.1276595744680851E-2"/>
              <c:y val="0.272727475796666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08928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Organic Matter Effects on Tension</a:t>
            </a:r>
          </a:p>
        </c:rich>
      </c:tx>
      <c:layout>
        <c:manualLayout>
          <c:xMode val="edge"/>
          <c:yMode val="edge"/>
          <c:x val="0.26872786312914704"/>
          <c:y val="2.96296296296296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79201587118193"/>
          <c:y val="0.16296325767371542"/>
          <c:w val="0.7871586020865472"/>
          <c:h val="0.6388900442889978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Equations!$BK$42:$BK$62</c:f>
              <c:numCache>
                <c:formatCode>0</c:formatCode>
                <c:ptCount val="21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</c:numCache>
            </c:numRef>
          </c:xVal>
          <c:yVal>
            <c:numRef>
              <c:f>Equations!$BM$41:$BM$62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9.3913755225998499E-2</c:v>
                </c:pt>
                <c:pt idx="3">
                  <c:v>0.1155307369220233</c:v>
                </c:pt>
                <c:pt idx="4">
                  <c:v>0.14356754722899359</c:v>
                </c:pt>
                <c:pt idx="5">
                  <c:v>0.18040808557182483</c:v>
                </c:pt>
                <c:pt idx="6">
                  <c:v>0.22951993267432516</c:v>
                </c:pt>
                <c:pt idx="7">
                  <c:v>0.29604865538684544</c:v>
                </c:pt>
                <c:pt idx="8">
                  <c:v>0.38780135472843957</c:v>
                </c:pt>
                <c:pt idx="9">
                  <c:v>0.51692188174866782</c:v>
                </c:pt>
                <c:pt idx="10">
                  <c:v>0.7028377721056045</c:v>
                </c:pt>
                <c:pt idx="11">
                  <c:v>0.97763721218095212</c:v>
                </c:pt>
                <c:pt idx="12">
                  <c:v>1.3962974913206845</c:v>
                </c:pt>
                <c:pt idx="13">
                  <c:v>2.057099943664741</c:v>
                </c:pt>
                <c:pt idx="14">
                  <c:v>3.1447235030283363</c:v>
                </c:pt>
                <c:pt idx="15">
                  <c:v>3.951683773834727</c:v>
                </c:pt>
                <c:pt idx="16">
                  <c:v>5.0274364967953451</c:v>
                </c:pt>
                <c:pt idx="17">
                  <c:v>6.4846908831701118</c:v>
                </c:pt>
                <c:pt idx="18">
                  <c:v>8.4944547584669632</c:v>
                </c:pt>
                <c:pt idx="19">
                  <c:v>11.32272872344776</c:v>
                </c:pt>
                <c:pt idx="20">
                  <c:v>15.395056218597933</c:v>
                </c:pt>
                <c:pt idx="21">
                  <c:v>21.414301337034079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2-470F-86D2-DF3A1814E907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Equations!$BK$42:$BK$62</c:f>
              <c:numCache>
                <c:formatCode>0</c:formatCode>
                <c:ptCount val="21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</c:numCache>
            </c:numRef>
          </c:xVal>
          <c:yVal>
            <c:numRef>
              <c:f>Equations!$BN$41:$BN$62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0.52572761638792886</c:v>
                </c:pt>
                <c:pt idx="3">
                  <c:v>0.65606161878668978</c:v>
                </c:pt>
                <c:pt idx="4">
                  <c:v>0.82760324417352549</c:v>
                </c:pt>
                <c:pt idx="5">
                  <c:v>1.0565137629091621</c:v>
                </c:pt>
                <c:pt idx="6">
                  <c:v>1.3666693296249419</c:v>
                </c:pt>
                <c:pt idx="7">
                  <c:v>1.7940850390369762</c:v>
                </c:pt>
                <c:pt idx="8">
                  <c:v>2.3943589726576961</c:v>
                </c:pt>
                <c:pt idx="9">
                  <c:v>3.2555757038503859</c:v>
                </c:pt>
                <c:pt idx="10">
                  <c:v>4.5214325817287442</c:v>
                </c:pt>
                <c:pt idx="11">
                  <c:v>6.4342835936228946</c:v>
                </c:pt>
                <c:pt idx="12">
                  <c:v>9.4187848495748128</c:v>
                </c:pt>
                <c:pt idx="13">
                  <c:v>14.252722635840312</c:v>
                </c:pt>
                <c:pt idx="14">
                  <c:v>22.436712708321998</c:v>
                </c:pt>
                <c:pt idx="15">
                  <c:v>28.64258439979109</c:v>
                </c:pt>
                <c:pt idx="16">
                  <c:v>37.051047506092878</c:v>
                </c:pt>
                <c:pt idx="17">
                  <c:v>48.638488162730454</c:v>
                </c:pt>
                <c:pt idx="18">
                  <c:v>64.912196476177499</c:v>
                </c:pt>
                <c:pt idx="19">
                  <c:v>88.260186607205924</c:v>
                </c:pt>
                <c:pt idx="20">
                  <c:v>122.57816119075559</c:v>
                </c:pt>
                <c:pt idx="21">
                  <c:v>174.43645066683382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E2-470F-86D2-DF3A1814E907}"/>
            </c:ext>
          </c:extLst>
        </c:ser>
        <c:ser>
          <c:idx val="2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Equations!$BK$42:$BK$62</c:f>
              <c:numCache>
                <c:formatCode>0</c:formatCode>
                <c:ptCount val="21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</c:numCache>
            </c:numRef>
          </c:xVal>
          <c:yVal>
            <c:numRef>
              <c:f>Equations!$BO$41:$BO$62</c:f>
              <c:numCache>
                <c:formatCode>0</c:formatCode>
                <c:ptCount val="22"/>
                <c:pt idx="0">
                  <c:v>0</c:v>
                </c:pt>
                <c:pt idx="1">
                  <c:v>2.4057719827690458</c:v>
                </c:pt>
                <c:pt idx="2">
                  <c:v>3.0280130705794277</c:v>
                </c:pt>
                <c:pt idx="3">
                  <c:v>3.8522044742047661</c:v>
                </c:pt>
                <c:pt idx="4">
                  <c:v>4.9586444722123169</c:v>
                </c:pt>
                <c:pt idx="5">
                  <c:v>6.4660979691443634</c:v>
                </c:pt>
                <c:pt idx="6">
                  <c:v>8.5537363944432734</c:v>
                </c:pt>
                <c:pt idx="7">
                  <c:v>11.497853122196007</c:v>
                </c:pt>
                <c:pt idx="8">
                  <c:v>15.7350378917806</c:v>
                </c:pt>
                <c:pt idx="9">
                  <c:v>21.97430446305491</c:v>
                </c:pt>
                <c:pt idx="10">
                  <c:v>31.403165545235058</c:v>
                </c:pt>
                <c:pt idx="11">
                  <c:v>46.081612978144541</c:v>
                </c:pt>
                <c:pt idx="12">
                  <c:v>69.73004725572261</c:v>
                </c:pt>
                <c:pt idx="13">
                  <c:v>109.38908993814397</c:v>
                </c:pt>
                <c:pt idx="14">
                  <c:v>179.13449958732113</c:v>
                </c:pt>
                <c:pt idx="15">
                  <c:v>233.59231146258989</c:v>
                </c:pt>
                <c:pt idx="16">
                  <c:v>309.00970965091688</c:v>
                </c:pt>
                <c:pt idx="17">
                  <c:v>415.36798552814531</c:v>
                </c:pt>
                <c:pt idx="18">
                  <c:v>568.43924877600455</c:v>
                </c:pt>
                <c:pt idx="19">
                  <c:v>793.83711734682129</c:v>
                </c:pt>
                <c:pt idx="20">
                  <c:v>1134.4613183960951</c:v>
                </c:pt>
                <c:pt idx="21">
                  <c:v>1664.7304978760892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E2-470F-86D2-DF3A1814E907}"/>
            </c:ext>
          </c:extLst>
        </c:ser>
        <c:ser>
          <c:idx val="3"/>
          <c:order val="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Equations!$BK$42:$BK$62</c:f>
              <c:numCache>
                <c:formatCode>0</c:formatCode>
                <c:ptCount val="21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</c:numCache>
            </c:numRef>
          </c:xVal>
          <c:yVal>
            <c:numRef>
              <c:f>Equations!$BP$41:$BP$62</c:f>
              <c:numCache>
                <c:formatCode>0</c:formatCode>
                <c:ptCount val="22"/>
                <c:pt idx="0">
                  <c:v>7.4044990112044973</c:v>
                </c:pt>
                <c:pt idx="1">
                  <c:v>8.7910909510039161</c:v>
                </c:pt>
                <c:pt idx="2">
                  <c:v>10.517297021911244</c:v>
                </c:pt>
                <c:pt idx="3">
                  <c:v>12.687856006332561</c:v>
                </c:pt>
                <c:pt idx="4">
                  <c:v>15.447162600450485</c:v>
                </c:pt>
                <c:pt idx="5">
                  <c:v>18.997377754084948</c:v>
                </c:pt>
                <c:pt idx="6">
                  <c:v>23.626391061366206</c:v>
                </c:pt>
                <c:pt idx="7">
                  <c:v>29.751963103559824</c:v>
                </c:pt>
                <c:pt idx="8">
                  <c:v>37.993145316178371</c:v>
                </c:pt>
                <c:pt idx="9">
                  <c:v>49.289047622870193</c:v>
                </c:pt>
                <c:pt idx="10">
                  <c:v>65.102521625014504</c:v>
                </c:pt>
                <c:pt idx="11">
                  <c:v>87.781857273445539</c:v>
                </c:pt>
                <c:pt idx="12">
                  <c:v>121.22912131300605</c:v>
                </c:pt>
                <c:pt idx="13">
                  <c:v>172.19297006115593</c:v>
                </c:pt>
                <c:pt idx="14">
                  <c:v>252.90650265440664</c:v>
                </c:pt>
                <c:pt idx="15">
                  <c:v>311.03190221161628</c:v>
                </c:pt>
                <c:pt idx="16">
                  <c:v>386.81977319907287</c:v>
                </c:pt>
                <c:pt idx="17">
                  <c:v>487.1098421275654</c:v>
                </c:pt>
                <c:pt idx="18">
                  <c:v>622.0374417807385</c:v>
                </c:pt>
                <c:pt idx="19">
                  <c:v>806.9780176395027</c:v>
                </c:pt>
                <c:pt idx="20">
                  <c:v>1065.8819023297606</c:v>
                </c:pt>
                <c:pt idx="21">
                  <c:v>1437.196143639218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E2-470F-86D2-DF3A1814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3632"/>
        <c:axId val="495614024"/>
      </c:scatterChart>
      <c:valAx>
        <c:axId val="495613632"/>
        <c:scaling>
          <c:orientation val="minMax"/>
          <c:max val="5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8038078076950752"/>
              <c:y val="0.900001749781277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4024"/>
        <c:crossesAt val="10"/>
        <c:crossBetween val="midCat"/>
        <c:majorUnit val="5"/>
        <c:minorUnit val="2"/>
      </c:valAx>
      <c:valAx>
        <c:axId val="495614024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2.8537535311065853E-2"/>
              <c:y val="0.362963546223388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3632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Density Effects on Conductivity </a:t>
            </a:r>
          </a:p>
        </c:rich>
      </c:tx>
      <c:layout>
        <c:manualLayout>
          <c:xMode val="edge"/>
          <c:yMode val="edge"/>
          <c:x val="0.28917423783565516"/>
          <c:y val="3.1390134529147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3643598707375"/>
          <c:y val="0.17488789237668162"/>
          <c:w val="0.7777788597573615"/>
          <c:h val="0.6390134529147981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Equations!$CE$20:$CE$38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Equations!$CF$20:$CF$38</c:f>
              <c:numCache>
                <c:formatCode>0.0</c:formatCode>
                <c:ptCount val="19"/>
                <c:pt idx="0">
                  <c:v>25.043627272756698</c:v>
                </c:pt>
                <c:pt idx="1">
                  <c:v>18.339034689289761</c:v>
                </c:pt>
                <c:pt idx="2">
                  <c:v>11.544186800733005</c:v>
                </c:pt>
                <c:pt idx="3">
                  <c:v>7.1308839324565811</c:v>
                </c:pt>
                <c:pt idx="4">
                  <c:v>4.3153674232388557</c:v>
                </c:pt>
                <c:pt idx="5">
                  <c:v>2.5538453475831608</c:v>
                </c:pt>
                <c:pt idx="6">
                  <c:v>1.4749294430325441</c:v>
                </c:pt>
                <c:pt idx="7">
                  <c:v>0.82930251304899372</c:v>
                </c:pt>
                <c:pt idx="8">
                  <c:v>0.45271588181167832</c:v>
                </c:pt>
                <c:pt idx="9">
                  <c:v>0.2391782097609618</c:v>
                </c:pt>
                <c:pt idx="10">
                  <c:v>0.12183570482790193</c:v>
                </c:pt>
                <c:pt idx="11">
                  <c:v>5.957480332055156E-2</c:v>
                </c:pt>
                <c:pt idx="12">
                  <c:v>2.7815778843141716E-2</c:v>
                </c:pt>
                <c:pt idx="13">
                  <c:v>1.2322263594898242E-2</c:v>
                </c:pt>
                <c:pt idx="14">
                  <c:v>5.1389449442117386E-3</c:v>
                </c:pt>
                <c:pt idx="15">
                  <c:v>1.9982087690722217E-3</c:v>
                </c:pt>
                <c:pt idx="16">
                  <c:v>7.1563584777588069E-4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C-46CC-8F79-6CFA3EBD6910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Equations!$CE$20:$CE$38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Equations!$CG$20:$CG$38</c:f>
              <c:numCache>
                <c:formatCode>0.0</c:formatCode>
                <c:ptCount val="19"/>
                <c:pt idx="0">
                  <c:v>12.141446393783953</c:v>
                </c:pt>
                <c:pt idx="1">
                  <c:v>8.8598081743549244</c:v>
                </c:pt>
                <c:pt idx="2">
                  <c:v>5.5481137151608797</c:v>
                </c:pt>
                <c:pt idx="3">
                  <c:v>3.4085292776126903</c:v>
                </c:pt>
                <c:pt idx="4">
                  <c:v>2.0510805101370009</c:v>
                </c:pt>
                <c:pt idx="5">
                  <c:v>1.2066782344823672</c:v>
                </c:pt>
                <c:pt idx="6">
                  <c:v>0.69259699016441734</c:v>
                </c:pt>
                <c:pt idx="7">
                  <c:v>0.38690438868892107</c:v>
                </c:pt>
                <c:pt idx="8">
                  <c:v>0.20977470317076707</c:v>
                </c:pt>
                <c:pt idx="9">
                  <c:v>0.11003363297820933</c:v>
                </c:pt>
                <c:pt idx="10">
                  <c:v>5.5625803228133368E-2</c:v>
                </c:pt>
                <c:pt idx="11">
                  <c:v>2.698124329674214E-2</c:v>
                </c:pt>
                <c:pt idx="12">
                  <c:v>1.2489989680379886E-2</c:v>
                </c:pt>
                <c:pt idx="13">
                  <c:v>5.4824607260835437E-3</c:v>
                </c:pt>
                <c:pt idx="14">
                  <c:v>2.2640065132010639E-3</c:v>
                </c:pt>
                <c:pt idx="15">
                  <c:v>8.7100446568229458E-4</c:v>
                </c:pt>
                <c:pt idx="16">
                  <c:v>3.083506243525358E-4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C-46CC-8F79-6CFA3EBD6910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Equations!$CE$20:$CE$38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Equations!$CH$20:$CH$38</c:f>
              <c:numCache>
                <c:formatCode>0.0</c:formatCode>
                <c:ptCount val="19"/>
                <c:pt idx="0">
                  <c:v>4.558694484951423</c:v>
                </c:pt>
                <c:pt idx="1">
                  <c:v>3.3143725721800479</c:v>
                </c:pt>
                <c:pt idx="2">
                  <c:v>2.0642198463781791</c:v>
                </c:pt>
                <c:pt idx="3">
                  <c:v>1.2609985801750192</c:v>
                </c:pt>
                <c:pt idx="4">
                  <c:v>0.75433178803508183</c:v>
                </c:pt>
                <c:pt idx="5">
                  <c:v>0.44105134367180593</c:v>
                </c:pt>
                <c:pt idx="6">
                  <c:v>0.25151937731289464</c:v>
                </c:pt>
                <c:pt idx="7">
                  <c:v>0.13955670695577072</c:v>
                </c:pt>
                <c:pt idx="8">
                  <c:v>7.5128609669685514E-2</c:v>
                </c:pt>
                <c:pt idx="9">
                  <c:v>3.9112493268458191E-2</c:v>
                </c:pt>
                <c:pt idx="10">
                  <c:v>1.9616324959359152E-2</c:v>
                </c:pt>
                <c:pt idx="11">
                  <c:v>9.4350776108034426E-3</c:v>
                </c:pt>
                <c:pt idx="12">
                  <c:v>4.3286414808002271E-3</c:v>
                </c:pt>
                <c:pt idx="13">
                  <c:v>1.8819250734118547E-3</c:v>
                </c:pt>
                <c:pt idx="14">
                  <c:v>7.6918907908050569E-4</c:v>
                </c:pt>
                <c:pt idx="15">
                  <c:v>2.9264855277530254E-4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C-46CC-8F79-6CFA3EBD6910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Equations!$CE$20:$CE$38</c:f>
              <c:numCache>
                <c:formatCode>General</c:formatCode>
                <c:ptCount val="19"/>
                <c:pt idx="0">
                  <c:v>1.0114017026132287</c:v>
                </c:pt>
                <c:pt idx="1">
                  <c:v>0.97394238029422031</c:v>
                </c:pt>
                <c:pt idx="2">
                  <c:v>0.93648305797521181</c:v>
                </c:pt>
                <c:pt idx="3">
                  <c:v>0.8990237356562033</c:v>
                </c:pt>
                <c:pt idx="4">
                  <c:v>0.86156441333719491</c:v>
                </c:pt>
                <c:pt idx="5">
                  <c:v>0.82410509101818641</c:v>
                </c:pt>
                <c:pt idx="6">
                  <c:v>0.78664576869917791</c:v>
                </c:pt>
                <c:pt idx="7">
                  <c:v>0.7491864463801694</c:v>
                </c:pt>
                <c:pt idx="8">
                  <c:v>0.7117271240611609</c:v>
                </c:pt>
                <c:pt idx="9">
                  <c:v>0.6742678017421524</c:v>
                </c:pt>
                <c:pt idx="10">
                  <c:v>0.636808479423144</c:v>
                </c:pt>
                <c:pt idx="11">
                  <c:v>0.5993491571041355</c:v>
                </c:pt>
                <c:pt idx="12">
                  <c:v>0.561889834785127</c:v>
                </c:pt>
                <c:pt idx="13">
                  <c:v>0.5244305124661186</c:v>
                </c:pt>
                <c:pt idx="14">
                  <c:v>0.48697119014711016</c:v>
                </c:pt>
                <c:pt idx="15">
                  <c:v>0.44951186782810165</c:v>
                </c:pt>
                <c:pt idx="16">
                  <c:v>0.4120525455090932</c:v>
                </c:pt>
                <c:pt idx="17">
                  <c:v>0.3745932231900847</c:v>
                </c:pt>
                <c:pt idx="18">
                  <c:v>0.3371339008710762</c:v>
                </c:pt>
              </c:numCache>
            </c:numRef>
          </c:xVal>
          <c:yVal>
            <c:numRef>
              <c:f>Equations!$CI$20:$CI$38</c:f>
              <c:numCache>
                <c:formatCode>0.0</c:formatCode>
                <c:ptCount val="19"/>
                <c:pt idx="0">
                  <c:v>0.99723754689836819</c:v>
                </c:pt>
                <c:pt idx="1">
                  <c:v>0.72226063565323995</c:v>
                </c:pt>
                <c:pt idx="2">
                  <c:v>0.44727489119340375</c:v>
                </c:pt>
                <c:pt idx="3">
                  <c:v>0.27161772540020068</c:v>
                </c:pt>
                <c:pt idx="4">
                  <c:v>0.16148093356182561</c:v>
                </c:pt>
                <c:pt idx="5">
                  <c:v>9.380888325259186E-2</c:v>
                </c:pt>
                <c:pt idx="6">
                  <c:v>5.3136356779577738E-2</c:v>
                </c:pt>
                <c:pt idx="7">
                  <c:v>2.9274760146012425E-2</c:v>
                </c:pt>
                <c:pt idx="8">
                  <c:v>1.5642724394539453E-2</c:v>
                </c:pt>
                <c:pt idx="9">
                  <c:v>8.0800113853484665E-3</c:v>
                </c:pt>
                <c:pt idx="10">
                  <c:v>4.0189125403382545E-3</c:v>
                </c:pt>
                <c:pt idx="11">
                  <c:v>1.9160735343759356E-3</c:v>
                </c:pt>
                <c:pt idx="12">
                  <c:v>8.7085772820830448E-4</c:v>
                </c:pt>
                <c:pt idx="13">
                  <c:v>3.7483992176318783E-4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C-46CC-8F79-6CFA3EBD6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15200"/>
        <c:axId val="495625784"/>
      </c:scatterChart>
      <c:valAx>
        <c:axId val="495615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 / Saturation</a:t>
                </a:r>
              </a:p>
            </c:rich>
          </c:tx>
          <c:layout>
            <c:manualLayout>
              <c:xMode val="edge"/>
              <c:yMode val="edge"/>
              <c:x val="0.45584105405627712"/>
              <c:y val="0.90134529147982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5784"/>
        <c:crossesAt val="1E-4"/>
        <c:crossBetween val="midCat"/>
      </c:valAx>
      <c:valAx>
        <c:axId val="495625784"/>
        <c:scaling>
          <c:logBase val="10"/>
          <c:orientation val="minMax"/>
          <c:max val="100"/>
          <c:min val="1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2.2792022792022793E-2"/>
              <c:y val="0.316143497757847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1520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Moisture vrs. Conductivity</a:t>
            </a:r>
          </a:p>
        </c:rich>
      </c:tx>
      <c:layout>
        <c:manualLayout>
          <c:xMode val="edge"/>
          <c:yMode val="edge"/>
          <c:x val="0.34495641344956413"/>
          <c:y val="3.66492146596858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15691158156911"/>
          <c:y val="0.10122181300074477"/>
          <c:w val="0.80572851805728518"/>
          <c:h val="0.7172787093673466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Equations!$BY$17:$BY$37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Equations!$BZ$17:$BZ$37</c:f>
              <c:numCache>
                <c:formatCode>General</c:formatCode>
                <c:ptCount val="21"/>
                <c:pt idx="9">
                  <c:v>36.08994761286344</c:v>
                </c:pt>
                <c:pt idx="10" formatCode="0.0000">
                  <c:v>20.188352537947978</c:v>
                </c:pt>
                <c:pt idx="11" formatCode="0.0000">
                  <c:v>10.961557377029031</c:v>
                </c:pt>
                <c:pt idx="12" formatCode="0.0000">
                  <c:v>5.7583777885632843</c:v>
                </c:pt>
                <c:pt idx="13" formatCode="0.0000">
                  <c:v>2.915708029359291</c:v>
                </c:pt>
                <c:pt idx="14" formatCode="0.0000">
                  <c:v>1.4166571526666125</c:v>
                </c:pt>
                <c:pt idx="15" formatCode="0.0000">
                  <c:v>0.65697281389529805</c:v>
                </c:pt>
                <c:pt idx="16" formatCode="0.0000">
                  <c:v>0.28893315155392657</c:v>
                </c:pt>
                <c:pt idx="17" formatCode="0.0000">
                  <c:v>0.11956334689028154</c:v>
                </c:pt>
                <c:pt idx="18" formatCode="0.0000">
                  <c:v>4.6101098847112158E-2</c:v>
                </c:pt>
                <c:pt idx="19" formatCode="0.0000">
                  <c:v>1.6360279744673807E-2</c:v>
                </c:pt>
                <c:pt idx="20" formatCode="0.0000">
                  <c:v>5.2596703004457197E-3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1-44DF-9CE6-BC7FEF62ADDE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Equations!$BY$17:$BY$37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Equations!$CA$17:$CA$37</c:f>
              <c:numCache>
                <c:formatCode>General</c:formatCode>
                <c:ptCount val="21"/>
                <c:pt idx="8">
                  <c:v>35.731434744386526</c:v>
                </c:pt>
                <c:pt idx="9">
                  <c:v>19.955959616512775</c:v>
                </c:pt>
                <c:pt idx="10" formatCode="0.0000">
                  <c:v>10.833021692412425</c:v>
                </c:pt>
                <c:pt idx="11" formatCode="0.0000">
                  <c:v>5.6992076374128962</c:v>
                </c:pt>
                <c:pt idx="12" formatCode="0.0000">
                  <c:v>2.8959737001779335</c:v>
                </c:pt>
                <c:pt idx="13" formatCode="0.0000">
                  <c:v>1.4156787382546572</c:v>
                </c:pt>
                <c:pt idx="14" formatCode="0.0000">
                  <c:v>0.6626518550420113</c:v>
                </c:pt>
                <c:pt idx="15" formatCode="0.0000">
                  <c:v>0.29533993460342517</c:v>
                </c:pt>
                <c:pt idx="16" formatCode="0.0000">
                  <c:v>0.12449043446001469</c:v>
                </c:pt>
                <c:pt idx="17" formatCode="0.0000">
                  <c:v>4.9219098420101241E-2</c:v>
                </c:pt>
                <c:pt idx="18" formatCode="0.0000">
                  <c:v>1.8065832515596486E-2</c:v>
                </c:pt>
                <c:pt idx="19" formatCode="0.0000">
                  <c:v>6.0769600707313168E-3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1-44DF-9CE6-BC7FEF62ADDE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Equations!$BY$17:$BY$37</c:f>
              <c:numCache>
                <c:formatCode>0</c:formatCode>
                <c:ptCount val="2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</c:numCache>
            </c:numRef>
          </c:xVal>
          <c:yVal>
            <c:numRef>
              <c:f>Equations!$CB$17:$CB$37</c:f>
              <c:numCache>
                <c:formatCode>General</c:formatCode>
                <c:ptCount val="21"/>
                <c:pt idx="7">
                  <c:v>13.553459026847234</c:v>
                </c:pt>
                <c:pt idx="8">
                  <c:v>7.4873496799689327</c:v>
                </c:pt>
                <c:pt idx="9">
                  <c:v>4.0235998790192946</c:v>
                </c:pt>
                <c:pt idx="10" formatCode="0.0000">
                  <c:v>2.0976817974184714</c:v>
                </c:pt>
                <c:pt idx="11" formatCode="0.0000">
                  <c:v>1.0576739472877956</c:v>
                </c:pt>
                <c:pt idx="12" formatCode="0.0000">
                  <c:v>0.51390323994743892</c:v>
                </c:pt>
                <c:pt idx="13" formatCode="0.0000">
                  <c:v>0.23960110465175916</c:v>
                </c:pt>
                <c:pt idx="14" formatCode="0.0000">
                  <c:v>0.10665959411360379</c:v>
                </c:pt>
                <c:pt idx="15" formatCode="0.0000">
                  <c:v>4.5062892720429827E-2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1-44DF-9CE6-BC7FEF62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1080"/>
        <c:axId val="495621472"/>
      </c:scatterChart>
      <c:valAx>
        <c:axId val="495621080"/>
        <c:scaling>
          <c:orientation val="minMax"/>
          <c:max val="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9564134495641343"/>
              <c:y val="0.902270226692867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1472"/>
        <c:crossesAt val="1E-3"/>
        <c:crossBetween val="midCat"/>
        <c:majorUnit val="10"/>
      </c:valAx>
      <c:valAx>
        <c:axId val="495621472"/>
        <c:scaling>
          <c:logBase val="10"/>
          <c:orientation val="minMax"/>
          <c:min val="1E-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Conductivity, mm/hr</a:t>
                </a:r>
              </a:p>
            </c:rich>
          </c:tx>
          <c:layout>
            <c:manualLayout>
              <c:xMode val="edge"/>
              <c:yMode val="edge"/>
              <c:x val="3.7359900373599E-2"/>
              <c:y val="0.321117478116282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108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Salinity Effects on Tension</a:t>
            </a:r>
          </a:p>
        </c:rich>
      </c:tx>
      <c:layout>
        <c:manualLayout>
          <c:xMode val="edge"/>
          <c:yMode val="edge"/>
          <c:x val="0.34821455353795061"/>
          <c:y val="2.99401197604790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0416583885089"/>
          <c:y val="0.15968094997690163"/>
          <c:w val="0.83163317100878098"/>
          <c:h val="0.6746520136524093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'Equations-Protected'!$CA$15:$CA$44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'Equations-Protected'!$CB$15:$CB$44</c:f>
              <c:numCache>
                <c:formatCode>0</c:formatCode>
                <c:ptCount val="30"/>
                <c:pt idx="12">
                  <c:v>14.502004662177464</c:v>
                </c:pt>
                <c:pt idx="13">
                  <c:v>16.229850331793806</c:v>
                </c:pt>
                <c:pt idx="14">
                  <c:v>18.274468559432222</c:v>
                </c:pt>
                <c:pt idx="15">
                  <c:v>20.716726985240378</c:v>
                </c:pt>
                <c:pt idx="16">
                  <c:v>23.664704921007893</c:v>
                </c:pt>
                <c:pt idx="17">
                  <c:v>27.265363556557539</c:v>
                </c:pt>
                <c:pt idx="18">
                  <c:v>31.722458108585137</c:v>
                </c:pt>
                <c:pt idx="19">
                  <c:v>37.32479735054067</c:v>
                </c:pt>
                <c:pt idx="20">
                  <c:v>44.492247669230593</c:v>
                </c:pt>
                <c:pt idx="21">
                  <c:v>53.853373566801423</c:v>
                </c:pt>
                <c:pt idx="22">
                  <c:v>66.382084064701303</c:v>
                </c:pt>
                <c:pt idx="23">
                  <c:v>74.291197264095388</c:v>
                </c:pt>
                <c:pt idx="24">
                  <c:v>83.65031844968567</c:v>
                </c:pt>
                <c:pt idx="25">
                  <c:v>94.829614547455648</c:v>
                </c:pt>
                <c:pt idx="26">
                  <c:v>108.32381232987588</c:v>
                </c:pt>
                <c:pt idx="27">
                  <c:v>124.80561810785443</c:v>
                </c:pt>
                <c:pt idx="28">
                  <c:v>145.20770955171378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7-4BED-88DB-070618A3D33E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'Equations-Protected'!$CA$15:$CA$44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'Equations-Protected'!$CC$15:$CC$44</c:f>
              <c:numCache>
                <c:formatCode>0</c:formatCode>
                <c:ptCount val="30"/>
                <c:pt idx="12">
                  <c:v>15.447162600450485</c:v>
                </c:pt>
                <c:pt idx="13">
                  <c:v>18.997377754084948</c:v>
                </c:pt>
                <c:pt idx="14">
                  <c:v>23.626391061366206</c:v>
                </c:pt>
                <c:pt idx="15">
                  <c:v>29.751963103559824</c:v>
                </c:pt>
                <c:pt idx="16">
                  <c:v>37.993145316178371</c:v>
                </c:pt>
                <c:pt idx="17">
                  <c:v>49.289047622870193</c:v>
                </c:pt>
                <c:pt idx="18">
                  <c:v>65.102521625014504</c:v>
                </c:pt>
                <c:pt idx="19">
                  <c:v>87.781857273445539</c:v>
                </c:pt>
                <c:pt idx="20">
                  <c:v>121.22912131300605</c:v>
                </c:pt>
                <c:pt idx="21">
                  <c:v>172.19297006115593</c:v>
                </c:pt>
                <c:pt idx="22">
                  <c:v>252.90650265440664</c:v>
                </c:pt>
                <c:pt idx="23">
                  <c:v>311.03190221161628</c:v>
                </c:pt>
                <c:pt idx="24">
                  <c:v>386.81977319907287</c:v>
                </c:pt>
                <c:pt idx="25">
                  <c:v>487.1098421275654</c:v>
                </c:pt>
                <c:pt idx="26">
                  <c:v>622.0374417807385</c:v>
                </c:pt>
                <c:pt idx="27">
                  <c:v>806.9780176395027</c:v>
                </c:pt>
                <c:pt idx="28">
                  <c:v>1065.8819023297606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77-4BED-88DB-070618A3D33E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'Equations-Protected'!$CA$15:$CA$44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'Equations-Protected'!$CD$15:$CD$44</c:f>
              <c:numCache>
                <c:formatCode>0</c:formatCode>
                <c:ptCount val="30"/>
                <c:pt idx="12">
                  <c:v>13.565241943793151</c:v>
                </c:pt>
                <c:pt idx="13">
                  <c:v>19.374192735367856</c:v>
                </c:pt>
                <c:pt idx="14">
                  <c:v>28.209215945160793</c:v>
                </c:pt>
                <c:pt idx="15">
                  <c:v>41.964998013490018</c:v>
                </c:pt>
                <c:pt idx="16">
                  <c:v>63.95049859967763</c:v>
                </c:pt>
                <c:pt idx="17">
                  <c:v>100.14107978969797</c:v>
                </c:pt>
                <c:pt idx="18">
                  <c:v>161.74215254443058</c:v>
                </c:pt>
                <c:pt idx="19">
                  <c:v>270.6891410554544</c:v>
                </c:pt>
                <c:pt idx="20">
                  <c:v>472.09419554742942</c:v>
                </c:pt>
                <c:pt idx="21">
                  <c:v>864.20538509213213</c:v>
                </c:pt>
                <c:pt idx="22">
                  <c:v>1675.9070013315416</c:v>
                </c:pt>
                <c:pt idx="23">
                  <c:v>2393.569195808273</c:v>
                </c:pt>
                <c:pt idx="24">
                  <c:v>3485.0850947188364</c:v>
                </c:pt>
                <c:pt idx="25">
                  <c:v>5184.5322238319359</c:v>
                </c:pt>
                <c:pt idx="26">
                  <c:v>7900.713366257447</c:v>
                </c:pt>
                <c:pt idx="27">
                  <c:v>12371.849867170644</c:v>
                </c:pt>
                <c:pt idx="28">
                  <c:v>19982.305290446577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77-4BED-88DB-070618A3D33E}"/>
            </c:ext>
          </c:extLst>
        </c:ser>
        <c:ser>
          <c:idx val="3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'Equations-Protected'!$CA$15:$CA$44</c:f>
              <c:numCache>
                <c:formatCode>General</c:formatCode>
                <c:ptCount val="30"/>
                <c:pt idx="0">
                  <c:v>64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56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48</c:v>
                </c:pt>
                <c:pt idx="9">
                  <c:v>46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38</c:v>
                </c:pt>
                <c:pt idx="14">
                  <c:v>36</c:v>
                </c:pt>
                <c:pt idx="15">
                  <c:v>34</c:v>
                </c:pt>
                <c:pt idx="16">
                  <c:v>32</c:v>
                </c:pt>
                <c:pt idx="17">
                  <c:v>30</c:v>
                </c:pt>
                <c:pt idx="18">
                  <c:v>28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'Equations-Protected'!$CE$15:$CE$44</c:f>
              <c:numCache>
                <c:formatCode>0</c:formatCode>
                <c:ptCount val="30"/>
                <c:pt idx="12">
                  <c:v>91.433646775129048</c:v>
                </c:pt>
                <c:pt idx="13">
                  <c:v>171.83758660439585</c:v>
                </c:pt>
                <c:pt idx="14">
                  <c:v>334.15563229948543</c:v>
                </c:pt>
                <c:pt idx="15">
                  <c:v>674.98288214821912</c:v>
                </c:pt>
                <c:pt idx="16">
                  <c:v>1422.8314017845553</c:v>
                </c:pt>
                <c:pt idx="17">
                  <c:v>3147.1861344512204</c:v>
                </c:pt>
                <c:pt idx="18">
                  <c:v>7353.3772466433429</c:v>
                </c:pt>
                <c:pt idx="19">
                  <c:v>18296.8558238306</c:v>
                </c:pt>
                <c:pt idx="20">
                  <c:v>48974.479497367916</c:v>
                </c:pt>
                <c:pt idx="21">
                  <c:v>142820.41079302851</c:v>
                </c:pt>
                <c:pt idx="22">
                  <c:v>461257.533669047</c:v>
                </c:pt>
                <c:pt idx="23">
                  <c:v>866873.23741685203</c:v>
                </c:pt>
                <c:pt idx="24">
                  <c:v>1685723.0161140945</c:v>
                </c:pt>
                <c:pt idx="25">
                  <c:v>3405102.5029573822</c:v>
                </c:pt>
                <c:pt idx="26">
                  <c:v>7177792.0531606367</c:v>
                </c:pt>
                <c:pt idx="27">
                  <c:v>15876686.160671214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77-4BED-88DB-070618A3D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27352"/>
        <c:axId val="495626176"/>
      </c:scatterChart>
      <c:valAx>
        <c:axId val="495627352"/>
        <c:scaling>
          <c:orientation val="minMax"/>
          <c:max val="5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Moisture, %v</a:t>
                </a:r>
              </a:p>
            </c:rich>
          </c:tx>
          <c:layout>
            <c:manualLayout>
              <c:xMode val="edge"/>
              <c:yMode val="edge"/>
              <c:x val="0.4846941453746853"/>
              <c:y val="0.912177325139746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6176"/>
        <c:crossesAt val="10"/>
        <c:crossBetween val="midCat"/>
        <c:majorUnit val="5"/>
      </c:valAx>
      <c:valAx>
        <c:axId val="495626176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Tension, kPa</a:t>
                </a:r>
              </a:p>
            </c:rich>
          </c:tx>
          <c:layout>
            <c:manualLayout>
              <c:xMode val="edge"/>
              <c:yMode val="edge"/>
              <c:x val="2.0408163265306121E-2"/>
              <c:y val="0.393214411072867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627352"/>
        <c:crosses val="autoZero"/>
        <c:crossBetween val="midCat"/>
        <c:majorUnit val="10"/>
        <c:minorUnit val="10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0.53703</cdr:x>
      <cdr:y>0.12318</cdr:y>
    </cdr:from>
    <cdr:to>
      <cdr:x>0.74072</cdr:x>
      <cdr:y>0.23716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15832" y="676650"/>
          <a:ext cx="1559838" cy="62316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Sandy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S=0.63, C=0.10</a:t>
          </a:r>
        </a:p>
      </cdr:txBody>
    </cdr:sp>
  </cdr:relSizeAnchor>
  <cdr:relSizeAnchor xmlns:cdr="http://schemas.openxmlformats.org/drawingml/2006/chartDrawing">
    <cdr:from>
      <cdr:x>0.76393</cdr:x>
      <cdr:y>0.53709</cdr:y>
    </cdr:from>
    <cdr:to>
      <cdr:x>0.9449</cdr:x>
      <cdr:y>0.63732</cdr:y>
    </cdr:to>
    <cdr:sp macro="" textlink="">
      <cdr:nvSpPr>
        <cdr:cNvPr id="71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53397" y="2939647"/>
          <a:ext cx="1385892" cy="54795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Clay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S=0.29, C=0.32</a:t>
          </a:r>
        </a:p>
      </cdr:txBody>
    </cdr:sp>
  </cdr:relSizeAnchor>
  <cdr:relSizeAnchor xmlns:cdr="http://schemas.openxmlformats.org/drawingml/2006/chartDrawing">
    <cdr:from>
      <cdr:x>0.3768</cdr:x>
      <cdr:y>0.36391</cdr:y>
    </cdr:from>
    <cdr:to>
      <cdr:x>0.5837</cdr:x>
      <cdr:y>0.46487</cdr:y>
    </cdr:to>
    <cdr:sp macro="" textlink="">
      <cdr:nvSpPr>
        <cdr:cNvPr id="71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8759" y="1992814"/>
          <a:ext cx="1584418" cy="55198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S=0.15 S=0.18</a:t>
          </a:r>
        </a:p>
      </cdr:txBody>
    </cdr:sp>
  </cdr:relSizeAnchor>
  <cdr:relSizeAnchor xmlns:cdr="http://schemas.openxmlformats.org/drawingml/2006/chartDrawing">
    <cdr:from>
      <cdr:x>0.56592</cdr:x>
      <cdr:y>0.40322</cdr:y>
    </cdr:from>
    <cdr:to>
      <cdr:x>0.6906</cdr:x>
      <cdr:y>0.46414</cdr:y>
    </cdr:to>
    <cdr:sp macro="" textlink="">
      <cdr:nvSpPr>
        <cdr:cNvPr id="717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337045" y="2207698"/>
          <a:ext cx="954810" cy="33307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0.19657</cdr:x>
      <cdr:y>0.14111</cdr:y>
    </cdr:from>
    <cdr:to>
      <cdr:x>0.36174</cdr:x>
      <cdr:y>0.20056</cdr:y>
    </cdr:to>
    <cdr:sp macro="" textlink="">
      <cdr:nvSpPr>
        <cdr:cNvPr id="71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8539" y="774690"/>
          <a:ext cx="1264887" cy="32501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1.5 %w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857250</xdr:colOff>
      <xdr:row>46</xdr:row>
      <xdr:rowOff>123825</xdr:rowOff>
    </xdr:from>
    <xdr:to>
      <xdr:col>63</xdr:col>
      <xdr:colOff>352425</xdr:colOff>
      <xdr:row>71</xdr:row>
      <xdr:rowOff>19050</xdr:rowOff>
    </xdr:to>
    <xdr:graphicFrame macro="">
      <xdr:nvGraphicFramePr>
        <xdr:cNvPr id="17489" name="Chart 1">
          <a:extLst>
            <a:ext uri="{FF2B5EF4-FFF2-40B4-BE49-F238E27FC236}">
              <a16:creationId xmlns:a16="http://schemas.microsoft.com/office/drawing/2014/main" id="{00000000-0008-0000-0300-000051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438150</xdr:colOff>
      <xdr:row>49</xdr:row>
      <xdr:rowOff>95250</xdr:rowOff>
    </xdr:from>
    <xdr:to>
      <xdr:col>75</xdr:col>
      <xdr:colOff>161925</xdr:colOff>
      <xdr:row>73</xdr:row>
      <xdr:rowOff>57150</xdr:rowOff>
    </xdr:to>
    <xdr:graphicFrame macro="">
      <xdr:nvGraphicFramePr>
        <xdr:cNvPr id="17490" name="Chart 2">
          <a:extLst>
            <a:ext uri="{FF2B5EF4-FFF2-40B4-BE49-F238E27FC236}">
              <a16:creationId xmlns:a16="http://schemas.microsoft.com/office/drawing/2014/main" id="{00000000-0008-0000-0300-000052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19050</xdr:colOff>
      <xdr:row>73</xdr:row>
      <xdr:rowOff>19050</xdr:rowOff>
    </xdr:from>
    <xdr:to>
      <xdr:col>61</xdr:col>
      <xdr:colOff>38100</xdr:colOff>
      <xdr:row>73</xdr:row>
      <xdr:rowOff>190500</xdr:rowOff>
    </xdr:to>
    <xdr:sp macro="" textlink="">
      <xdr:nvSpPr>
        <xdr:cNvPr id="17491" name="Line 3">
          <a:extLst>
            <a:ext uri="{FF2B5EF4-FFF2-40B4-BE49-F238E27FC236}">
              <a16:creationId xmlns:a16="http://schemas.microsoft.com/office/drawing/2014/main" id="{00000000-0008-0000-0300-000053440000}"/>
            </a:ext>
          </a:extLst>
        </xdr:cNvPr>
        <xdr:cNvSpPr>
          <a:spLocks noChangeShapeType="1"/>
        </xdr:cNvSpPr>
      </xdr:nvSpPr>
      <xdr:spPr bwMode="auto">
        <a:xfrm flipH="1" flipV="1">
          <a:off x="49349025" y="14506575"/>
          <a:ext cx="19050" cy="171450"/>
        </a:xfrm>
        <a:prstGeom prst="line">
          <a:avLst/>
        </a:prstGeom>
        <a:noFill/>
        <a:ln w="444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55</xdr:col>
      <xdr:colOff>695325</xdr:colOff>
      <xdr:row>51</xdr:row>
      <xdr:rowOff>171450</xdr:rowOff>
    </xdr:from>
    <xdr:to>
      <xdr:col>64</xdr:col>
      <xdr:colOff>133350</xdr:colOff>
      <xdr:row>80</xdr:row>
      <xdr:rowOff>47625</xdr:rowOff>
    </xdr:to>
    <xdr:graphicFrame macro="">
      <xdr:nvGraphicFramePr>
        <xdr:cNvPr id="17492" name="Chart 4">
          <a:extLst>
            <a:ext uri="{FF2B5EF4-FFF2-40B4-BE49-F238E27FC236}">
              <a16:creationId xmlns:a16="http://schemas.microsoft.com/office/drawing/2014/main" id="{00000000-0008-0000-0300-000054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723900</xdr:colOff>
      <xdr:row>54</xdr:row>
      <xdr:rowOff>123825</xdr:rowOff>
    </xdr:from>
    <xdr:to>
      <xdr:col>76</xdr:col>
      <xdr:colOff>142875</xdr:colOff>
      <xdr:row>79</xdr:row>
      <xdr:rowOff>142875</xdr:rowOff>
    </xdr:to>
    <xdr:graphicFrame macro="">
      <xdr:nvGraphicFramePr>
        <xdr:cNvPr id="17493" name="Chart 5">
          <a:extLst>
            <a:ext uri="{FF2B5EF4-FFF2-40B4-BE49-F238E27FC236}">
              <a16:creationId xmlns:a16="http://schemas.microsoft.com/office/drawing/2014/main" id="{00000000-0008-0000-0300-000055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723900</xdr:colOff>
      <xdr:row>36</xdr:row>
      <xdr:rowOff>28575</xdr:rowOff>
    </xdr:from>
    <xdr:to>
      <xdr:col>77</xdr:col>
      <xdr:colOff>361950</xdr:colOff>
      <xdr:row>61</xdr:row>
      <xdr:rowOff>180975</xdr:rowOff>
    </xdr:to>
    <xdr:graphicFrame macro="">
      <xdr:nvGraphicFramePr>
        <xdr:cNvPr id="17494" name="Chart 6">
          <a:extLst>
            <a:ext uri="{FF2B5EF4-FFF2-40B4-BE49-F238E27FC236}">
              <a16:creationId xmlns:a16="http://schemas.microsoft.com/office/drawing/2014/main" id="{00000000-0008-0000-0300-000056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 fPrintsWithSheet="0"/>
  </xdr:twoCellAnchor>
  <xdr:twoCellAnchor>
    <xdr:from>
      <xdr:col>65</xdr:col>
      <xdr:colOff>276225</xdr:colOff>
      <xdr:row>58</xdr:row>
      <xdr:rowOff>180975</xdr:rowOff>
    </xdr:from>
    <xdr:to>
      <xdr:col>76</xdr:col>
      <xdr:colOff>66675</xdr:colOff>
      <xdr:row>80</xdr:row>
      <xdr:rowOff>95250</xdr:rowOff>
    </xdr:to>
    <xdr:graphicFrame macro="">
      <xdr:nvGraphicFramePr>
        <xdr:cNvPr id="17495" name="Chart 7">
          <a:extLst>
            <a:ext uri="{FF2B5EF4-FFF2-40B4-BE49-F238E27FC236}">
              <a16:creationId xmlns:a16="http://schemas.microsoft.com/office/drawing/2014/main" id="{00000000-0008-0000-0300-000057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180975</xdr:colOff>
      <xdr:row>62</xdr:row>
      <xdr:rowOff>171450</xdr:rowOff>
    </xdr:from>
    <xdr:to>
      <xdr:col>78</xdr:col>
      <xdr:colOff>352425</xdr:colOff>
      <xdr:row>90</xdr:row>
      <xdr:rowOff>152400</xdr:rowOff>
    </xdr:to>
    <xdr:graphicFrame macro="">
      <xdr:nvGraphicFramePr>
        <xdr:cNvPr id="17496" name="Chart 8">
          <a:extLst>
            <a:ext uri="{FF2B5EF4-FFF2-40B4-BE49-F238E27FC236}">
              <a16:creationId xmlns:a16="http://schemas.microsoft.com/office/drawing/2014/main" id="{00000000-0008-0000-0300-000058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0.1399</cdr:x>
      <cdr:y>0.63207</cdr:y>
    </cdr:from>
    <cdr:to>
      <cdr:x>0.32772</cdr:x>
      <cdr:y>0.78349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9199" y="3025429"/>
          <a:ext cx="1404401" cy="72403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  (S=20, C=20)</a:t>
          </a:r>
        </a:p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OM = 2.5%</a:t>
          </a:r>
        </a:p>
      </cdr:txBody>
    </cdr:sp>
  </cdr:relSizeAnchor>
  <cdr:relSizeAnchor xmlns:cdr="http://schemas.openxmlformats.org/drawingml/2006/chartDrawing">
    <cdr:from>
      <cdr:x>0.74459</cdr:x>
      <cdr:y>0.40395</cdr:y>
    </cdr:from>
    <cdr:to>
      <cdr:x>0.87244</cdr:x>
      <cdr:y>0.49485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70597" y="1934693"/>
          <a:ext cx="955953" cy="434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Salinity, dS/m</a:t>
          </a:r>
        </a:p>
      </cdr:txBody>
    </cdr:sp>
  </cdr:relSizeAnchor>
  <cdr:relSizeAnchor xmlns:cdr="http://schemas.openxmlformats.org/drawingml/2006/chartDrawing">
    <cdr:from>
      <cdr:x>0.78433</cdr:x>
      <cdr:y>0.76462</cdr:y>
    </cdr:from>
    <cdr:to>
      <cdr:x>0.81691</cdr:x>
      <cdr:y>0.81118</cdr:y>
    </cdr:to>
    <cdr:sp macro="" textlink="">
      <cdr:nvSpPr>
        <cdr:cNvPr id="1843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3659251"/>
          <a:ext cx="243601" cy="22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cdr:txBody>
    </cdr:sp>
  </cdr:relSizeAnchor>
  <cdr:relSizeAnchor xmlns:cdr="http://schemas.openxmlformats.org/drawingml/2006/chartDrawing">
    <cdr:from>
      <cdr:x>0.78433</cdr:x>
      <cdr:y>0.58429</cdr:y>
    </cdr:from>
    <cdr:to>
      <cdr:x>0.81691</cdr:x>
      <cdr:y>0.63084</cdr:y>
    </cdr:to>
    <cdr:sp macro="" textlink="">
      <cdr:nvSpPr>
        <cdr:cNvPr id="1843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2796972"/>
          <a:ext cx="243601" cy="2225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cdr:txBody>
    </cdr:sp>
  </cdr:relSizeAnchor>
  <cdr:relSizeAnchor xmlns:cdr="http://schemas.openxmlformats.org/drawingml/2006/chartDrawing">
    <cdr:from>
      <cdr:x>0.78433</cdr:x>
      <cdr:y>0.51617</cdr:y>
    </cdr:from>
    <cdr:to>
      <cdr:x>0.81691</cdr:x>
      <cdr:y>0.56273</cdr:y>
    </cdr:to>
    <cdr:sp macro="" textlink="">
      <cdr:nvSpPr>
        <cdr:cNvPr id="184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2471274"/>
          <a:ext cx="243601" cy="2225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cdr:txBody>
    </cdr:sp>
  </cdr:relSizeAnchor>
  <cdr:relSizeAnchor xmlns:cdr="http://schemas.openxmlformats.org/drawingml/2006/chartDrawing">
    <cdr:from>
      <cdr:x>0.78433</cdr:x>
      <cdr:y>0.64628</cdr:y>
    </cdr:from>
    <cdr:to>
      <cdr:x>0.81173</cdr:x>
      <cdr:y>0.69259</cdr:y>
    </cdr:to>
    <cdr:sp macro="" textlink="">
      <cdr:nvSpPr>
        <cdr:cNvPr id="1843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3093380"/>
          <a:ext cx="204847" cy="221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0.65458</cdr:x>
      <cdr:y>0.19831</cdr:y>
    </cdr:from>
    <cdr:to>
      <cdr:x>0.77317</cdr:x>
      <cdr:y>0.26418</cdr:y>
    </cdr:to>
    <cdr:sp macro="" textlink="">
      <cdr:nvSpPr>
        <cdr:cNvPr id="19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17258" y="924966"/>
          <a:ext cx="817802" cy="30618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Bulk Den.</a:t>
          </a:r>
        </a:p>
      </cdr:txBody>
    </cdr:sp>
  </cdr:relSizeAnchor>
  <cdr:relSizeAnchor xmlns:cdr="http://schemas.openxmlformats.org/drawingml/2006/chartDrawing">
    <cdr:from>
      <cdr:x>0.65606</cdr:x>
      <cdr:y>0.73116</cdr:y>
    </cdr:from>
    <cdr:to>
      <cdr:x>0.77169</cdr:x>
      <cdr:y>0.79238</cdr:y>
    </cdr:to>
    <cdr:sp macro="" textlink="">
      <cdr:nvSpPr>
        <cdr:cNvPr id="194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27460" y="3401771"/>
          <a:ext cx="797399" cy="28456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Gravel, %v</a:t>
          </a:r>
        </a:p>
      </cdr:txBody>
    </cdr:sp>
  </cdr:relSizeAnchor>
  <cdr:relSizeAnchor xmlns:cdr="http://schemas.openxmlformats.org/drawingml/2006/chartDrawing">
    <cdr:from>
      <cdr:x>0.4539</cdr:x>
      <cdr:y>0.47453</cdr:y>
    </cdr:from>
    <cdr:to>
      <cdr:x>0.59122</cdr:x>
      <cdr:y>0.52914</cdr:y>
    </cdr:to>
    <cdr:sp macro="" textlink="">
      <cdr:nvSpPr>
        <cdr:cNvPr id="194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33285" y="2208898"/>
          <a:ext cx="947019" cy="2538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Sat. Cond.</a:t>
          </a:r>
        </a:p>
      </cdr:txBody>
    </cdr:sp>
  </cdr:relSizeAnchor>
  <cdr:relSizeAnchor xmlns:cdr="http://schemas.openxmlformats.org/drawingml/2006/chartDrawing">
    <cdr:from>
      <cdr:x>0.22707</cdr:x>
      <cdr:y>0.56514</cdr:y>
    </cdr:from>
    <cdr:to>
      <cdr:x>0.36785</cdr:x>
      <cdr:y>0.68317</cdr:y>
    </cdr:to>
    <cdr:sp macro="" textlink="">
      <cdr:nvSpPr>
        <cdr:cNvPr id="1946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9090" y="2630046"/>
          <a:ext cx="970821" cy="54863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SiL: </a:t>
          </a:r>
        </a:p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S=20, C=20, </a:t>
          </a:r>
        </a:p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OM=2.5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0.13429</cdr:x>
      <cdr:y>0.5489</cdr:y>
    </cdr:from>
    <cdr:to>
      <cdr:x>0.3337</cdr:x>
      <cdr:y>0.63072</cdr:y>
    </cdr:to>
    <cdr:sp macro="" textlink="">
      <cdr:nvSpPr>
        <cdr:cNvPr id="204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7027" y="3051239"/>
          <a:ext cx="1639184" cy="45436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Sandy Loam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S=0.63, C=0.10</a:t>
          </a:r>
        </a:p>
      </cdr:txBody>
    </cdr:sp>
  </cdr:relSizeAnchor>
  <cdr:relSizeAnchor xmlns:cdr="http://schemas.openxmlformats.org/drawingml/2006/chartDrawing">
    <cdr:from>
      <cdr:x>0.23881</cdr:x>
      <cdr:y>0.15821</cdr:y>
    </cdr:from>
    <cdr:to>
      <cdr:x>0.42636</cdr:x>
      <cdr:y>0.24004</cdr:y>
    </cdr:to>
    <cdr:sp macro="" textlink="">
      <cdr:nvSpPr>
        <cdr:cNvPr id="204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6227" y="881754"/>
          <a:ext cx="1541686" cy="45436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S=0.15, C=0.18</a:t>
          </a:r>
        </a:p>
      </cdr:txBody>
    </cdr:sp>
  </cdr:relSizeAnchor>
  <cdr:relSizeAnchor xmlns:cdr="http://schemas.openxmlformats.org/drawingml/2006/chartDrawing">
    <cdr:from>
      <cdr:x>0.57166</cdr:x>
      <cdr:y>0.3167</cdr:y>
    </cdr:from>
    <cdr:to>
      <cdr:x>0.78565</cdr:x>
      <cdr:y>0.43857</cdr:y>
    </cdr:to>
    <cdr:sp macro="" textlink="">
      <cdr:nvSpPr>
        <cdr:cNvPr id="204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02262" y="1761828"/>
          <a:ext cx="1759025" cy="67677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Clay Loam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S=0.29, C=0.32</a:t>
          </a:r>
        </a:p>
      </cdr:txBody>
    </cdr:sp>
  </cdr:relSizeAnchor>
  <cdr:relSizeAnchor xmlns:cdr="http://schemas.openxmlformats.org/drawingml/2006/chartDrawing">
    <cdr:from>
      <cdr:x>0.82716</cdr:x>
      <cdr:y>0.85161</cdr:y>
    </cdr:from>
    <cdr:to>
      <cdr:x>0.82716</cdr:x>
      <cdr:y>0.85161</cdr:y>
    </cdr:to>
    <cdr:sp macro="" textlink="">
      <cdr:nvSpPr>
        <cdr:cNvPr id="2048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802530" y="4732249"/>
          <a:ext cx="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0.40857</cdr:x>
      <cdr:y>0.59779</cdr:y>
    </cdr:from>
    <cdr:to>
      <cdr:x>0.82716</cdr:x>
      <cdr:y>0.82164</cdr:y>
    </cdr:to>
    <cdr:sp macro="" textlink="">
      <cdr:nvSpPr>
        <cdr:cNvPr id="20485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361666" y="3322766"/>
          <a:ext cx="3440864" cy="12430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0.65222</cdr:x>
      <cdr:y>0.59779</cdr:y>
    </cdr:from>
    <cdr:to>
      <cdr:x>0.87831</cdr:x>
      <cdr:y>0.70591</cdr:y>
    </cdr:to>
    <cdr:sp macro="" textlink="">
      <cdr:nvSpPr>
        <cdr:cNvPr id="20486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364436" y="3322766"/>
          <a:ext cx="1858553" cy="60036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0.69744</cdr:x>
      <cdr:y>0.59779</cdr:y>
    </cdr:from>
    <cdr:to>
      <cdr:x>0.89611</cdr:x>
      <cdr:y>0.76389</cdr:y>
    </cdr:to>
    <cdr:sp macro="" textlink="">
      <cdr:nvSpPr>
        <cdr:cNvPr id="2048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736146" y="3322766"/>
          <a:ext cx="1633090" cy="92237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0.7177</cdr:x>
      <cdr:y>0.15895</cdr:y>
    </cdr:from>
    <cdr:to>
      <cdr:x>0.89685</cdr:x>
      <cdr:y>0.23045</cdr:y>
    </cdr:to>
    <cdr:sp macro="" textlink="">
      <cdr:nvSpPr>
        <cdr:cNvPr id="20488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2705" y="885847"/>
          <a:ext cx="1472625" cy="39705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1.5 %w</a:t>
          </a:r>
        </a:p>
      </cdr:txBody>
    </cdr:sp>
  </cdr:relSizeAnchor>
  <cdr:relSizeAnchor xmlns:cdr="http://schemas.openxmlformats.org/drawingml/2006/chartDrawing">
    <cdr:from>
      <cdr:x>0.87831</cdr:x>
      <cdr:y>0.70591</cdr:y>
    </cdr:from>
    <cdr:to>
      <cdr:x>0.87831</cdr:x>
      <cdr:y>0.87225</cdr:y>
    </cdr:to>
    <cdr:sp macro="" textlink="">
      <cdr:nvSpPr>
        <cdr:cNvPr id="2048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222989" y="3923127"/>
          <a:ext cx="0" cy="92373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0.82716</cdr:x>
      <cdr:y>0.82016</cdr:y>
    </cdr:from>
    <cdr:to>
      <cdr:x>0.82716</cdr:x>
      <cdr:y>0.87225</cdr:y>
    </cdr:to>
    <cdr:sp macro="" textlink="">
      <cdr:nvSpPr>
        <cdr:cNvPr id="20490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802530" y="4557599"/>
          <a:ext cx="0" cy="2892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0.89512</cdr:x>
      <cdr:y>0.76316</cdr:y>
    </cdr:from>
    <cdr:to>
      <cdr:x>0.89512</cdr:x>
      <cdr:y>0.87225</cdr:y>
    </cdr:to>
    <cdr:sp macro="" textlink="">
      <cdr:nvSpPr>
        <cdr:cNvPr id="20491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361111" y="4241045"/>
          <a:ext cx="0" cy="60581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0.47163</cdr:x>
      <cdr:y>0.30018</cdr:y>
    </cdr:from>
    <cdr:to>
      <cdr:x>0.59719</cdr:x>
      <cdr:y>0.35829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5872" y="1484265"/>
          <a:ext cx="900557" cy="286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0.5%</a:t>
          </a:r>
        </a:p>
      </cdr:txBody>
    </cdr:sp>
  </cdr:relSizeAnchor>
  <cdr:relSizeAnchor xmlns:cdr="http://schemas.openxmlformats.org/drawingml/2006/chartDrawing">
    <cdr:from>
      <cdr:x>0.60879</cdr:x>
      <cdr:y>0.25875</cdr:y>
    </cdr:from>
    <cdr:to>
      <cdr:x>0.70474</cdr:x>
      <cdr:y>0.30925</cdr:y>
    </cdr:to>
    <cdr:sp macro="" textlink="">
      <cdr:nvSpPr>
        <cdr:cNvPr id="21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9585" y="1279830"/>
          <a:ext cx="688246" cy="249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2.5%</a:t>
          </a:r>
        </a:p>
      </cdr:txBody>
    </cdr:sp>
  </cdr:relSizeAnchor>
  <cdr:relSizeAnchor xmlns:cdr="http://schemas.openxmlformats.org/drawingml/2006/chartDrawing">
    <cdr:from>
      <cdr:x>0.68378</cdr:x>
      <cdr:y>0.30141</cdr:y>
    </cdr:from>
    <cdr:to>
      <cdr:x>0.78171</cdr:x>
      <cdr:y>0.34284</cdr:y>
    </cdr:to>
    <cdr:sp macro="" textlink="">
      <cdr:nvSpPr>
        <cdr:cNvPr id="215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7443" y="1490313"/>
          <a:ext cx="702399" cy="20443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5.0%</a:t>
          </a:r>
        </a:p>
        <a:p xmlns:a="http://schemas.openxmlformats.org/drawingml/2006/main">
          <a:pPr algn="ctr" rtl="0">
            <a:defRPr sz="1000"/>
          </a:pPr>
          <a:endParaRPr lang="en-US" sz="145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0.73977</cdr:x>
      <cdr:y>0.34284</cdr:y>
    </cdr:from>
    <cdr:to>
      <cdr:x>0.82907</cdr:x>
      <cdr:y>0.40389</cdr:y>
    </cdr:to>
    <cdr:sp macro="" textlink="">
      <cdr:nvSpPr>
        <cdr:cNvPr id="2150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09067" y="1694748"/>
          <a:ext cx="640475" cy="301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7.50%</a:t>
          </a:r>
        </a:p>
      </cdr:txBody>
    </cdr:sp>
  </cdr:relSizeAnchor>
  <cdr:relSizeAnchor xmlns:cdr="http://schemas.openxmlformats.org/drawingml/2006/chartDrawing">
    <cdr:from>
      <cdr:x>0.72596</cdr:x>
      <cdr:y>0.63092</cdr:y>
    </cdr:from>
    <cdr:to>
      <cdr:x>0.93366</cdr:x>
      <cdr:y>0.75425</cdr:y>
    </cdr:to>
    <cdr:sp macro="" textlink="">
      <cdr:nvSpPr>
        <cdr:cNvPr id="2150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9988" y="3116116"/>
          <a:ext cx="1489724" cy="60846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 (S=20, C=20)</a:t>
          </a:r>
        </a:p>
      </cdr:txBody>
    </cdr:sp>
  </cdr:relSizeAnchor>
  <cdr:relSizeAnchor xmlns:cdr="http://schemas.openxmlformats.org/drawingml/2006/chartDrawing">
    <cdr:from>
      <cdr:x>0.35545</cdr:x>
      <cdr:y>0.21315</cdr:y>
    </cdr:from>
    <cdr:to>
      <cdr:x>0.60385</cdr:x>
      <cdr:y>0.27885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2546" y="1054830"/>
          <a:ext cx="1781654" cy="3241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Organic Matter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0.66749</cdr:x>
      <cdr:y>0.20775</cdr:y>
    </cdr:from>
    <cdr:to>
      <cdr:x>0.85622</cdr:x>
      <cdr:y>0.33192</cdr:y>
    </cdr:to>
    <cdr:sp macro="" textlink="">
      <cdr:nvSpPr>
        <cdr:cNvPr id="22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56454" y="1073735"/>
          <a:ext cx="1513636" cy="63980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 (S=20, C=20)</a:t>
          </a:r>
        </a:p>
      </cdr:txBody>
    </cdr:sp>
  </cdr:relSizeAnchor>
  <cdr:relSizeAnchor xmlns:cdr="http://schemas.openxmlformats.org/drawingml/2006/chartDrawing">
    <cdr:from>
      <cdr:x>0.17985</cdr:x>
      <cdr:y>0.46761</cdr:y>
    </cdr:from>
    <cdr:to>
      <cdr:x>0.25593</cdr:x>
      <cdr:y>0.52086</cdr:y>
    </cdr:to>
    <cdr:sp macro="" textlink="">
      <cdr:nvSpPr>
        <cdr:cNvPr id="22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5565" y="2412781"/>
          <a:ext cx="610209" cy="27438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0.50%</a:t>
          </a:r>
        </a:p>
      </cdr:txBody>
    </cdr:sp>
  </cdr:relSizeAnchor>
  <cdr:relSizeAnchor xmlns:cdr="http://schemas.openxmlformats.org/drawingml/2006/chartDrawing">
    <cdr:from>
      <cdr:x>0.25593</cdr:x>
      <cdr:y>0.52086</cdr:y>
    </cdr:from>
    <cdr:to>
      <cdr:x>0.33103</cdr:x>
      <cdr:y>0.5746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55774" y="2687165"/>
          <a:ext cx="602285" cy="27691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2.50%</a:t>
          </a:r>
        </a:p>
      </cdr:txBody>
    </cdr:sp>
  </cdr:relSizeAnchor>
  <cdr:relSizeAnchor xmlns:cdr="http://schemas.openxmlformats.org/drawingml/2006/chartDrawing">
    <cdr:from>
      <cdr:x>0.41749</cdr:x>
      <cdr:y>0.39743</cdr:y>
    </cdr:from>
    <cdr:to>
      <cdr:x>0.49333</cdr:x>
      <cdr:y>0.45068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1479" y="2051150"/>
          <a:ext cx="608229" cy="27438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5.00%</a:t>
          </a:r>
        </a:p>
      </cdr:txBody>
    </cdr:sp>
  </cdr:relSizeAnchor>
  <cdr:relSizeAnchor xmlns:cdr="http://schemas.openxmlformats.org/drawingml/2006/chartDrawing">
    <cdr:from>
      <cdr:x>0.54842</cdr:x>
      <cdr:y>0.48798</cdr:y>
    </cdr:from>
    <cdr:to>
      <cdr:x>0.6245</cdr:x>
      <cdr:y>0.54196</cdr:y>
    </cdr:to>
    <cdr:sp macro="" textlink="">
      <cdr:nvSpPr>
        <cdr:cNvPr id="2253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1515" y="2517730"/>
          <a:ext cx="610210" cy="27817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7.50%</a:t>
          </a:r>
        </a:p>
      </cdr:txBody>
    </cdr:sp>
  </cdr:relSizeAnchor>
  <cdr:relSizeAnchor xmlns:cdr="http://schemas.openxmlformats.org/drawingml/2006/chartDrawing">
    <cdr:from>
      <cdr:x>0.37253</cdr:x>
      <cdr:y>0.42516</cdr:y>
    </cdr:from>
    <cdr:to>
      <cdr:x>0.41749</cdr:x>
      <cdr:y>0.48798</cdr:y>
    </cdr:to>
    <cdr:sp macro="" textlink="">
      <cdr:nvSpPr>
        <cdr:cNvPr id="22534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990901" y="2194032"/>
          <a:ext cx="360578" cy="32369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0.33103</cdr:x>
      <cdr:y>0.53386</cdr:y>
    </cdr:from>
    <cdr:to>
      <cdr:x>0.38464</cdr:x>
      <cdr:y>0.55374</cdr:y>
    </cdr:to>
    <cdr:sp macro="" textlink="">
      <cdr:nvSpPr>
        <cdr:cNvPr id="2253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658059" y="2754181"/>
          <a:ext cx="429921" cy="1024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0.25593</cdr:x>
      <cdr:y>0.45068</cdr:y>
    </cdr:from>
    <cdr:to>
      <cdr:x>0.29175</cdr:x>
      <cdr:y>0.48798</cdr:y>
    </cdr:to>
    <cdr:sp macro="" textlink="">
      <cdr:nvSpPr>
        <cdr:cNvPr id="22536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055774" y="2325534"/>
          <a:ext cx="287274" cy="1921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0.50222</cdr:x>
      <cdr:y>0.52086</cdr:y>
    </cdr:from>
    <cdr:to>
      <cdr:x>0.54842</cdr:x>
      <cdr:y>0.5746</cdr:y>
    </cdr:to>
    <cdr:sp macro="" textlink="">
      <cdr:nvSpPr>
        <cdr:cNvPr id="22537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031031" y="2687165"/>
          <a:ext cx="370484" cy="2769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0.28632</cdr:x>
      <cdr:y>0.26885</cdr:y>
    </cdr:from>
    <cdr:to>
      <cdr:x>0.54842</cdr:x>
      <cdr:y>0.33192</cdr:y>
    </cdr:to>
    <cdr:sp macro="" textlink="">
      <cdr:nvSpPr>
        <cdr:cNvPr id="2253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9462" y="1388581"/>
          <a:ext cx="2102053" cy="32496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Organic Matter, %w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0.2294</cdr:x>
      <cdr:y>0.21282</cdr:y>
    </cdr:from>
    <cdr:to>
      <cdr:x>0.43839</cdr:x>
      <cdr:y>0.38293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9286" y="909300"/>
          <a:ext cx="1399375" cy="72426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S=0.20, C=0.20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2.5</a:t>
          </a: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0.58995</cdr:x>
      <cdr:y>0.18789</cdr:y>
    </cdr:from>
    <cdr:to>
      <cdr:x>0.80658</cdr:x>
      <cdr:y>0.24386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3538" y="803158"/>
          <a:ext cx="1450531" cy="2382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Density Factor:</a:t>
          </a:r>
        </a:p>
      </cdr:txBody>
    </cdr:sp>
  </cdr:relSizeAnchor>
  <cdr:relSizeAnchor xmlns:cdr="http://schemas.openxmlformats.org/drawingml/2006/chartDrawing">
    <cdr:from>
      <cdr:x>0.83689</cdr:x>
      <cdr:y>0.18838</cdr:y>
    </cdr:from>
    <cdr:to>
      <cdr:x>0.90614</cdr:x>
      <cdr:y>0.24459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7044" y="805240"/>
          <a:ext cx="463708" cy="23933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0.9</a:t>
          </a:r>
        </a:p>
      </cdr:txBody>
    </cdr:sp>
  </cdr:relSizeAnchor>
  <cdr:relSizeAnchor xmlns:cdr="http://schemas.openxmlformats.org/drawingml/2006/chartDrawing">
    <cdr:from>
      <cdr:x>0.83763</cdr:x>
      <cdr:y>0.24459</cdr:y>
    </cdr:from>
    <cdr:to>
      <cdr:x>0.90762</cdr:x>
      <cdr:y>0.29763</cdr:y>
    </cdr:to>
    <cdr:sp macro="" textlink="">
      <cdr:nvSpPr>
        <cdr:cNvPr id="2355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044579"/>
          <a:ext cx="468659" cy="22581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1.0</a:t>
          </a:r>
        </a:p>
      </cdr:txBody>
    </cdr:sp>
  </cdr:relSizeAnchor>
  <cdr:relSizeAnchor xmlns:cdr="http://schemas.openxmlformats.org/drawingml/2006/chartDrawing">
    <cdr:from>
      <cdr:x>0.83763</cdr:x>
      <cdr:y>0.29812</cdr:y>
    </cdr:from>
    <cdr:to>
      <cdr:x>0.90836</cdr:x>
      <cdr:y>0.35164</cdr:y>
    </cdr:to>
    <cdr:sp macro="" textlink="">
      <cdr:nvSpPr>
        <cdr:cNvPr id="235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272472"/>
          <a:ext cx="473609" cy="2278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1.1</a:t>
          </a:r>
        </a:p>
      </cdr:txBody>
    </cdr:sp>
  </cdr:relSizeAnchor>
  <cdr:relSizeAnchor xmlns:cdr="http://schemas.openxmlformats.org/drawingml/2006/chartDrawing">
    <cdr:from>
      <cdr:x>0.83763</cdr:x>
      <cdr:y>0.36778</cdr:y>
    </cdr:from>
    <cdr:to>
      <cdr:x>0.90836</cdr:x>
      <cdr:y>0.41861</cdr:y>
    </cdr:to>
    <cdr:sp macro="" textlink="">
      <cdr:nvSpPr>
        <cdr:cNvPr id="2355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569045"/>
          <a:ext cx="473609" cy="21644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1.2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0.53111</cdr:x>
      <cdr:y>0.12539</cdr:y>
    </cdr:from>
    <cdr:to>
      <cdr:x>0.73751</cdr:x>
      <cdr:y>0.24158</cdr:y>
    </cdr:to>
    <cdr:sp macro="" textlink="">
      <cdr:nvSpPr>
        <cdr:cNvPr id="24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70455" y="688737"/>
          <a:ext cx="1580635" cy="63525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Sandy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S=0.63, C=0.10</a:t>
          </a:r>
        </a:p>
      </cdr:txBody>
    </cdr:sp>
  </cdr:relSizeAnchor>
  <cdr:relSizeAnchor xmlns:cdr="http://schemas.openxmlformats.org/drawingml/2006/chartDrawing">
    <cdr:from>
      <cdr:x>0.76121</cdr:x>
      <cdr:y>0.54667</cdr:y>
    </cdr:from>
    <cdr:to>
      <cdr:x>0.94465</cdr:x>
      <cdr:y>0.6496</cdr:y>
    </cdr:to>
    <cdr:sp macro="" textlink="">
      <cdr:nvSpPr>
        <cdr:cNvPr id="2457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2599" y="2992025"/>
          <a:ext cx="1404799" cy="5627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Clay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S=0.29, C=0.32</a:t>
          </a:r>
        </a:p>
      </cdr:txBody>
    </cdr:sp>
  </cdr:relSizeAnchor>
  <cdr:relSizeAnchor xmlns:cdr="http://schemas.openxmlformats.org/drawingml/2006/chartDrawing">
    <cdr:from>
      <cdr:x>0.36865</cdr:x>
      <cdr:y>0.37079</cdr:y>
    </cdr:from>
    <cdr:to>
      <cdr:x>0.57826</cdr:x>
      <cdr:y>0.47372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26366" y="2030419"/>
          <a:ext cx="1605215" cy="5627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S=0.15 S=0.18</a:t>
          </a:r>
        </a:p>
      </cdr:txBody>
    </cdr:sp>
  </cdr:relSizeAnchor>
  <cdr:relSizeAnchor xmlns:cdr="http://schemas.openxmlformats.org/drawingml/2006/chartDrawing">
    <cdr:from>
      <cdr:x>0.56049</cdr:x>
      <cdr:y>0.41083</cdr:y>
    </cdr:from>
    <cdr:to>
      <cdr:x>0.6869</cdr:x>
      <cdr:y>0.47298</cdr:y>
    </cdr:to>
    <cdr:sp macro="" textlink="">
      <cdr:nvSpPr>
        <cdr:cNvPr id="24580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295450" y="2249332"/>
          <a:ext cx="968044" cy="33978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0.18596</cdr:x>
      <cdr:y>0.14357</cdr:y>
    </cdr:from>
    <cdr:to>
      <cdr:x>0.3531</cdr:x>
      <cdr:y>0.20424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7239" y="788121"/>
          <a:ext cx="1280012" cy="3317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1.5 %w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0.82716</cdr:x>
      <cdr:y>0.85161</cdr:y>
    </cdr:from>
    <cdr:to>
      <cdr:x>0.82716</cdr:x>
      <cdr:y>0.85161</cdr:y>
    </cdr:to>
    <cdr:sp macro="" textlink="">
      <cdr:nvSpPr>
        <cdr:cNvPr id="5124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802530" y="4732249"/>
          <a:ext cx="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206375</xdr:colOff>
      <xdr:row>44</xdr:row>
      <xdr:rowOff>98425</xdr:rowOff>
    </xdr:from>
    <xdr:to>
      <xdr:col>93</xdr:col>
      <xdr:colOff>317500</xdr:colOff>
      <xdr:row>68</xdr:row>
      <xdr:rowOff>196850</xdr:rowOff>
    </xdr:to>
    <xdr:graphicFrame macro="">
      <xdr:nvGraphicFramePr>
        <xdr:cNvPr id="1099" name="Chart 4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85</xdr:col>
      <xdr:colOff>387350</xdr:colOff>
      <xdr:row>40</xdr:row>
      <xdr:rowOff>82550</xdr:rowOff>
    </xdr:from>
    <xdr:to>
      <xdr:col>95</xdr:col>
      <xdr:colOff>682625</xdr:colOff>
      <xdr:row>64</xdr:row>
      <xdr:rowOff>44450</xdr:rowOff>
    </xdr:to>
    <xdr:graphicFrame macro="">
      <xdr:nvGraphicFramePr>
        <xdr:cNvPr id="1100" name="Chart 1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77</xdr:col>
      <xdr:colOff>19050</xdr:colOff>
      <xdr:row>73</xdr:row>
      <xdr:rowOff>19050</xdr:rowOff>
    </xdr:from>
    <xdr:to>
      <xdr:col>77</xdr:col>
      <xdr:colOff>38100</xdr:colOff>
      <xdr:row>73</xdr:row>
      <xdr:rowOff>190500</xdr:rowOff>
    </xdr:to>
    <xdr:sp macro="" textlink="">
      <xdr:nvSpPr>
        <xdr:cNvPr id="1101" name="Line 2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ShapeType="1"/>
        </xdr:cNvSpPr>
      </xdr:nvSpPr>
      <xdr:spPr bwMode="auto">
        <a:xfrm flipH="1" flipV="1">
          <a:off x="50111025" y="14506575"/>
          <a:ext cx="19050" cy="171450"/>
        </a:xfrm>
        <a:prstGeom prst="line">
          <a:avLst/>
        </a:prstGeom>
        <a:noFill/>
        <a:ln w="444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304800</xdr:colOff>
      <xdr:row>40</xdr:row>
      <xdr:rowOff>85725</xdr:rowOff>
    </xdr:from>
    <xdr:to>
      <xdr:col>97</xdr:col>
      <xdr:colOff>79375</xdr:colOff>
      <xdr:row>65</xdr:row>
      <xdr:rowOff>130175</xdr:rowOff>
    </xdr:to>
    <xdr:graphicFrame macro="">
      <xdr:nvGraphicFramePr>
        <xdr:cNvPr id="1102" name="Chart 6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76200</xdr:colOff>
      <xdr:row>45</xdr:row>
      <xdr:rowOff>104775</xdr:rowOff>
    </xdr:from>
    <xdr:to>
      <xdr:col>96</xdr:col>
      <xdr:colOff>355600</xdr:colOff>
      <xdr:row>71</xdr:row>
      <xdr:rowOff>168275</xdr:rowOff>
    </xdr:to>
    <xdr:graphicFrame macro="">
      <xdr:nvGraphicFramePr>
        <xdr:cNvPr id="1103" name="Chart 8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 fPrintsWithSheet="0"/>
  </xdr:twoCellAnchor>
  <xdr:twoCellAnchor>
    <xdr:from>
      <xdr:col>86</xdr:col>
      <xdr:colOff>466725</xdr:colOff>
      <xdr:row>51</xdr:row>
      <xdr:rowOff>28575</xdr:rowOff>
    </xdr:from>
    <xdr:to>
      <xdr:col>96</xdr:col>
      <xdr:colOff>625475</xdr:colOff>
      <xdr:row>73</xdr:row>
      <xdr:rowOff>6350</xdr:rowOff>
    </xdr:to>
    <xdr:graphicFrame macro="">
      <xdr:nvGraphicFramePr>
        <xdr:cNvPr id="1104" name="Chart 3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77</xdr:col>
      <xdr:colOff>473075</xdr:colOff>
      <xdr:row>59</xdr:row>
      <xdr:rowOff>95250</xdr:rowOff>
    </xdr:from>
    <xdr:to>
      <xdr:col>89</xdr:col>
      <xdr:colOff>428625</xdr:colOff>
      <xdr:row>87</xdr:row>
      <xdr:rowOff>76200</xdr:rowOff>
    </xdr:to>
    <xdr:graphicFrame macro="">
      <xdr:nvGraphicFramePr>
        <xdr:cNvPr id="1105" name="Chart 7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0.1399</cdr:x>
      <cdr:y>0.63207</cdr:y>
    </cdr:from>
    <cdr:to>
      <cdr:x>0.32772</cdr:x>
      <cdr:y>0.78349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9199" y="3025429"/>
          <a:ext cx="1404401" cy="72403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  (S=20, C=20)</a:t>
          </a:r>
        </a:p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OM = 2.5%</a:t>
          </a:r>
        </a:p>
      </cdr:txBody>
    </cdr:sp>
  </cdr:relSizeAnchor>
  <cdr:relSizeAnchor xmlns:cdr="http://schemas.openxmlformats.org/drawingml/2006/chartDrawing">
    <cdr:from>
      <cdr:x>0.74459</cdr:x>
      <cdr:y>0.40395</cdr:y>
    </cdr:from>
    <cdr:to>
      <cdr:x>0.87244</cdr:x>
      <cdr:y>0.49485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70597" y="1934693"/>
          <a:ext cx="955953" cy="434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Salinity, dS/m</a:t>
          </a:r>
        </a:p>
      </cdr:txBody>
    </cdr:sp>
  </cdr:relSizeAnchor>
  <cdr:relSizeAnchor xmlns:cdr="http://schemas.openxmlformats.org/drawingml/2006/chartDrawing">
    <cdr:from>
      <cdr:x>0.78433</cdr:x>
      <cdr:y>0.76462</cdr:y>
    </cdr:from>
    <cdr:to>
      <cdr:x>0.81691</cdr:x>
      <cdr:y>0.81118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3659251"/>
          <a:ext cx="243601" cy="22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cdr:txBody>
    </cdr:sp>
  </cdr:relSizeAnchor>
  <cdr:relSizeAnchor xmlns:cdr="http://schemas.openxmlformats.org/drawingml/2006/chartDrawing">
    <cdr:from>
      <cdr:x>0.78433</cdr:x>
      <cdr:y>0.58429</cdr:y>
    </cdr:from>
    <cdr:to>
      <cdr:x>0.81691</cdr:x>
      <cdr:y>0.63084</cdr:y>
    </cdr:to>
    <cdr:sp macro="" textlink="">
      <cdr:nvSpPr>
        <cdr:cNvPr id="41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2796972"/>
          <a:ext cx="243601" cy="2225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cdr:txBody>
    </cdr:sp>
  </cdr:relSizeAnchor>
  <cdr:relSizeAnchor xmlns:cdr="http://schemas.openxmlformats.org/drawingml/2006/chartDrawing">
    <cdr:from>
      <cdr:x>0.78433</cdr:x>
      <cdr:y>0.51617</cdr:y>
    </cdr:from>
    <cdr:to>
      <cdr:x>0.81691</cdr:x>
      <cdr:y>0.56273</cdr:y>
    </cdr:to>
    <cdr:sp macro="" textlink="">
      <cdr:nvSpPr>
        <cdr:cNvPr id="410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2471274"/>
          <a:ext cx="243601" cy="2225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cdr:txBody>
    </cdr:sp>
  </cdr:relSizeAnchor>
  <cdr:relSizeAnchor xmlns:cdr="http://schemas.openxmlformats.org/drawingml/2006/chartDrawing">
    <cdr:from>
      <cdr:x>0.78433</cdr:x>
      <cdr:y>0.64628</cdr:y>
    </cdr:from>
    <cdr:to>
      <cdr:x>0.81173</cdr:x>
      <cdr:y>0.69259</cdr:y>
    </cdr:to>
    <cdr:sp macro="" textlink="">
      <cdr:nvSpPr>
        <cdr:cNvPr id="410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7718" y="3093380"/>
          <a:ext cx="204847" cy="2214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0.65656</cdr:x>
      <cdr:y>0.19709</cdr:y>
    </cdr:from>
    <cdr:to>
      <cdr:x>0.77539</cdr:x>
      <cdr:y>0.2632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30860" y="919275"/>
          <a:ext cx="819502" cy="30732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Bulk Den.</a:t>
          </a:r>
        </a:p>
      </cdr:txBody>
    </cdr:sp>
  </cdr:relSizeAnchor>
  <cdr:relSizeAnchor xmlns:cdr="http://schemas.openxmlformats.org/drawingml/2006/chartDrawing">
    <cdr:from>
      <cdr:x>0.65779</cdr:x>
      <cdr:y>0.73092</cdr:y>
    </cdr:from>
    <cdr:to>
      <cdr:x>0.77342</cdr:x>
      <cdr:y>0.79238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39361" y="3400633"/>
          <a:ext cx="797400" cy="2856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Gravel, %v</a:t>
          </a:r>
        </a:p>
      </cdr:txBody>
    </cdr:sp>
  </cdr:relSizeAnchor>
  <cdr:relSizeAnchor xmlns:cdr="http://schemas.openxmlformats.org/drawingml/2006/chartDrawing">
    <cdr:from>
      <cdr:x>0.45636</cdr:x>
      <cdr:y>0.47355</cdr:y>
    </cdr:from>
    <cdr:to>
      <cdr:x>0.59319</cdr:x>
      <cdr:y>0.52841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50287" y="2204345"/>
          <a:ext cx="943618" cy="25496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Sat. Cond.</a:t>
          </a:r>
        </a:p>
      </cdr:txBody>
    </cdr:sp>
  </cdr:relSizeAnchor>
  <cdr:relSizeAnchor xmlns:cdr="http://schemas.openxmlformats.org/drawingml/2006/chartDrawing">
    <cdr:from>
      <cdr:x>0.23003</cdr:x>
      <cdr:y>0.5644</cdr:y>
    </cdr:from>
    <cdr:to>
      <cdr:x>0.37032</cdr:x>
      <cdr:y>0.68268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89492" y="2626631"/>
          <a:ext cx="967421" cy="54976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SiL: </a:t>
          </a:r>
        </a:p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S=20, C=20, </a:t>
          </a:r>
        </a:p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OM=2.5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0.47163</cdr:x>
      <cdr:y>0.30018</cdr:y>
    </cdr:from>
    <cdr:to>
      <cdr:x>0.59719</cdr:x>
      <cdr:y>0.35829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5872" y="1484265"/>
          <a:ext cx="900557" cy="2866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0.5%</a:t>
          </a:r>
        </a:p>
      </cdr:txBody>
    </cdr:sp>
  </cdr:relSizeAnchor>
  <cdr:relSizeAnchor xmlns:cdr="http://schemas.openxmlformats.org/drawingml/2006/chartDrawing">
    <cdr:from>
      <cdr:x>0.60879</cdr:x>
      <cdr:y>0.25875</cdr:y>
    </cdr:from>
    <cdr:to>
      <cdr:x>0.70474</cdr:x>
      <cdr:y>0.30925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9585" y="1279830"/>
          <a:ext cx="688246" cy="249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2.5%</a:t>
          </a:r>
        </a:p>
      </cdr:txBody>
    </cdr:sp>
  </cdr:relSizeAnchor>
  <cdr:relSizeAnchor xmlns:cdr="http://schemas.openxmlformats.org/drawingml/2006/chartDrawing">
    <cdr:from>
      <cdr:x>0.68378</cdr:x>
      <cdr:y>0.30141</cdr:y>
    </cdr:from>
    <cdr:to>
      <cdr:x>0.78171</cdr:x>
      <cdr:y>0.34284</cdr:y>
    </cdr:to>
    <cdr:sp macro="" textlink="">
      <cdr:nvSpPr>
        <cdr:cNvPr id="614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07443" y="1490313"/>
          <a:ext cx="702399" cy="20443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5.0%</a:t>
          </a:r>
        </a:p>
        <a:p xmlns:a="http://schemas.openxmlformats.org/drawingml/2006/main">
          <a:pPr algn="ctr" rtl="0">
            <a:defRPr sz="1000"/>
          </a:pPr>
          <a:endParaRPr lang="en-US" sz="145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0.73977</cdr:x>
      <cdr:y>0.34284</cdr:y>
    </cdr:from>
    <cdr:to>
      <cdr:x>0.82907</cdr:x>
      <cdr:y>0.40389</cdr:y>
    </cdr:to>
    <cdr:sp macro="" textlink="">
      <cdr:nvSpPr>
        <cdr:cNvPr id="614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09067" y="1694748"/>
          <a:ext cx="640475" cy="3012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7.50%</a:t>
          </a:r>
        </a:p>
      </cdr:txBody>
    </cdr:sp>
  </cdr:relSizeAnchor>
  <cdr:relSizeAnchor xmlns:cdr="http://schemas.openxmlformats.org/drawingml/2006/chartDrawing">
    <cdr:from>
      <cdr:x>0.72596</cdr:x>
      <cdr:y>0.63092</cdr:y>
    </cdr:from>
    <cdr:to>
      <cdr:x>0.93366</cdr:x>
      <cdr:y>0.75425</cdr:y>
    </cdr:to>
    <cdr:sp macro="" textlink="">
      <cdr:nvSpPr>
        <cdr:cNvPr id="61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9988" y="3116116"/>
          <a:ext cx="1489724" cy="60846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 (S=20, C=20)</a:t>
          </a:r>
        </a:p>
      </cdr:txBody>
    </cdr:sp>
  </cdr:relSizeAnchor>
  <cdr:relSizeAnchor xmlns:cdr="http://schemas.openxmlformats.org/drawingml/2006/chartDrawing">
    <cdr:from>
      <cdr:x>0.35545</cdr:x>
      <cdr:y>0.21315</cdr:y>
    </cdr:from>
    <cdr:to>
      <cdr:x>0.60385</cdr:x>
      <cdr:y>0.27885</cdr:y>
    </cdr:to>
    <cdr:sp macro="" textlink="">
      <cdr:nvSpPr>
        <cdr:cNvPr id="615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2546" y="1054830"/>
          <a:ext cx="1781654" cy="3241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Organic Matter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0.67243</cdr:x>
      <cdr:y>0.2026</cdr:y>
    </cdr:from>
    <cdr:to>
      <cdr:x>0.85795</cdr:x>
      <cdr:y>0.32382</cdr:y>
    </cdr:to>
    <cdr:sp macro="" textlink="">
      <cdr:nvSpPr>
        <cdr:cNvPr id="8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96078" y="1058562"/>
          <a:ext cx="1487881" cy="62084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</a:t>
          </a:r>
        </a:p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 (S=20, C=20)</a:t>
          </a:r>
        </a:p>
      </cdr:txBody>
    </cdr:sp>
  </cdr:relSizeAnchor>
  <cdr:relSizeAnchor xmlns:cdr="http://schemas.openxmlformats.org/drawingml/2006/chartDrawing">
    <cdr:from>
      <cdr:x>0.19195</cdr:x>
      <cdr:y>0.45779</cdr:y>
    </cdr:from>
    <cdr:to>
      <cdr:x>0.26754</cdr:x>
      <cdr:y>0.50957</cdr:y>
    </cdr:to>
    <cdr:sp macro="" textlink="">
      <cdr:nvSpPr>
        <cdr:cNvPr id="81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2644" y="2362203"/>
          <a:ext cx="606247" cy="2667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0.50%</a:t>
          </a:r>
        </a:p>
      </cdr:txBody>
    </cdr:sp>
  </cdr:relSizeAnchor>
  <cdr:relSizeAnchor xmlns:cdr="http://schemas.openxmlformats.org/drawingml/2006/chartDrawing">
    <cdr:from>
      <cdr:x>0.26754</cdr:x>
      <cdr:y>0.50957</cdr:y>
    </cdr:from>
    <cdr:to>
      <cdr:x>0.34141</cdr:x>
      <cdr:y>0.5611</cdr:y>
    </cdr:to>
    <cdr:sp macro="" textlink="">
      <cdr:nvSpPr>
        <cdr:cNvPr id="81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48891" y="2629001"/>
          <a:ext cx="592379" cy="26553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2.50%</a:t>
          </a:r>
        </a:p>
      </cdr:txBody>
    </cdr:sp>
  </cdr:relSizeAnchor>
  <cdr:relSizeAnchor xmlns:cdr="http://schemas.openxmlformats.org/drawingml/2006/chartDrawing">
    <cdr:from>
      <cdr:x>0.42515</cdr:x>
      <cdr:y>0.38835</cdr:y>
    </cdr:from>
    <cdr:to>
      <cdr:x>0.50074</cdr:x>
      <cdr:y>0.44037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14878" y="2010688"/>
          <a:ext cx="606247" cy="26679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5.00%</a:t>
          </a:r>
        </a:p>
      </cdr:txBody>
    </cdr:sp>
  </cdr:relSizeAnchor>
  <cdr:relSizeAnchor xmlns:cdr="http://schemas.openxmlformats.org/drawingml/2006/chartDrawing">
    <cdr:from>
      <cdr:x>0.55533</cdr:x>
      <cdr:y>0.47767</cdr:y>
    </cdr:from>
    <cdr:to>
      <cdr:x>0.62994</cdr:x>
      <cdr:y>0.5292</cdr:y>
    </cdr:to>
    <cdr:sp macro="" textlink="">
      <cdr:nvSpPr>
        <cdr:cNvPr id="819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56989" y="2464623"/>
          <a:ext cx="598322" cy="26553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75" b="1" i="0" u="none" strike="noStrike" baseline="0">
              <a:solidFill>
                <a:srgbClr val="000000"/>
              </a:solidFill>
              <a:latin typeface="Arial"/>
              <a:cs typeface="Arial"/>
            </a:rPr>
            <a:t>7.50%</a:t>
          </a:r>
        </a:p>
      </cdr:txBody>
    </cdr:sp>
  </cdr:relSizeAnchor>
  <cdr:relSizeAnchor xmlns:cdr="http://schemas.openxmlformats.org/drawingml/2006/chartDrawing">
    <cdr:from>
      <cdr:x>0.38118</cdr:x>
      <cdr:y>0.4151</cdr:y>
    </cdr:from>
    <cdr:to>
      <cdr:x>0.42515</cdr:x>
      <cdr:y>0.47669</cdr:y>
    </cdr:to>
    <cdr:sp macro="" textlink="">
      <cdr:nvSpPr>
        <cdr:cNvPr id="8198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062224" y="2148512"/>
          <a:ext cx="352654" cy="31611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0.34141</cdr:x>
      <cdr:y>0.52159</cdr:y>
    </cdr:from>
    <cdr:to>
      <cdr:x>0.39402</cdr:x>
      <cdr:y>0.54147</cdr:y>
    </cdr:to>
    <cdr:sp macro="" textlink="">
      <cdr:nvSpPr>
        <cdr:cNvPr id="8199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741270" y="2690959"/>
          <a:ext cx="421995" cy="10241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0.26754</cdr:x>
      <cdr:y>0.44135</cdr:y>
    </cdr:from>
    <cdr:to>
      <cdr:x>0.30213</cdr:x>
      <cdr:y>0.47767</cdr:y>
    </cdr:to>
    <cdr:sp macro="" textlink="">
      <cdr:nvSpPr>
        <cdr:cNvPr id="8200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48891" y="2277485"/>
          <a:ext cx="277368" cy="1871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0.50963</cdr:x>
      <cdr:y>0.50957</cdr:y>
    </cdr:from>
    <cdr:to>
      <cdr:x>0.55533</cdr:x>
      <cdr:y>0.5611</cdr:y>
    </cdr:to>
    <cdr:sp macro="" textlink="">
      <cdr:nvSpPr>
        <cdr:cNvPr id="8201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090467" y="2629001"/>
          <a:ext cx="366522" cy="26553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0.29718</cdr:x>
      <cdr:y>0.26223</cdr:y>
    </cdr:from>
    <cdr:to>
      <cdr:x>0.55533</cdr:x>
      <cdr:y>0.32382</cdr:y>
    </cdr:to>
    <cdr:sp macro="" textlink="">
      <cdr:nvSpPr>
        <cdr:cNvPr id="820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88616" y="1363293"/>
          <a:ext cx="2068373" cy="31611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Organic Matter, %w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0.2294</cdr:x>
      <cdr:y>0.21282</cdr:y>
    </cdr:from>
    <cdr:to>
      <cdr:x>0.43839</cdr:x>
      <cdr:y>0.38293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9286" y="909300"/>
          <a:ext cx="1399375" cy="72426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Silt Loam 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S=0.20, C=0.20</a:t>
          </a:r>
        </a:p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OM = 2.5</a:t>
          </a:r>
        </a:p>
        <a:p xmlns:a="http://schemas.openxmlformats.org/drawingml/2006/main">
          <a:pPr algn="ctr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0.58995</cdr:x>
      <cdr:y>0.18789</cdr:y>
    </cdr:from>
    <cdr:to>
      <cdr:x>0.80658</cdr:x>
      <cdr:y>0.24386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3538" y="803158"/>
          <a:ext cx="1450531" cy="23829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Density Factor:</a:t>
          </a:r>
        </a:p>
      </cdr:txBody>
    </cdr:sp>
  </cdr:relSizeAnchor>
  <cdr:relSizeAnchor xmlns:cdr="http://schemas.openxmlformats.org/drawingml/2006/chartDrawing">
    <cdr:from>
      <cdr:x>0.83689</cdr:x>
      <cdr:y>0.18838</cdr:y>
    </cdr:from>
    <cdr:to>
      <cdr:x>0.90614</cdr:x>
      <cdr:y>0.24459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07044" y="805240"/>
          <a:ext cx="463708" cy="23933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0.9</a:t>
          </a:r>
        </a:p>
      </cdr:txBody>
    </cdr:sp>
  </cdr:relSizeAnchor>
  <cdr:relSizeAnchor xmlns:cdr="http://schemas.openxmlformats.org/drawingml/2006/chartDrawing">
    <cdr:from>
      <cdr:x>0.83763</cdr:x>
      <cdr:y>0.24459</cdr:y>
    </cdr:from>
    <cdr:to>
      <cdr:x>0.90762</cdr:x>
      <cdr:y>0.29763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044579"/>
          <a:ext cx="468659" cy="22581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1.0</a:t>
          </a:r>
        </a:p>
      </cdr:txBody>
    </cdr:sp>
  </cdr:relSizeAnchor>
  <cdr:relSizeAnchor xmlns:cdr="http://schemas.openxmlformats.org/drawingml/2006/chartDrawing">
    <cdr:from>
      <cdr:x>0.83763</cdr:x>
      <cdr:y>0.29812</cdr:y>
    </cdr:from>
    <cdr:to>
      <cdr:x>0.90836</cdr:x>
      <cdr:y>0.35164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272472"/>
          <a:ext cx="473609" cy="22789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1.1</a:t>
          </a:r>
        </a:p>
      </cdr:txBody>
    </cdr:sp>
  </cdr:relSizeAnchor>
  <cdr:relSizeAnchor xmlns:cdr="http://schemas.openxmlformats.org/drawingml/2006/chartDrawing">
    <cdr:from>
      <cdr:x>0.83763</cdr:x>
      <cdr:y>0.36778</cdr:y>
    </cdr:from>
    <cdr:to>
      <cdr:x>0.90836</cdr:x>
      <cdr:y>0.41861</cdr:y>
    </cdr:to>
    <cdr:sp macro="" textlink="">
      <cdr:nvSpPr>
        <cdr:cNvPr id="3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1995" y="1569045"/>
          <a:ext cx="473609" cy="21644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1.2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139"/>
  <sheetViews>
    <sheetView topLeftCell="A15" zoomScale="75" workbookViewId="0">
      <selection activeCell="P45" sqref="P45"/>
    </sheetView>
  </sheetViews>
  <sheetFormatPr defaultColWidth="8.7109375" defaultRowHeight="15" x14ac:dyDescent="0.2"/>
  <cols>
    <col min="1" max="1" width="17.42578125" style="1" customWidth="1"/>
    <col min="2" max="2" width="16.28515625" style="1" customWidth="1"/>
    <col min="3" max="4" width="14.28515625" style="1" customWidth="1"/>
    <col min="5" max="5" width="13.85546875" style="1" customWidth="1"/>
    <col min="6" max="7" width="8.7109375" style="1" customWidth="1"/>
    <col min="8" max="8" width="12.140625" style="1" customWidth="1"/>
    <col min="9" max="9" width="12.5703125" style="1" customWidth="1"/>
    <col min="10" max="10" width="10.28515625" style="1" customWidth="1"/>
    <col min="11" max="11" width="11.140625" style="1" customWidth="1"/>
    <col min="12" max="12" width="12" style="1" customWidth="1"/>
    <col min="13" max="13" width="11.5703125" style="1" customWidth="1"/>
    <col min="14" max="14" width="14.42578125" style="1" customWidth="1"/>
    <col min="15" max="15" width="14.7109375" style="1" bestFit="1" customWidth="1"/>
    <col min="16" max="16" width="10.28515625" style="1" bestFit="1" customWidth="1"/>
    <col min="17" max="17" width="11" style="1" customWidth="1"/>
    <col min="18" max="18" width="11.7109375" style="1" customWidth="1"/>
    <col min="19" max="19" width="10.85546875" style="1" customWidth="1"/>
    <col min="20" max="22" width="9.28515625" style="1" bestFit="1" customWidth="1"/>
    <col min="23" max="24" width="12.42578125" style="1" customWidth="1"/>
    <col min="25" max="25" width="9.28515625" style="1" bestFit="1" customWidth="1"/>
    <col min="26" max="26" width="13.7109375" style="1" customWidth="1"/>
    <col min="27" max="28" width="12" style="1" customWidth="1"/>
    <col min="29" max="29" width="13.5703125" style="1" customWidth="1"/>
    <col min="30" max="30" width="11.42578125" style="1" customWidth="1"/>
    <col min="31" max="31" width="10.7109375" style="1" customWidth="1"/>
    <col min="32" max="32" width="9.28515625" style="1" bestFit="1" customWidth="1"/>
    <col min="33" max="33" width="11.140625" style="1" customWidth="1"/>
    <col min="34" max="34" width="11" style="1" customWidth="1"/>
    <col min="35" max="35" width="12.28515625" style="1" customWidth="1"/>
    <col min="36" max="36" width="9.42578125" style="1" customWidth="1"/>
    <col min="37" max="37" width="12.42578125" style="1" customWidth="1"/>
    <col min="38" max="39" width="13.7109375" style="1" customWidth="1"/>
    <col min="40" max="40" width="13.28515625" style="1" customWidth="1"/>
    <col min="41" max="42" width="8.7109375" style="1" customWidth="1"/>
    <col min="43" max="43" width="10.28515625" style="1" customWidth="1"/>
    <col min="44" max="44" width="11.85546875" style="1" customWidth="1"/>
    <col min="45" max="45" width="13.140625" style="1" customWidth="1"/>
    <col min="46" max="48" width="8.7109375" style="1" customWidth="1"/>
    <col min="49" max="49" width="13.5703125" style="1" customWidth="1"/>
    <col min="50" max="50" width="11.85546875" style="1" customWidth="1"/>
    <col min="51" max="51" width="13.28515625" style="1" customWidth="1"/>
    <col min="52" max="52" width="13.7109375" style="1" customWidth="1"/>
    <col min="53" max="53" width="14" style="1" customWidth="1"/>
    <col min="54" max="61" width="10.85546875" style="1" customWidth="1"/>
    <col min="62" max="62" width="11.7109375" style="1" customWidth="1"/>
    <col min="63" max="63" width="15" style="1" customWidth="1"/>
    <col min="64" max="64" width="18.7109375" style="1" customWidth="1"/>
    <col min="65" max="65" width="17.42578125" style="1" customWidth="1"/>
    <col min="66" max="66" width="15.28515625" style="1" customWidth="1"/>
    <col min="67" max="67" width="15" style="1" customWidth="1"/>
    <col min="68" max="68" width="15.28515625" style="1" customWidth="1"/>
    <col min="69" max="70" width="11.42578125" style="1" customWidth="1"/>
    <col min="71" max="71" width="12" style="1" customWidth="1"/>
    <col min="72" max="73" width="12.7109375" style="1" customWidth="1"/>
    <col min="74" max="75" width="8.7109375" style="1" customWidth="1"/>
    <col min="76" max="76" width="16.28515625" style="1" customWidth="1"/>
    <col min="77" max="86" width="8.7109375" style="1" customWidth="1"/>
    <col min="87" max="87" width="12.42578125" style="1" customWidth="1"/>
    <col min="88" max="88" width="12.85546875" style="1" customWidth="1"/>
    <col min="89" max="89" width="11.7109375" style="1" customWidth="1"/>
    <col min="90" max="90" width="12.85546875" style="1" customWidth="1"/>
    <col min="91" max="91" width="13.140625" style="1" customWidth="1"/>
    <col min="92" max="16384" width="8.7109375" style="1"/>
  </cols>
  <sheetData>
    <row r="1" spans="1:99" ht="20.25" x14ac:dyDescent="0.3"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99" ht="15.75" x14ac:dyDescent="0.25">
      <c r="C2" s="46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99" ht="15.75" x14ac:dyDescent="0.25">
      <c r="C3" s="4"/>
      <c r="D3" s="46" t="s">
        <v>2</v>
      </c>
      <c r="E3" s="4"/>
      <c r="F3" s="4"/>
      <c r="G3" s="4"/>
      <c r="H3" s="4"/>
      <c r="I3" s="4"/>
      <c r="J3" s="4"/>
      <c r="K3" s="4"/>
      <c r="L3" s="4"/>
      <c r="M3" s="4"/>
    </row>
    <row r="4" spans="1:99" ht="15.75" x14ac:dyDescent="0.25">
      <c r="C4" s="4"/>
      <c r="D4" s="46" t="s">
        <v>152</v>
      </c>
      <c r="E4" s="4"/>
      <c r="F4" s="4"/>
      <c r="G4" s="4"/>
      <c r="H4" s="4"/>
      <c r="I4" s="4"/>
      <c r="J4" s="4"/>
      <c r="K4" s="4"/>
      <c r="L4" s="4"/>
      <c r="M4" s="4"/>
      <c r="BM4" s="1" t="s">
        <v>3</v>
      </c>
      <c r="BN4" s="5">
        <v>0.53391248858368001</v>
      </c>
      <c r="BO4" s="5">
        <v>0.48212498731520004</v>
      </c>
      <c r="BP4" s="5">
        <v>0.43033748604671995</v>
      </c>
      <c r="BQ4" s="5">
        <v>0.37854998477824009</v>
      </c>
    </row>
    <row r="5" spans="1:99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BM5" s="1">
        <v>33</v>
      </c>
      <c r="BN5" s="5">
        <v>0.33154577257650691</v>
      </c>
      <c r="BO5" s="5">
        <v>0.32087754731520002</v>
      </c>
      <c r="BP5" s="5">
        <v>0.31020932205389312</v>
      </c>
      <c r="BQ5" s="5">
        <v>0.29954109679258628</v>
      </c>
    </row>
    <row r="7" spans="1:99" ht="15.75" x14ac:dyDescent="0.25">
      <c r="D7" s="7" t="s">
        <v>4</v>
      </c>
      <c r="E7" s="8"/>
      <c r="F7" s="8"/>
      <c r="G7" s="8"/>
      <c r="H7" s="8"/>
      <c r="I7" s="8"/>
      <c r="J7" s="8"/>
      <c r="K7" s="8"/>
      <c r="L7" s="8"/>
      <c r="M7" s="8"/>
      <c r="Z7" s="9"/>
    </row>
    <row r="9" spans="1:99" ht="15.75" x14ac:dyDescent="0.25">
      <c r="F9" s="10"/>
    </row>
    <row r="10" spans="1:99" ht="18" x14ac:dyDescent="0.25">
      <c r="F10" s="11" t="s">
        <v>5</v>
      </c>
      <c r="G10" s="5"/>
      <c r="H10" s="5"/>
      <c r="I10" s="5"/>
      <c r="J10" s="5"/>
      <c r="W10" s="10"/>
      <c r="X10" s="10"/>
      <c r="BL10" s="45" t="s">
        <v>6</v>
      </c>
      <c r="BM10" s="14"/>
      <c r="BN10" s="14"/>
      <c r="BO10" s="14"/>
      <c r="BY10" s="45" t="s">
        <v>118</v>
      </c>
      <c r="BZ10" s="14"/>
      <c r="CA10" s="13"/>
      <c r="CB10" s="14"/>
      <c r="CP10" s="14"/>
      <c r="CQ10" s="45" t="s">
        <v>7</v>
      </c>
      <c r="CR10" s="14"/>
      <c r="CS10" s="14"/>
      <c r="CT10" s="14"/>
    </row>
    <row r="11" spans="1:99" x14ac:dyDescent="0.2">
      <c r="F11" s="5"/>
      <c r="G11" s="5"/>
      <c r="H11" s="5"/>
      <c r="I11" s="5"/>
      <c r="J11" s="5"/>
      <c r="BL11" s="1" t="s">
        <v>76</v>
      </c>
      <c r="BY11" s="14"/>
      <c r="BZ11" s="14"/>
      <c r="CA11" s="14"/>
      <c r="CB11" s="14"/>
      <c r="CP11" s="1" t="s">
        <v>8</v>
      </c>
    </row>
    <row r="12" spans="1:99" ht="15.75" x14ac:dyDescent="0.25">
      <c r="BK12" s="15" t="s">
        <v>8</v>
      </c>
      <c r="BL12" s="1" t="str">
        <f>AX18</f>
        <v>Sand</v>
      </c>
      <c r="BM12" s="1" t="str">
        <f t="shared" ref="BM12:BU12" si="0">AY18</f>
        <v>Loamy Sand</v>
      </c>
      <c r="BN12" s="1" t="str">
        <f t="shared" si="0"/>
        <v>Sandy Loam</v>
      </c>
      <c r="BO12" s="1" t="str">
        <f t="shared" si="0"/>
        <v xml:space="preserve">Loam </v>
      </c>
      <c r="BP12" s="1" t="str">
        <f t="shared" si="0"/>
        <v>Silty Loam</v>
      </c>
      <c r="BQ12" s="1" t="str">
        <f t="shared" si="0"/>
        <v xml:space="preserve">Silt </v>
      </c>
      <c r="BR12" s="1" t="str">
        <f t="shared" si="0"/>
        <v>Sandy Clay Loam</v>
      </c>
      <c r="BS12" s="1" t="str">
        <f t="shared" si="0"/>
        <v>Clay Loam</v>
      </c>
      <c r="BT12" s="1" t="str">
        <f t="shared" si="0"/>
        <v>Silty Clay Loam</v>
      </c>
      <c r="BU12" s="1" t="str">
        <f t="shared" si="0"/>
        <v>SandyClay</v>
      </c>
      <c r="BV12" s="1" t="str">
        <f>BH18</f>
        <v xml:space="preserve">silty Clay  </v>
      </c>
      <c r="BW12" s="1" t="str">
        <f>BI18</f>
        <v xml:space="preserve">Clay  </v>
      </c>
      <c r="BY12" s="1" t="s">
        <v>9</v>
      </c>
      <c r="BZ12" s="1">
        <v>3</v>
      </c>
      <c r="CA12" s="1">
        <v>5</v>
      </c>
      <c r="CB12" s="1">
        <v>8</v>
      </c>
      <c r="CC12" s="1">
        <v>11</v>
      </c>
      <c r="CQ12" s="1" t="s">
        <v>9</v>
      </c>
      <c r="CR12" s="1">
        <v>3</v>
      </c>
      <c r="CS12" s="1">
        <v>5</v>
      </c>
      <c r="CT12" s="1">
        <v>8</v>
      </c>
      <c r="CU12" s="1">
        <v>11</v>
      </c>
    </row>
    <row r="13" spans="1:99" ht="15.75" x14ac:dyDescent="0.25">
      <c r="B13" s="48" t="s">
        <v>71</v>
      </c>
      <c r="C13" s="49"/>
      <c r="D13" s="49"/>
      <c r="F13" s="16"/>
      <c r="G13" s="17" t="s">
        <v>10</v>
      </c>
      <c r="H13" s="16"/>
      <c r="I13" s="16"/>
      <c r="J13" s="16"/>
      <c r="K13" s="16"/>
      <c r="L13" s="6"/>
      <c r="M13" s="18"/>
      <c r="N13" s="18"/>
      <c r="O13" s="19" t="s">
        <v>11</v>
      </c>
      <c r="P13" s="18"/>
      <c r="Q13" s="18"/>
      <c r="R13" s="18"/>
      <c r="S13" s="19"/>
      <c r="T13" s="18"/>
      <c r="U13" s="18"/>
      <c r="W13" s="20"/>
      <c r="X13" s="20"/>
      <c r="Y13" s="21" t="s">
        <v>12</v>
      </c>
      <c r="Z13" s="20"/>
      <c r="AA13" s="20"/>
      <c r="AB13" s="20"/>
      <c r="AC13" s="20"/>
      <c r="AD13" s="21" t="s">
        <v>12</v>
      </c>
      <c r="AE13" s="20"/>
      <c r="AF13" s="20"/>
      <c r="AG13" s="20"/>
      <c r="AH13" s="21" t="s">
        <v>12</v>
      </c>
      <c r="AI13" s="20"/>
      <c r="AJ13" s="20"/>
      <c r="AK13" s="20"/>
      <c r="AL13" s="20"/>
      <c r="AM13" s="20"/>
      <c r="AN13" s="14"/>
      <c r="AO13" s="14"/>
      <c r="AP13" s="14"/>
      <c r="AQ13" s="14"/>
      <c r="AR13" s="14"/>
      <c r="AS13" s="14"/>
      <c r="AT13" s="6"/>
      <c r="AU13" s="6"/>
      <c r="AV13" s="8"/>
      <c r="AW13" s="7" t="s">
        <v>134</v>
      </c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6"/>
      <c r="BK13" s="6"/>
      <c r="BL13" s="6" t="s">
        <v>156</v>
      </c>
      <c r="BM13" s="6" t="s">
        <v>157</v>
      </c>
      <c r="BN13" s="6" t="s">
        <v>158</v>
      </c>
      <c r="BO13" s="56" t="s">
        <v>159</v>
      </c>
      <c r="BP13" s="6" t="s">
        <v>160</v>
      </c>
      <c r="BQ13" s="56" t="s">
        <v>161</v>
      </c>
      <c r="BR13" s="6" t="s">
        <v>162</v>
      </c>
      <c r="BS13" s="6" t="s">
        <v>163</v>
      </c>
      <c r="BT13" s="6" t="s">
        <v>164</v>
      </c>
      <c r="BU13" s="6" t="s">
        <v>168</v>
      </c>
      <c r="BV13" s="6" t="s">
        <v>165</v>
      </c>
      <c r="BW13" s="56" t="s">
        <v>166</v>
      </c>
      <c r="BX13" s="6"/>
      <c r="BY13" s="6"/>
      <c r="BZ13" s="6"/>
      <c r="CA13" s="6"/>
    </row>
    <row r="14" spans="1:99" ht="15.75" x14ac:dyDescent="0.25">
      <c r="A14" s="10"/>
      <c r="B14" s="10"/>
      <c r="C14" s="10"/>
      <c r="D14" s="10"/>
      <c r="E14" s="10"/>
      <c r="F14" s="10"/>
      <c r="G14" s="10"/>
      <c r="H14" s="10" t="s">
        <v>120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5" t="s">
        <v>150</v>
      </c>
      <c r="T14" s="10"/>
      <c r="U14" s="10"/>
      <c r="V14" s="10"/>
      <c r="W14" s="10"/>
      <c r="X14" s="10"/>
      <c r="Y14" s="10"/>
      <c r="Z14" s="10"/>
      <c r="AA14" s="10"/>
      <c r="AB14" s="10" t="s">
        <v>13</v>
      </c>
      <c r="AC14" s="10" t="s">
        <v>14</v>
      </c>
      <c r="AD14" s="10"/>
      <c r="AE14" s="10"/>
      <c r="AF14" s="10" t="s">
        <v>15</v>
      </c>
      <c r="AG14" s="10" t="s">
        <v>15</v>
      </c>
      <c r="AH14" s="10" t="s">
        <v>16</v>
      </c>
      <c r="AI14" s="10" t="s">
        <v>16</v>
      </c>
      <c r="AJ14" s="10" t="s">
        <v>17</v>
      </c>
      <c r="AK14" s="10" t="s">
        <v>18</v>
      </c>
      <c r="AL14" s="10"/>
      <c r="AM14" s="10" t="s">
        <v>19</v>
      </c>
      <c r="AN14" s="10"/>
      <c r="AO14" s="10" t="s">
        <v>20</v>
      </c>
      <c r="AP14" s="10" t="s">
        <v>20</v>
      </c>
      <c r="AQ14" s="10"/>
      <c r="AR14" s="10"/>
      <c r="BK14" s="1" t="s">
        <v>155</v>
      </c>
      <c r="CE14" s="14" t="s">
        <v>21</v>
      </c>
      <c r="CF14" s="14"/>
      <c r="CG14" s="14"/>
      <c r="CH14" s="14"/>
      <c r="CI14" s="14"/>
    </row>
    <row r="15" spans="1:99" ht="15.75" x14ac:dyDescent="0.25">
      <c r="B15" s="10"/>
      <c r="C15" s="10" t="s">
        <v>22</v>
      </c>
      <c r="D15" s="10">
        <v>2149</v>
      </c>
      <c r="E15" s="10"/>
      <c r="F15" s="10" t="s">
        <v>102</v>
      </c>
      <c r="G15" s="10" t="s">
        <v>68</v>
      </c>
      <c r="H15" s="11" t="s">
        <v>132</v>
      </c>
      <c r="I15" s="11" t="s">
        <v>15</v>
      </c>
      <c r="J15" s="11" t="s">
        <v>23</v>
      </c>
      <c r="K15" s="11" t="s">
        <v>24</v>
      </c>
      <c r="L15" s="11"/>
      <c r="M15" s="11" t="s">
        <v>25</v>
      </c>
      <c r="N15" s="11" t="s">
        <v>26</v>
      </c>
      <c r="O15" s="11" t="s">
        <v>27</v>
      </c>
      <c r="P15" s="10" t="s">
        <v>28</v>
      </c>
      <c r="Q15" s="10"/>
      <c r="R15" s="10" t="s">
        <v>29</v>
      </c>
      <c r="S15" s="55" t="s">
        <v>151</v>
      </c>
      <c r="T15" s="10" t="s">
        <v>23</v>
      </c>
      <c r="U15" s="10" t="s">
        <v>31</v>
      </c>
      <c r="V15" s="10"/>
      <c r="W15" s="10" t="s">
        <v>32</v>
      </c>
      <c r="X15" s="10" t="s">
        <v>32</v>
      </c>
      <c r="Y15" s="10" t="s">
        <v>32</v>
      </c>
      <c r="Z15" s="10" t="s">
        <v>33</v>
      </c>
      <c r="AA15" s="10" t="s">
        <v>34</v>
      </c>
      <c r="AB15" s="10" t="s">
        <v>34</v>
      </c>
      <c r="AC15" s="10" t="s">
        <v>35</v>
      </c>
      <c r="AD15" s="10" t="s">
        <v>14</v>
      </c>
      <c r="AE15" s="10" t="s">
        <v>36</v>
      </c>
      <c r="AF15" s="10" t="s">
        <v>37</v>
      </c>
      <c r="AG15" s="10" t="s">
        <v>38</v>
      </c>
      <c r="AH15" s="10" t="s">
        <v>39</v>
      </c>
      <c r="AI15" s="10" t="s">
        <v>40</v>
      </c>
      <c r="AJ15" s="10" t="s">
        <v>41</v>
      </c>
      <c r="AK15" s="10" t="s">
        <v>17</v>
      </c>
      <c r="AL15" s="10" t="s">
        <v>42</v>
      </c>
      <c r="AM15" s="10" t="s">
        <v>43</v>
      </c>
      <c r="AN15" s="10" t="s">
        <v>44</v>
      </c>
      <c r="AO15" s="51" t="s">
        <v>45</v>
      </c>
      <c r="AP15" s="51" t="s">
        <v>46</v>
      </c>
      <c r="AQ15" s="10" t="s">
        <v>47</v>
      </c>
      <c r="AR15" s="10" t="s">
        <v>47</v>
      </c>
      <c r="BK15" s="23">
        <v>100</v>
      </c>
      <c r="BL15" s="23">
        <f t="shared" ref="BL15:BW15" si="1">IF($BK15&gt;(AX$23*100),0,AX$24*($BK15/100)^(-AX$25))</f>
        <v>0</v>
      </c>
      <c r="BM15" s="23">
        <f t="shared" si="1"/>
        <v>0</v>
      </c>
      <c r="BN15" s="23">
        <f t="shared" si="1"/>
        <v>0</v>
      </c>
      <c r="BO15" s="23">
        <f t="shared" si="1"/>
        <v>0</v>
      </c>
      <c r="BP15" s="23">
        <f t="shared" si="1"/>
        <v>0</v>
      </c>
      <c r="BQ15" s="23">
        <f t="shared" si="1"/>
        <v>0</v>
      </c>
      <c r="BR15" s="23">
        <f t="shared" si="1"/>
        <v>0</v>
      </c>
      <c r="BS15" s="23">
        <f t="shared" si="1"/>
        <v>0</v>
      </c>
      <c r="BT15" s="23">
        <f t="shared" si="1"/>
        <v>0</v>
      </c>
      <c r="BU15" s="23">
        <f t="shared" si="1"/>
        <v>0</v>
      </c>
      <c r="BV15" s="23">
        <f t="shared" si="1"/>
        <v>0</v>
      </c>
      <c r="BW15" s="23">
        <f t="shared" si="1"/>
        <v>0</v>
      </c>
      <c r="BX15" s="23"/>
      <c r="BY15" s="23">
        <v>64</v>
      </c>
      <c r="BZ15" s="24"/>
      <c r="CA15" s="24"/>
      <c r="CB15" s="24"/>
      <c r="CC15" s="24"/>
      <c r="CE15" s="1" t="s">
        <v>48</v>
      </c>
      <c r="CF15" s="1">
        <v>4.4005789427145254</v>
      </c>
      <c r="CG15" s="1">
        <v>4.4670908195427241</v>
      </c>
      <c r="CH15" s="1">
        <v>4.5365549433168368</v>
      </c>
      <c r="CI15" s="1">
        <v>4.6091786931243579</v>
      </c>
      <c r="CQ15" s="1">
        <v>64</v>
      </c>
      <c r="CR15" s="23"/>
      <c r="CS15" s="23"/>
      <c r="CT15" s="23"/>
      <c r="CU15" s="23"/>
    </row>
    <row r="16" spans="1:99" ht="18" x14ac:dyDescent="0.25">
      <c r="B16" s="10" t="s">
        <v>49</v>
      </c>
      <c r="C16" s="10" t="s">
        <v>50</v>
      </c>
      <c r="D16" s="10" t="s">
        <v>51</v>
      </c>
      <c r="E16" s="10"/>
      <c r="F16" s="52" t="s">
        <v>131</v>
      </c>
      <c r="G16" s="52" t="s">
        <v>131</v>
      </c>
      <c r="H16" s="52" t="s">
        <v>52</v>
      </c>
      <c r="I16" s="11" t="s">
        <v>53</v>
      </c>
      <c r="J16" s="11" t="s">
        <v>54</v>
      </c>
      <c r="K16" s="11" t="s">
        <v>55</v>
      </c>
      <c r="L16" s="11"/>
      <c r="M16" s="10" t="s">
        <v>56</v>
      </c>
      <c r="N16" s="10" t="s">
        <v>57</v>
      </c>
      <c r="O16" s="10" t="s">
        <v>14</v>
      </c>
      <c r="P16" s="10" t="s">
        <v>58</v>
      </c>
      <c r="Q16" s="10" t="s">
        <v>59</v>
      </c>
      <c r="R16" s="10"/>
      <c r="S16" s="10">
        <v>10</v>
      </c>
      <c r="T16" s="10" t="s">
        <v>60</v>
      </c>
      <c r="U16" s="10" t="s">
        <v>15</v>
      </c>
      <c r="V16" s="10"/>
      <c r="W16" s="10" t="s">
        <v>61</v>
      </c>
      <c r="X16" s="10" t="s">
        <v>61</v>
      </c>
      <c r="Y16" s="10" t="s">
        <v>17</v>
      </c>
      <c r="Z16" s="10" t="s">
        <v>17</v>
      </c>
      <c r="AA16" s="10" t="s">
        <v>62</v>
      </c>
      <c r="AB16" s="10" t="s">
        <v>62</v>
      </c>
      <c r="AC16" s="10" t="s">
        <v>62</v>
      </c>
      <c r="AD16" s="10" t="s">
        <v>36</v>
      </c>
      <c r="AE16" s="10" t="s">
        <v>14</v>
      </c>
      <c r="AF16" s="10"/>
      <c r="AG16" s="10"/>
      <c r="AH16" s="10" t="s">
        <v>63</v>
      </c>
      <c r="AI16" s="10" t="s">
        <v>64</v>
      </c>
      <c r="AJ16" s="10"/>
      <c r="AK16" s="10" t="s">
        <v>38</v>
      </c>
      <c r="AL16" s="10"/>
      <c r="AM16" s="10" t="s">
        <v>44</v>
      </c>
      <c r="AN16" s="10" t="s">
        <v>65</v>
      </c>
      <c r="AO16" s="10"/>
      <c r="AP16" s="10"/>
      <c r="AQ16" s="10" t="s">
        <v>66</v>
      </c>
      <c r="AR16" s="10" t="s">
        <v>67</v>
      </c>
      <c r="BK16" s="23">
        <v>98</v>
      </c>
      <c r="BL16" s="23">
        <f t="shared" ref="BL16:BL74" si="2">IF($BK16&gt;(AX$23*100),0,AX$24*($BK16/100)^(-AX$25))</f>
        <v>0</v>
      </c>
      <c r="BM16" s="23">
        <f t="shared" ref="BM16:BM74" si="3">IF($BK16&gt;(AY$23*100),0,AY$24*($BK16/100)^(-AY$25))</f>
        <v>0</v>
      </c>
      <c r="BN16" s="23">
        <f t="shared" ref="BN16:BN74" si="4">IF($BK16&gt;(AZ$23*100),0,AZ$24*($BK16/100)^(-AZ$25))</f>
        <v>0</v>
      </c>
      <c r="BO16" s="23">
        <f t="shared" ref="BO16:BO74" si="5">IF($BK16&gt;(BA$23*100),0,BA$24*($BK16/100)^(-BA$25))</f>
        <v>0</v>
      </c>
      <c r="BP16" s="23">
        <f t="shared" ref="BP16:BP74" si="6">IF($BK16&gt;(BB$23*100),0,BB$24*($BK16/100)^(-BB$25))</f>
        <v>0</v>
      </c>
      <c r="BQ16" s="23">
        <f t="shared" ref="BQ16:BQ74" si="7">IF($BK16&gt;(BC$23*100),0,BC$24*($BK16/100)^(-BC$25))</f>
        <v>0</v>
      </c>
      <c r="BR16" s="23">
        <f t="shared" ref="BR16:BR74" si="8">IF($BK16&gt;(BD$23*100),0,BD$24*($BK16/100)^(-BD$25))</f>
        <v>0</v>
      </c>
      <c r="BS16" s="23">
        <f t="shared" ref="BS16:BS74" si="9">IF($BK16&gt;(BE$23*100),0,BE$24*($BK16/100)^(-BE$25))</f>
        <v>0</v>
      </c>
      <c r="BT16" s="23">
        <f t="shared" ref="BT16:BT74" si="10">IF($BK16&gt;(BF$23*100),0,BF$24*($BK16/100)^(-BF$25))</f>
        <v>0</v>
      </c>
      <c r="BU16" s="23">
        <f t="shared" ref="BU16:BU74" si="11">IF($BK16&gt;(BG$23*100),0,BG$24*($BK16/100)^(-BG$25))</f>
        <v>0</v>
      </c>
      <c r="BV16" s="23">
        <f t="shared" ref="BV16:BV74" si="12">IF($BK16&gt;(BH$23*100),0,BH$24*($BK16/100)^(-BH$25))</f>
        <v>0</v>
      </c>
      <c r="BW16" s="23">
        <f t="shared" ref="BW16:BW74" si="13">IF($BK16&gt;(BI$23*100),0,BI$24*($BK16/100)^(-BI$25))</f>
        <v>0</v>
      </c>
      <c r="BX16" s="23"/>
      <c r="BY16" s="23">
        <v>62</v>
      </c>
      <c r="CE16" s="1" t="s">
        <v>3</v>
      </c>
      <c r="CF16" s="5">
        <v>0.53391248858368001</v>
      </c>
      <c r="CG16" s="5">
        <v>0.48212498731520004</v>
      </c>
      <c r="CH16" s="5">
        <v>0.43033748604671995</v>
      </c>
      <c r="CI16" s="5">
        <v>0.37854998477824009</v>
      </c>
      <c r="CK16" s="45" t="s">
        <v>69</v>
      </c>
      <c r="CL16" s="14"/>
      <c r="CM16" s="14"/>
      <c r="CQ16" s="1">
        <v>62</v>
      </c>
      <c r="CR16" s="23"/>
      <c r="CS16" s="23"/>
      <c r="CT16" s="23"/>
      <c r="CU16" s="23"/>
    </row>
    <row r="17" spans="2:99" ht="15.75" x14ac:dyDescent="0.25">
      <c r="B17" s="10"/>
      <c r="C17" s="10"/>
      <c r="D17" s="10" t="s">
        <v>70</v>
      </c>
      <c r="E17" s="10"/>
      <c r="F17" s="10"/>
      <c r="G17" s="10"/>
      <c r="H17" s="10"/>
      <c r="I17" s="53" t="s">
        <v>119</v>
      </c>
      <c r="J17" s="11"/>
      <c r="K17" s="11"/>
      <c r="L17" s="11"/>
      <c r="M17" s="10" t="s">
        <v>52</v>
      </c>
      <c r="N17" s="10" t="s">
        <v>52</v>
      </c>
      <c r="O17" s="10" t="s">
        <v>52</v>
      </c>
      <c r="P17" s="10" t="s">
        <v>52</v>
      </c>
      <c r="Q17" s="10" t="s">
        <v>65</v>
      </c>
      <c r="R17" s="10" t="s">
        <v>72</v>
      </c>
      <c r="S17" s="10" t="s">
        <v>52</v>
      </c>
      <c r="T17" s="10"/>
      <c r="U17" s="10" t="s">
        <v>72</v>
      </c>
      <c r="V17" s="10"/>
      <c r="W17" s="10" t="s">
        <v>73</v>
      </c>
      <c r="X17" s="10" t="s">
        <v>74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 t="s">
        <v>75</v>
      </c>
      <c r="AR17" s="10" t="s">
        <v>76</v>
      </c>
      <c r="BK17" s="23">
        <v>96</v>
      </c>
      <c r="BL17" s="23">
        <f t="shared" si="2"/>
        <v>0</v>
      </c>
      <c r="BM17" s="23">
        <f t="shared" si="3"/>
        <v>0</v>
      </c>
      <c r="BN17" s="23">
        <f t="shared" si="4"/>
        <v>0</v>
      </c>
      <c r="BO17" s="23">
        <f t="shared" si="5"/>
        <v>0</v>
      </c>
      <c r="BP17" s="23">
        <f t="shared" si="6"/>
        <v>0</v>
      </c>
      <c r="BQ17" s="23">
        <f t="shared" si="7"/>
        <v>0</v>
      </c>
      <c r="BR17" s="23">
        <f t="shared" si="8"/>
        <v>0</v>
      </c>
      <c r="BS17" s="23">
        <f t="shared" si="9"/>
        <v>0</v>
      </c>
      <c r="BT17" s="23">
        <f t="shared" si="10"/>
        <v>0</v>
      </c>
      <c r="BU17" s="23">
        <f t="shared" si="11"/>
        <v>0</v>
      </c>
      <c r="BV17" s="23">
        <f t="shared" si="12"/>
        <v>0</v>
      </c>
      <c r="BW17" s="23">
        <f t="shared" si="13"/>
        <v>0</v>
      </c>
      <c r="BX17" s="23"/>
      <c r="BY17" s="23">
        <v>60</v>
      </c>
      <c r="CE17" s="1" t="s">
        <v>77</v>
      </c>
      <c r="CF17" s="1">
        <v>0.9</v>
      </c>
      <c r="CG17" s="1">
        <v>1</v>
      </c>
      <c r="CH17" s="1">
        <v>1.1000000000000001</v>
      </c>
      <c r="CI17" s="1">
        <v>1.2</v>
      </c>
      <c r="CK17" s="1" t="s">
        <v>78</v>
      </c>
      <c r="CQ17" s="1">
        <v>60</v>
      </c>
      <c r="CR17" s="23"/>
      <c r="CS17" s="23"/>
      <c r="CT17" s="23"/>
      <c r="CU17" s="23"/>
    </row>
    <row r="18" spans="2:99" x14ac:dyDescent="0.2">
      <c r="B18" s="1">
        <v>1</v>
      </c>
      <c r="C18" s="1" t="s">
        <v>102</v>
      </c>
      <c r="D18" s="1">
        <v>66</v>
      </c>
      <c r="F18" s="5">
        <v>0.84627272727272718</v>
      </c>
      <c r="G18" s="5">
        <v>4.3015151515151513E-2</v>
      </c>
      <c r="H18" s="5">
        <v>2.08</v>
      </c>
      <c r="I18" s="5">
        <v>1</v>
      </c>
      <c r="J18" s="5">
        <v>0</v>
      </c>
      <c r="K18" s="5">
        <v>0</v>
      </c>
      <c r="L18" s="5"/>
      <c r="M18" s="5">
        <f t="shared" ref="M18:M28" si="14">X18</f>
        <v>4.1823697243966951E-2</v>
      </c>
      <c r="N18" s="5">
        <f t="shared" ref="N18:N28" si="15">AJ18</f>
        <v>0.1002115172030591</v>
      </c>
      <c r="O18" s="5">
        <f t="shared" ref="O18:O28" si="16">AH18</f>
        <v>0.45331093699999581</v>
      </c>
      <c r="P18" s="5">
        <f t="shared" ref="P18:P28" si="17">(N18-M18)*(1-T18)</f>
        <v>5.8387819959092147E-2</v>
      </c>
      <c r="Q18" s="5">
        <f t="shared" ref="Q18:Q28" si="18">AN18</f>
        <v>107.83391229127439</v>
      </c>
      <c r="R18" s="5">
        <f t="shared" ref="R18:R28" si="19">AG18</f>
        <v>1.4487260169500111</v>
      </c>
      <c r="S18" s="5">
        <f>N18-(S$16-33)*(O18-N18)/(33-AR18)</f>
        <v>0.34486239523748685</v>
      </c>
      <c r="T18" s="5">
        <f t="shared" ref="T18:T28" si="20">((R18/2.65)*J18)/(1-J18*(1-R18/2.65))</f>
        <v>0</v>
      </c>
      <c r="U18" s="5">
        <f t="shared" ref="U18:U28" si="21">T18*2.65+(1-T18)*R18</f>
        <v>1.4487260169500111</v>
      </c>
      <c r="W18" s="25">
        <f>-0.024*F18+0.487*G18+0.006*H18+0.005*F18*H18-0.013*G18*H18+0.068*F18*G18+0.031</f>
        <v>5.4231313371900833E-2</v>
      </c>
      <c r="X18" s="25">
        <f t="shared" ref="X18:X33" si="22">W18+0.14*W18-0.02</f>
        <v>4.1823697243966951E-2</v>
      </c>
      <c r="Y18" s="25">
        <f>-0.251*F18+0.195*G18+0.011*H18+0.006*F18*H18-0.027*G18*H18+0.452*F18*G18+0.299</f>
        <v>0.14245320514049589</v>
      </c>
      <c r="Z18" s="25">
        <f t="shared" ref="Z18:Z33" si="23">Y18+(1.283*Y18*Y18-0.374*Y18-0.015)</f>
        <v>0.1002115172030591</v>
      </c>
      <c r="AA18" s="5">
        <f>0.278*F18+0.034*G18+0.022*H18-0.018*F18*H18-0.027*G18*H18-0.584*F18*G18+0.078</f>
        <v>0.30512706255647387</v>
      </c>
      <c r="AB18" s="5">
        <f t="shared" ref="AB18:AB33" si="24">AA18+(0.636*AA18-0.107)</f>
        <v>0.39218787434239127</v>
      </c>
      <c r="AC18" s="5">
        <f>AB18+Z18</f>
        <v>0.49239939154545037</v>
      </c>
      <c r="AD18" s="25">
        <f>-0.097*F18+0.043</f>
        <v>-3.9088454545454537E-2</v>
      </c>
      <c r="AE18" s="5">
        <f>AC18+AD18</f>
        <v>0.45331093699999581</v>
      </c>
      <c r="AF18" s="5">
        <f t="shared" ref="AF18:AF33" si="25">(1-AE18)*2.65</f>
        <v>1.4487260169500111</v>
      </c>
      <c r="AG18" s="5">
        <f>AF18*(I18)</f>
        <v>1.4487260169500111</v>
      </c>
      <c r="AH18" s="5">
        <f t="shared" ref="AH18:AH33" si="26">1-(AG18/2.65)</f>
        <v>0.45331093699999581</v>
      </c>
      <c r="AI18" s="25">
        <f>(1-AG18/2.65)-(1-AF18/2.65)</f>
        <v>0</v>
      </c>
      <c r="AJ18" s="25">
        <f>Z18+0.2*AI18</f>
        <v>0.1002115172030591</v>
      </c>
      <c r="AK18" s="25">
        <f>AH18-AJ18</f>
        <v>0.35309941979693671</v>
      </c>
      <c r="AL18" s="25">
        <f xml:space="preserve"> (LN(AJ18)-LN(X18))/(LN(1500)-LN(33))</f>
        <v>0.22894570943894135</v>
      </c>
      <c r="AM18" s="25">
        <f>(1-J18)/(1-J18*(1-1.5*(R18/2.65)))</f>
        <v>1</v>
      </c>
      <c r="AN18" s="26">
        <f>1930*(AK18)^(3-AL18)*AM18</f>
        <v>107.83391229127439</v>
      </c>
      <c r="AO18" s="5">
        <f>(LN(1500)-LN(33))/(LN(AJ18)-LN(X18))</f>
        <v>4.3678477419411736</v>
      </c>
      <c r="AP18" s="25">
        <f>EXP(LN(33)+(AO18*LN(AJ18)))</f>
        <v>1.4278227531202489E-3</v>
      </c>
      <c r="AQ18" s="26">
        <f t="shared" ref="AQ18:AQ33" si="27">-21.674*$F18-27.932*$G18-81.975*$AK18+71.121*$F18*$AK18+8.294*$G18*$AK18+14.05*$F18*$G18+27.161</f>
        <v>0.56175510268807116</v>
      </c>
      <c r="AR18" s="26">
        <f t="shared" ref="AR18:AR33" si="28">AQ18+(0.02*AQ18^2-0.113*AQ18-0.7)</f>
        <v>-0.19541184800775913</v>
      </c>
      <c r="AS18" s="5"/>
      <c r="AV18" s="1" t="s">
        <v>79</v>
      </c>
      <c r="AX18" s="1" t="str">
        <f>$C18</f>
        <v>Sand</v>
      </c>
      <c r="AY18" s="1" t="str">
        <f>C19</f>
        <v>Loamy Sand</v>
      </c>
      <c r="AZ18" s="1" t="str">
        <f>C20</f>
        <v>Sandy Loam</v>
      </c>
      <c r="BA18" s="1" t="str">
        <f>C21</f>
        <v xml:space="preserve">Loam </v>
      </c>
      <c r="BB18" s="1" t="str">
        <f>C22</f>
        <v>Silty Loam</v>
      </c>
      <c r="BC18" s="1" t="str">
        <f>$C23</f>
        <v xml:space="preserve">Silt </v>
      </c>
      <c r="BD18" s="1" t="str">
        <f>$C24</f>
        <v>Sandy Clay Loam</v>
      </c>
      <c r="BE18" s="1" t="str">
        <f>$C25</f>
        <v>Clay Loam</v>
      </c>
      <c r="BF18" s="1" t="str">
        <f>$C26</f>
        <v>Silty Clay Loam</v>
      </c>
      <c r="BG18" s="1" t="s">
        <v>167</v>
      </c>
      <c r="BH18" s="1" t="str">
        <f>$C27</f>
        <v xml:space="preserve">silty Clay  </v>
      </c>
      <c r="BI18" s="1" t="str">
        <f>$C28</f>
        <v xml:space="preserve">Clay  </v>
      </c>
      <c r="BK18" s="23">
        <v>94</v>
      </c>
      <c r="BL18" s="23">
        <f t="shared" si="2"/>
        <v>0</v>
      </c>
      <c r="BM18" s="23">
        <f t="shared" si="3"/>
        <v>0</v>
      </c>
      <c r="BN18" s="23">
        <f t="shared" si="4"/>
        <v>0</v>
      </c>
      <c r="BO18" s="23">
        <f t="shared" si="5"/>
        <v>0</v>
      </c>
      <c r="BP18" s="23">
        <f t="shared" si="6"/>
        <v>0</v>
      </c>
      <c r="BQ18" s="23">
        <f t="shared" si="7"/>
        <v>0</v>
      </c>
      <c r="BR18" s="23">
        <f t="shared" si="8"/>
        <v>0</v>
      </c>
      <c r="BS18" s="23">
        <f t="shared" si="9"/>
        <v>0</v>
      </c>
      <c r="BT18" s="23">
        <f t="shared" si="10"/>
        <v>0</v>
      </c>
      <c r="BU18" s="23">
        <f t="shared" si="11"/>
        <v>0</v>
      </c>
      <c r="BV18" s="23">
        <f t="shared" si="12"/>
        <v>0</v>
      </c>
      <c r="BW18" s="23">
        <f t="shared" si="13"/>
        <v>0</v>
      </c>
      <c r="BX18" s="23"/>
      <c r="BY18" s="23">
        <v>58</v>
      </c>
      <c r="CE18" s="1" t="s">
        <v>80</v>
      </c>
      <c r="CG18" s="1" t="s">
        <v>81</v>
      </c>
      <c r="CQ18" s="1">
        <v>58</v>
      </c>
      <c r="CR18" s="23"/>
      <c r="CS18" s="23"/>
      <c r="CT18" s="23"/>
      <c r="CU18" s="23"/>
    </row>
    <row r="19" spans="2:99" x14ac:dyDescent="0.2">
      <c r="B19" s="1">
        <v>2</v>
      </c>
      <c r="C19" s="1" t="s">
        <v>121</v>
      </c>
      <c r="D19" s="1">
        <v>32</v>
      </c>
      <c r="F19" s="5">
        <v>0.80243750000000003</v>
      </c>
      <c r="G19" s="5">
        <v>5.1656249999999994E-2</v>
      </c>
      <c r="H19" s="5">
        <v>2.3279387499999999</v>
      </c>
      <c r="I19" s="5">
        <v>1</v>
      </c>
      <c r="J19" s="5">
        <v>0</v>
      </c>
      <c r="K19" s="5">
        <v>0</v>
      </c>
      <c r="L19" s="5"/>
      <c r="M19" s="5">
        <f t="shared" si="14"/>
        <v>5.0065803805396089E-2</v>
      </c>
      <c r="N19" s="5">
        <f t="shared" si="15"/>
        <v>0.11796917189514419</v>
      </c>
      <c r="O19" s="5">
        <f t="shared" si="16"/>
        <v>0.45543162362524348</v>
      </c>
      <c r="P19" s="5">
        <f t="shared" si="17"/>
        <v>6.7903368089748103E-2</v>
      </c>
      <c r="Q19" s="5">
        <f t="shared" si="18"/>
        <v>94.662043986412698</v>
      </c>
      <c r="R19" s="5">
        <f t="shared" si="19"/>
        <v>1.4431061973931048</v>
      </c>
      <c r="S19" s="5">
        <f>N19-(S$16-33)*(O19-N19)/(33-AR19)</f>
        <v>0.35234459415940755</v>
      </c>
      <c r="T19" s="5">
        <f t="shared" si="20"/>
        <v>0</v>
      </c>
      <c r="U19" s="5">
        <f t="shared" si="21"/>
        <v>1.4431061973931048</v>
      </c>
      <c r="W19" s="25">
        <f t="shared" ref="W19:W33" si="29">-0.024*F19+0.487*G19+0.006*H19+0.005*F19*H19-0.013*G19*H19+0.068*F19*G19+0.031</f>
        <v>6.1461231408242181E-2</v>
      </c>
      <c r="X19" s="25">
        <f t="shared" si="22"/>
        <v>5.0065803805396089E-2</v>
      </c>
      <c r="Y19" s="25">
        <f t="shared" ref="Y19:Y33" si="30">-0.251*F19+0.195*G19+0.011*H19+0.006*F19*H19-0.027*G19*H19+0.452*F19*G19+0.299</f>
        <v>0.15996562705417966</v>
      </c>
      <c r="Z19" s="25">
        <f t="shared" si="23"/>
        <v>0.11796917189514419</v>
      </c>
      <c r="AA19" s="5">
        <f t="shared" ref="AA19:AA33" si="31">0.278*F19+0.034*G19+0.022*H19-0.018*F19*H19-0.027*G19*H19-0.584*F19*G19+0.078</f>
        <v>0.29296998119199225</v>
      </c>
      <c r="AB19" s="5">
        <f t="shared" si="24"/>
        <v>0.37229888923009929</v>
      </c>
      <c r="AC19" s="5">
        <f t="shared" ref="AC19:AC33" si="32">AB19+Z19</f>
        <v>0.49026806112524346</v>
      </c>
      <c r="AD19" s="25">
        <f t="shared" ref="AD19:AD33" si="33">-0.097*F19+0.043</f>
        <v>-3.4836437500000011E-2</v>
      </c>
      <c r="AE19" s="5">
        <f t="shared" ref="AE19:AE33" si="34">AC19+AD19</f>
        <v>0.45543162362524348</v>
      </c>
      <c r="AF19" s="5">
        <f t="shared" si="25"/>
        <v>1.4431061973931048</v>
      </c>
      <c r="AG19" s="5">
        <f t="shared" ref="AG19:AG33" si="35">AF19*(I19)</f>
        <v>1.4431061973931048</v>
      </c>
      <c r="AH19" s="5">
        <f t="shared" si="26"/>
        <v>0.45543162362524348</v>
      </c>
      <c r="AI19" s="25">
        <f t="shared" ref="AI19:AI33" si="36">(1-AG19/2.65)-(1-AF19/2.65)</f>
        <v>0</v>
      </c>
      <c r="AJ19" s="25">
        <f t="shared" ref="AJ19:AJ33" si="37">Z19+0.2*AI19</f>
        <v>0.11796917189514419</v>
      </c>
      <c r="AK19" s="25">
        <f t="shared" ref="AK19:AK33" si="38">AH19-AJ19</f>
        <v>0.33746245173009926</v>
      </c>
      <c r="AL19" s="25">
        <f t="shared" ref="AL19:AL33" si="39" xml:space="preserve"> (LN(AJ19)-LN(X19))/(LN(1500)-LN(33))</f>
        <v>0.22456107076895934</v>
      </c>
      <c r="AM19" s="25">
        <f t="shared" ref="AM19:AM33" si="40">(1-J19)/(1-J19*(1-1.5*(R19/2.65)))</f>
        <v>1</v>
      </c>
      <c r="AN19" s="26">
        <f t="shared" ref="AN19:AN33" si="41">1930*(AK19)^(3-AL19)*AM19</f>
        <v>94.662043986412698</v>
      </c>
      <c r="AO19" s="5">
        <f t="shared" ref="AO19:AO33" si="42">(LN(1500)-LN(33))/(LN(AJ19)-LN(X19))</f>
        <v>4.4531315983474906</v>
      </c>
      <c r="AP19" s="25">
        <f t="shared" ref="AP19:AP33" si="43">EXP(LN(33)+(AO19*LN(AJ19)))</f>
        <v>2.426481887704965E-3</v>
      </c>
      <c r="AQ19" s="26">
        <f t="shared" si="27"/>
        <v>0.64862471338382832</v>
      </c>
      <c r="AR19" s="26">
        <f t="shared" si="28"/>
        <v>-0.11625559885229919</v>
      </c>
      <c r="AS19" s="5"/>
      <c r="BJ19" s="5"/>
      <c r="BK19" s="23">
        <v>92</v>
      </c>
      <c r="BL19" s="23">
        <f t="shared" si="2"/>
        <v>0</v>
      </c>
      <c r="BM19" s="23">
        <f t="shared" si="3"/>
        <v>0</v>
      </c>
      <c r="BN19" s="23">
        <f t="shared" si="4"/>
        <v>0</v>
      </c>
      <c r="BO19" s="23">
        <f t="shared" si="5"/>
        <v>0</v>
      </c>
      <c r="BP19" s="23">
        <f t="shared" si="6"/>
        <v>0</v>
      </c>
      <c r="BQ19" s="23">
        <f t="shared" si="7"/>
        <v>0</v>
      </c>
      <c r="BR19" s="23">
        <f t="shared" si="8"/>
        <v>0</v>
      </c>
      <c r="BS19" s="23">
        <f t="shared" si="9"/>
        <v>0</v>
      </c>
      <c r="BT19" s="23">
        <f t="shared" si="10"/>
        <v>0</v>
      </c>
      <c r="BU19" s="23">
        <f t="shared" si="11"/>
        <v>0</v>
      </c>
      <c r="BV19" s="23">
        <f t="shared" si="12"/>
        <v>0</v>
      </c>
      <c r="BW19" s="23">
        <f t="shared" si="13"/>
        <v>0</v>
      </c>
      <c r="BX19" s="23"/>
      <c r="BY19" s="23">
        <v>56</v>
      </c>
      <c r="CK19" s="1" t="s">
        <v>82</v>
      </c>
      <c r="CL19" s="1" t="s">
        <v>60</v>
      </c>
      <c r="CM19" s="1" t="s">
        <v>83</v>
      </c>
      <c r="CN19" s="1" t="s">
        <v>84</v>
      </c>
      <c r="CQ19" s="1">
        <v>56</v>
      </c>
      <c r="CR19" s="23"/>
      <c r="CS19" s="23"/>
      <c r="CT19" s="23"/>
      <c r="CU19" s="23"/>
    </row>
    <row r="20" spans="2:99" x14ac:dyDescent="0.2">
      <c r="B20" s="1">
        <v>3</v>
      </c>
      <c r="C20" s="1" t="s">
        <v>122</v>
      </c>
      <c r="D20" s="1">
        <v>277</v>
      </c>
      <c r="F20" s="5">
        <v>0.63445487364620923</v>
      </c>
      <c r="G20" s="5">
        <v>0.10299277978339348</v>
      </c>
      <c r="H20" s="5">
        <v>2.5199651985559579</v>
      </c>
      <c r="I20" s="5">
        <v>1</v>
      </c>
      <c r="J20" s="5">
        <v>0</v>
      </c>
      <c r="K20" s="5">
        <v>0</v>
      </c>
      <c r="L20" s="5"/>
      <c r="M20" s="5">
        <f t="shared" si="14"/>
        <v>8.272972350748331E-2</v>
      </c>
      <c r="N20" s="5">
        <f t="shared" si="15"/>
        <v>0.18443153450887401</v>
      </c>
      <c r="O20" s="5">
        <f t="shared" si="16"/>
        <v>0.45050262847422984</v>
      </c>
      <c r="P20" s="5">
        <f t="shared" si="17"/>
        <v>0.1017018110013907</v>
      </c>
      <c r="Q20" s="5">
        <f t="shared" si="18"/>
        <v>48.009750860294815</v>
      </c>
      <c r="R20" s="5">
        <f t="shared" si="19"/>
        <v>1.4561680345432908</v>
      </c>
      <c r="S20" s="5">
        <f t="shared" ref="S20:S28" si="44">N20-(S$16-33)*(O20-N20)/(33-AR20)</f>
        <v>0.37585961208202656</v>
      </c>
      <c r="T20" s="5">
        <f t="shared" si="20"/>
        <v>0</v>
      </c>
      <c r="U20" s="5">
        <f t="shared" si="21"/>
        <v>1.4561680345432908</v>
      </c>
      <c r="W20" s="25">
        <f t="shared" si="29"/>
        <v>9.0113792550423955E-2</v>
      </c>
      <c r="X20" s="25">
        <f t="shared" si="22"/>
        <v>8.272972350748331E-2</v>
      </c>
      <c r="Y20" s="25">
        <f t="shared" si="30"/>
        <v>0.21967593973604715</v>
      </c>
      <c r="Z20" s="25">
        <f t="shared" si="23"/>
        <v>0.18443153450887401</v>
      </c>
      <c r="AA20" s="5">
        <f t="shared" si="31"/>
        <v>0.23937238185149029</v>
      </c>
      <c r="AB20" s="5">
        <f t="shared" si="24"/>
        <v>0.28461321670903811</v>
      </c>
      <c r="AC20" s="5">
        <f t="shared" si="32"/>
        <v>0.46904475121791211</v>
      </c>
      <c r="AD20" s="25">
        <f t="shared" si="33"/>
        <v>-1.8542122743682297E-2</v>
      </c>
      <c r="AE20" s="5">
        <f t="shared" si="34"/>
        <v>0.45050262847422984</v>
      </c>
      <c r="AF20" s="5">
        <f t="shared" si="25"/>
        <v>1.4561680345432908</v>
      </c>
      <c r="AG20" s="5">
        <f t="shared" si="35"/>
        <v>1.4561680345432908</v>
      </c>
      <c r="AH20" s="5">
        <f t="shared" si="26"/>
        <v>0.45050262847422984</v>
      </c>
      <c r="AI20" s="25">
        <f t="shared" si="36"/>
        <v>0</v>
      </c>
      <c r="AJ20" s="25">
        <f t="shared" si="37"/>
        <v>0.18443153450887401</v>
      </c>
      <c r="AK20" s="25">
        <f t="shared" si="38"/>
        <v>0.26607109396535583</v>
      </c>
      <c r="AL20" s="25">
        <f t="shared" si="39"/>
        <v>0.21004969288398839</v>
      </c>
      <c r="AM20" s="25">
        <f t="shared" si="40"/>
        <v>1</v>
      </c>
      <c r="AN20" s="26">
        <f t="shared" si="41"/>
        <v>48.009750860294815</v>
      </c>
      <c r="AO20" s="5">
        <f t="shared" si="42"/>
        <v>4.760778205718708</v>
      </c>
      <c r="AP20" s="25">
        <f t="shared" si="43"/>
        <v>1.0551593798214937E-2</v>
      </c>
      <c r="AQ20" s="26">
        <f t="shared" si="27"/>
        <v>1.8731669232386423</v>
      </c>
      <c r="AR20" s="26">
        <f t="shared" si="28"/>
        <v>1.0316741473589821</v>
      </c>
      <c r="AS20" s="5"/>
      <c r="AV20" s="1" t="s">
        <v>30</v>
      </c>
      <c r="AX20" s="5">
        <f>$S18</f>
        <v>0.34486239523748685</v>
      </c>
      <c r="AY20" s="5">
        <f>$S19</f>
        <v>0.35234459415940755</v>
      </c>
      <c r="AZ20" s="5">
        <f>$S20</f>
        <v>0.37585961208202656</v>
      </c>
      <c r="BA20" s="5">
        <f>$S21</f>
        <v>0.42909279030703013</v>
      </c>
      <c r="BB20" s="5">
        <f>$S22</f>
        <v>0.4828378667433999</v>
      </c>
      <c r="BC20" s="5">
        <f>$S23</f>
        <v>0.48834563464136638</v>
      </c>
      <c r="BD20" s="5">
        <f>$S24</f>
        <v>0.40127959224903548</v>
      </c>
      <c r="BE20" s="5">
        <f>$S25</f>
        <v>0.46699851192004732</v>
      </c>
      <c r="BF20" s="5">
        <f>$S26</f>
        <v>0.51215899835182821</v>
      </c>
      <c r="BG20" s="5">
        <f>$S50/100</f>
        <v>0.4257664052625586</v>
      </c>
      <c r="BH20" s="5">
        <f>$S27</f>
        <v>0.51121646702434886</v>
      </c>
      <c r="BI20" s="5">
        <f>$S28</f>
        <v>0.50782942765707106</v>
      </c>
      <c r="BJ20" s="5"/>
      <c r="BK20" s="23">
        <v>90</v>
      </c>
      <c r="BL20" s="23">
        <f t="shared" si="2"/>
        <v>0</v>
      </c>
      <c r="BM20" s="23">
        <f t="shared" si="3"/>
        <v>0</v>
      </c>
      <c r="BN20" s="23">
        <f t="shared" si="4"/>
        <v>0</v>
      </c>
      <c r="BO20" s="23">
        <f t="shared" si="5"/>
        <v>0</v>
      </c>
      <c r="BP20" s="23">
        <f t="shared" si="6"/>
        <v>0</v>
      </c>
      <c r="BQ20" s="23">
        <f t="shared" si="7"/>
        <v>0</v>
      </c>
      <c r="BR20" s="23">
        <f t="shared" si="8"/>
        <v>0</v>
      </c>
      <c r="BS20" s="23">
        <f t="shared" si="9"/>
        <v>0</v>
      </c>
      <c r="BT20" s="23">
        <f t="shared" si="10"/>
        <v>0</v>
      </c>
      <c r="BU20" s="23">
        <f t="shared" si="11"/>
        <v>0</v>
      </c>
      <c r="BV20" s="23">
        <f t="shared" si="12"/>
        <v>0</v>
      </c>
      <c r="BW20" s="23">
        <f t="shared" si="13"/>
        <v>0</v>
      </c>
      <c r="BX20" s="23"/>
      <c r="BY20" s="23">
        <v>54</v>
      </c>
      <c r="CE20" s="1">
        <f t="shared" ref="CE20:CE38" si="45">BY20/100/$CF$16</f>
        <v>1.0114017026132287</v>
      </c>
      <c r="CF20" s="26">
        <v>25.043627272756698</v>
      </c>
      <c r="CG20" s="26">
        <v>12.141446393783953</v>
      </c>
      <c r="CH20" s="26">
        <v>4.558694484951423</v>
      </c>
      <c r="CI20" s="26">
        <v>0.99723754689836819</v>
      </c>
      <c r="CK20" s="5">
        <v>0</v>
      </c>
      <c r="CL20" s="5">
        <v>0</v>
      </c>
      <c r="CM20" s="5">
        <v>1.3723687836147198</v>
      </c>
      <c r="CN20" s="26">
        <v>12.141446393783953</v>
      </c>
      <c r="CQ20" s="1">
        <f t="shared" ref="CQ20:CQ25" si="46">CQ19-2</f>
        <v>54</v>
      </c>
      <c r="CR20" s="23"/>
      <c r="CS20" s="23"/>
      <c r="CT20" s="23"/>
      <c r="CU20" s="23"/>
    </row>
    <row r="21" spans="2:99" x14ac:dyDescent="0.2">
      <c r="B21" s="1">
        <v>4</v>
      </c>
      <c r="C21" s="1" t="s">
        <v>123</v>
      </c>
      <c r="D21" s="1">
        <v>318</v>
      </c>
      <c r="F21" s="5">
        <v>0.41237421383647804</v>
      </c>
      <c r="G21" s="5">
        <v>0.18547798742138361</v>
      </c>
      <c r="H21" s="5">
        <v>3.055654465408804</v>
      </c>
      <c r="I21" s="5">
        <v>1</v>
      </c>
      <c r="J21" s="5">
        <v>0</v>
      </c>
      <c r="K21" s="5">
        <v>0</v>
      </c>
      <c r="L21" s="5"/>
      <c r="M21" s="5">
        <f t="shared" si="14"/>
        <v>0.13264409143084757</v>
      </c>
      <c r="N21" s="5">
        <f t="shared" si="15"/>
        <v>0.27732918565424886</v>
      </c>
      <c r="O21" s="5">
        <f t="shared" si="16"/>
        <v>0.47356583005495534</v>
      </c>
      <c r="P21" s="5">
        <f t="shared" si="17"/>
        <v>0.14468509422340128</v>
      </c>
      <c r="Q21" s="5">
        <f t="shared" si="18"/>
        <v>19.978354234712999</v>
      </c>
      <c r="R21" s="5">
        <f t="shared" si="19"/>
        <v>1.3950505503543682</v>
      </c>
      <c r="S21" s="5">
        <f t="shared" si="44"/>
        <v>0.42909279030703013</v>
      </c>
      <c r="T21" s="5">
        <f t="shared" si="20"/>
        <v>0</v>
      </c>
      <c r="U21" s="5">
        <f t="shared" si="21"/>
        <v>1.3950505503543682</v>
      </c>
      <c r="W21" s="25">
        <f t="shared" si="29"/>
        <v>0.13389832581653294</v>
      </c>
      <c r="X21" s="25">
        <f t="shared" si="22"/>
        <v>0.13264409143084757</v>
      </c>
      <c r="Y21" s="25">
        <f t="shared" si="30"/>
        <v>0.29210431368738893</v>
      </c>
      <c r="Z21" s="25">
        <f t="shared" si="23"/>
        <v>0.27732918565424886</v>
      </c>
      <c r="AA21" s="5">
        <f t="shared" si="31"/>
        <v>0.18351891390149438</v>
      </c>
      <c r="AB21" s="5">
        <f t="shared" si="24"/>
        <v>0.19323694314284481</v>
      </c>
      <c r="AC21" s="5">
        <f t="shared" si="32"/>
        <v>0.4705661287970937</v>
      </c>
      <c r="AD21" s="25">
        <f t="shared" si="33"/>
        <v>2.9997012578616283E-3</v>
      </c>
      <c r="AE21" s="5">
        <f t="shared" si="34"/>
        <v>0.47356583005495534</v>
      </c>
      <c r="AF21" s="5">
        <f t="shared" si="25"/>
        <v>1.3950505503543682</v>
      </c>
      <c r="AG21" s="5">
        <f t="shared" si="35"/>
        <v>1.3950505503543682</v>
      </c>
      <c r="AH21" s="5">
        <f t="shared" si="26"/>
        <v>0.47356583005495534</v>
      </c>
      <c r="AI21" s="25">
        <f t="shared" si="36"/>
        <v>0</v>
      </c>
      <c r="AJ21" s="25">
        <f t="shared" si="37"/>
        <v>0.27732918565424886</v>
      </c>
      <c r="AK21" s="25">
        <f t="shared" si="38"/>
        <v>0.19623664440070648</v>
      </c>
      <c r="AL21" s="25">
        <f t="shared" si="39"/>
        <v>0.19323844709343654</v>
      </c>
      <c r="AM21" s="25">
        <f t="shared" si="40"/>
        <v>1</v>
      </c>
      <c r="AN21" s="26">
        <f t="shared" si="41"/>
        <v>19.978354234712999</v>
      </c>
      <c r="AO21" s="5">
        <f t="shared" si="42"/>
        <v>5.1749536132241341</v>
      </c>
      <c r="AP21" s="25">
        <f t="shared" si="43"/>
        <v>4.325555466964396E-2</v>
      </c>
      <c r="AQ21" s="26">
        <f t="shared" si="27"/>
        <v>4.0877656410835179</v>
      </c>
      <c r="AR21" s="26">
        <f t="shared" si="28"/>
        <v>3.2600446823695393</v>
      </c>
      <c r="AS21" s="5"/>
      <c r="AV21" s="1" t="s">
        <v>26</v>
      </c>
      <c r="AX21" s="5">
        <f>$N18</f>
        <v>0.1002115172030591</v>
      </c>
      <c r="AY21" s="5">
        <f>$N19</f>
        <v>0.11796917189514419</v>
      </c>
      <c r="AZ21" s="5">
        <f>$N20</f>
        <v>0.18443153450887401</v>
      </c>
      <c r="BA21" s="5">
        <f>$N21</f>
        <v>0.27732918565424886</v>
      </c>
      <c r="BB21" s="5">
        <f>$N22</f>
        <v>0.33137665900924468</v>
      </c>
      <c r="BC21" s="5">
        <f>$N23</f>
        <v>0.32353004947928837</v>
      </c>
      <c r="BD21" s="5">
        <f>$N24</f>
        <v>0.28257501414289343</v>
      </c>
      <c r="BE21" s="5">
        <f>$N25</f>
        <v>0.35196466578015978</v>
      </c>
      <c r="BF21" s="5">
        <f>$N26</f>
        <v>0.38274250870431764</v>
      </c>
      <c r="BG21" s="5">
        <f>$N50/100</f>
        <v>0.36111510283000003</v>
      </c>
      <c r="BH21" s="5">
        <f>$N27</f>
        <v>0.41237295151276643</v>
      </c>
      <c r="BI21" s="5">
        <f>$N28</f>
        <v>0.43455169849824726</v>
      </c>
      <c r="BJ21" s="5"/>
      <c r="BK21" s="23">
        <v>88</v>
      </c>
      <c r="BL21" s="23">
        <f t="shared" si="2"/>
        <v>0</v>
      </c>
      <c r="BM21" s="23">
        <f t="shared" si="3"/>
        <v>0</v>
      </c>
      <c r="BN21" s="23">
        <f t="shared" si="4"/>
        <v>0</v>
      </c>
      <c r="BO21" s="23">
        <f t="shared" si="5"/>
        <v>0</v>
      </c>
      <c r="BP21" s="23">
        <f t="shared" si="6"/>
        <v>0</v>
      </c>
      <c r="BQ21" s="23">
        <f t="shared" si="7"/>
        <v>0</v>
      </c>
      <c r="BR21" s="23">
        <f t="shared" si="8"/>
        <v>0</v>
      </c>
      <c r="BS21" s="23">
        <f t="shared" si="9"/>
        <v>0</v>
      </c>
      <c r="BT21" s="23">
        <f t="shared" si="10"/>
        <v>0</v>
      </c>
      <c r="BU21" s="23">
        <f t="shared" si="11"/>
        <v>0</v>
      </c>
      <c r="BV21" s="23">
        <f t="shared" si="12"/>
        <v>0</v>
      </c>
      <c r="BW21" s="23">
        <f t="shared" si="13"/>
        <v>0</v>
      </c>
      <c r="BX21" s="23"/>
      <c r="BY21" s="23">
        <v>52</v>
      </c>
      <c r="CE21" s="1">
        <f t="shared" si="45"/>
        <v>0.97394238029422031</v>
      </c>
      <c r="CF21" s="26">
        <f t="shared" ref="CF21:CI33" si="47">CF$20*$CE21^(3+2*CF$15)</f>
        <v>18.339034689289761</v>
      </c>
      <c r="CG21" s="26">
        <f t="shared" si="47"/>
        <v>8.8598081743549244</v>
      </c>
      <c r="CH21" s="26">
        <f t="shared" si="47"/>
        <v>3.3143725721800479</v>
      </c>
      <c r="CI21" s="26">
        <f t="shared" si="47"/>
        <v>0.72226063565323995</v>
      </c>
      <c r="CK21" s="5">
        <v>0.05</v>
      </c>
      <c r="CL21" s="5">
        <v>2.6533370684474079E-2</v>
      </c>
      <c r="CM21" s="5">
        <v>1.4062686462771261</v>
      </c>
      <c r="CN21" s="26">
        <v>11.664543073356816</v>
      </c>
      <c r="CQ21" s="1">
        <f t="shared" si="46"/>
        <v>52</v>
      </c>
      <c r="CR21" s="23"/>
      <c r="CS21" s="23"/>
      <c r="CT21" s="23"/>
      <c r="CU21" s="23"/>
    </row>
    <row r="22" spans="2:99" x14ac:dyDescent="0.2">
      <c r="B22" s="1">
        <v>5</v>
      </c>
      <c r="C22" s="1" t="s">
        <v>124</v>
      </c>
      <c r="D22" s="1">
        <v>736</v>
      </c>
      <c r="F22" s="5">
        <v>0.15038994565217392</v>
      </c>
      <c r="G22" s="5">
        <v>0.1801073369565219</v>
      </c>
      <c r="H22" s="5">
        <v>3.0452492391304342</v>
      </c>
      <c r="I22" s="5">
        <v>1</v>
      </c>
      <c r="J22" s="5">
        <v>0</v>
      </c>
      <c r="K22" s="5">
        <v>0</v>
      </c>
      <c r="L22" s="5"/>
      <c r="M22" s="5">
        <f t="shared" si="14"/>
        <v>0.1286286654128268</v>
      </c>
      <c r="N22" s="5">
        <f t="shared" si="15"/>
        <v>0.33137665900924468</v>
      </c>
      <c r="O22" s="5">
        <f t="shared" si="16"/>
        <v>0.50482581636070223</v>
      </c>
      <c r="P22" s="5">
        <f t="shared" si="17"/>
        <v>0.20274799359641787</v>
      </c>
      <c r="Q22" s="5">
        <f t="shared" si="18"/>
        <v>15.54946932044418</v>
      </c>
      <c r="R22" s="5">
        <f t="shared" si="19"/>
        <v>1.3122115866441388</v>
      </c>
      <c r="S22" s="5">
        <f t="shared" si="44"/>
        <v>0.4828378667433999</v>
      </c>
      <c r="T22" s="5">
        <f t="shared" si="20"/>
        <v>0</v>
      </c>
      <c r="U22" s="5">
        <f t="shared" si="21"/>
        <v>1.3122115866441388</v>
      </c>
      <c r="W22" s="25">
        <f t="shared" si="29"/>
        <v>0.13037602229195333</v>
      </c>
      <c r="X22" s="25">
        <f t="shared" si="22"/>
        <v>0.1286286654128268</v>
      </c>
      <c r="Y22" s="25">
        <f t="shared" si="30"/>
        <v>0.33005293079394304</v>
      </c>
      <c r="Z22" s="25">
        <f t="shared" si="23"/>
        <v>0.33137665900924468</v>
      </c>
      <c r="AA22" s="5">
        <f t="shared" si="31"/>
        <v>0.15405683501205292</v>
      </c>
      <c r="AB22" s="5">
        <f t="shared" si="24"/>
        <v>0.14503698207971857</v>
      </c>
      <c r="AC22" s="5">
        <f t="shared" si="32"/>
        <v>0.47641364108896322</v>
      </c>
      <c r="AD22" s="25">
        <f t="shared" si="33"/>
        <v>2.8412175271739126E-2</v>
      </c>
      <c r="AE22" s="5">
        <f t="shared" si="34"/>
        <v>0.50482581636070234</v>
      </c>
      <c r="AF22" s="5">
        <f t="shared" si="25"/>
        <v>1.3122115866441388</v>
      </c>
      <c r="AG22" s="5">
        <f t="shared" si="35"/>
        <v>1.3122115866441388</v>
      </c>
      <c r="AH22" s="5">
        <f t="shared" si="26"/>
        <v>0.50482581636070223</v>
      </c>
      <c r="AI22" s="25">
        <f t="shared" si="36"/>
        <v>0</v>
      </c>
      <c r="AJ22" s="25">
        <f t="shared" si="37"/>
        <v>0.33137665900924468</v>
      </c>
      <c r="AK22" s="25">
        <f t="shared" si="38"/>
        <v>0.17344915735145755</v>
      </c>
      <c r="AL22" s="25">
        <f t="shared" si="39"/>
        <v>0.24794267308849663</v>
      </c>
      <c r="AM22" s="25">
        <f t="shared" si="40"/>
        <v>1</v>
      </c>
      <c r="AN22" s="26">
        <f t="shared" si="41"/>
        <v>15.54946932044418</v>
      </c>
      <c r="AO22" s="5">
        <f t="shared" si="42"/>
        <v>4.0331903643027847</v>
      </c>
      <c r="AP22" s="25">
        <f t="shared" si="43"/>
        <v>0.38360204125600778</v>
      </c>
      <c r="AQ22" s="26">
        <f t="shared" si="27"/>
        <v>7.1470505608210146</v>
      </c>
      <c r="AR22" s="26">
        <f t="shared" si="28"/>
        <v>6.6610404818268796</v>
      </c>
      <c r="AS22" s="5"/>
      <c r="AV22" s="1" t="s">
        <v>25</v>
      </c>
      <c r="AX22" s="5">
        <f>$M18</f>
        <v>4.1823697243966951E-2</v>
      </c>
      <c r="AY22" s="5">
        <f>$M19</f>
        <v>5.0065803805396089E-2</v>
      </c>
      <c r="AZ22" s="5">
        <f>$M20</f>
        <v>8.272972350748331E-2</v>
      </c>
      <c r="BA22" s="5">
        <f>$M21</f>
        <v>0.13264409143084757</v>
      </c>
      <c r="BB22" s="5">
        <f>$M22</f>
        <v>0.1286286654128268</v>
      </c>
      <c r="BC22" s="5">
        <f>$M23</f>
        <v>8.0848425519492978E-2</v>
      </c>
      <c r="BD22" s="5">
        <f>$M24</f>
        <v>0.17086937720990927</v>
      </c>
      <c r="BE22" s="5">
        <f>$M25</f>
        <v>0.20321717607297188</v>
      </c>
      <c r="BF22" s="5">
        <f>$M26</f>
        <v>0.20429487852731715</v>
      </c>
      <c r="BG22" s="5">
        <f>$M50/100</f>
        <v>0.24864099999999997</v>
      </c>
      <c r="BH22" s="5">
        <f>$M27</f>
        <v>0.2756264487800571</v>
      </c>
      <c r="BI22" s="5">
        <f>$M28</f>
        <v>0.31862892619568156</v>
      </c>
      <c r="BJ22" s="5"/>
      <c r="BK22" s="23">
        <v>86</v>
      </c>
      <c r="BL22" s="23">
        <f t="shared" si="2"/>
        <v>0</v>
      </c>
      <c r="BM22" s="23">
        <f t="shared" si="3"/>
        <v>0</v>
      </c>
      <c r="BN22" s="23">
        <f t="shared" si="4"/>
        <v>0</v>
      </c>
      <c r="BO22" s="23">
        <f t="shared" si="5"/>
        <v>0</v>
      </c>
      <c r="BP22" s="23">
        <f t="shared" si="6"/>
        <v>0</v>
      </c>
      <c r="BQ22" s="23">
        <f t="shared" si="7"/>
        <v>0</v>
      </c>
      <c r="BR22" s="23">
        <f t="shared" si="8"/>
        <v>0</v>
      </c>
      <c r="BS22" s="23">
        <f t="shared" si="9"/>
        <v>0</v>
      </c>
      <c r="BT22" s="23">
        <f t="shared" si="10"/>
        <v>0</v>
      </c>
      <c r="BU22" s="23">
        <f t="shared" si="11"/>
        <v>0</v>
      </c>
      <c r="BV22" s="23">
        <f t="shared" si="12"/>
        <v>0</v>
      </c>
      <c r="BW22" s="23">
        <f t="shared" si="13"/>
        <v>0</v>
      </c>
      <c r="BX22" s="23"/>
      <c r="BY22" s="23">
        <v>50</v>
      </c>
      <c r="CE22" s="1">
        <f t="shared" si="45"/>
        <v>0.93648305797521181</v>
      </c>
      <c r="CF22" s="26">
        <f t="shared" si="47"/>
        <v>11.544186800733005</v>
      </c>
      <c r="CG22" s="26">
        <f t="shared" si="47"/>
        <v>5.5481137151608797</v>
      </c>
      <c r="CH22" s="26">
        <f t="shared" si="47"/>
        <v>2.0642198463781791</v>
      </c>
      <c r="CI22" s="26">
        <f t="shared" si="47"/>
        <v>0.44727489119340375</v>
      </c>
      <c r="CK22" s="5">
        <v>0.1</v>
      </c>
      <c r="CL22" s="5">
        <v>5.4410780977330563E-2</v>
      </c>
      <c r="CM22" s="5">
        <v>1.4418856958992596</v>
      </c>
      <c r="CN22" s="26">
        <v>11.176752886627749</v>
      </c>
      <c r="CQ22" s="1">
        <f t="shared" si="46"/>
        <v>50</v>
      </c>
      <c r="CR22" s="23"/>
      <c r="CS22" s="23"/>
      <c r="CT22" s="23"/>
      <c r="CU22" s="23"/>
    </row>
    <row r="23" spans="2:99" x14ac:dyDescent="0.2">
      <c r="B23" s="1">
        <v>6</v>
      </c>
      <c r="C23" s="1" t="s">
        <v>125</v>
      </c>
      <c r="D23" s="1">
        <v>40</v>
      </c>
      <c r="F23" s="5">
        <v>4.9400000000000006E-2</v>
      </c>
      <c r="G23" s="5">
        <v>0.100525</v>
      </c>
      <c r="H23" s="5">
        <v>1.8938139999999997</v>
      </c>
      <c r="I23" s="5">
        <v>1</v>
      </c>
      <c r="J23" s="5">
        <v>0</v>
      </c>
      <c r="K23" s="5">
        <v>0</v>
      </c>
      <c r="L23" s="5"/>
      <c r="M23" s="5">
        <f t="shared" si="14"/>
        <v>8.0848425519492978E-2</v>
      </c>
      <c r="N23" s="5">
        <f t="shared" si="15"/>
        <v>0.32353004947928837</v>
      </c>
      <c r="O23" s="5">
        <f t="shared" si="16"/>
        <v>0.46265868365744733</v>
      </c>
      <c r="P23" s="5">
        <f t="shared" si="17"/>
        <v>0.2426816239597954</v>
      </c>
      <c r="Q23" s="5">
        <f t="shared" si="18"/>
        <v>10.642092236547434</v>
      </c>
      <c r="R23" s="5">
        <f t="shared" si="19"/>
        <v>1.4239544883077646</v>
      </c>
      <c r="S23" s="5">
        <f t="shared" si="44"/>
        <v>0.48834563464136638</v>
      </c>
      <c r="T23" s="5">
        <f t="shared" si="20"/>
        <v>0</v>
      </c>
      <c r="U23" s="5">
        <f t="shared" si="21"/>
        <v>1.4239544883077646</v>
      </c>
      <c r="W23" s="25">
        <f t="shared" si="29"/>
        <v>8.8463531157449982E-2</v>
      </c>
      <c r="X23" s="25">
        <f t="shared" si="22"/>
        <v>8.0848425519492978E-2</v>
      </c>
      <c r="Y23" s="25">
        <f t="shared" si="30"/>
        <v>0.32470071547614998</v>
      </c>
      <c r="Z23" s="25">
        <f t="shared" si="23"/>
        <v>0.32353004947928837</v>
      </c>
      <c r="AA23" s="5">
        <f t="shared" si="31"/>
        <v>0.12709072993775</v>
      </c>
      <c r="AB23" s="5">
        <f t="shared" si="24"/>
        <v>0.100920434178159</v>
      </c>
      <c r="AC23" s="5">
        <f t="shared" si="32"/>
        <v>0.42445048365744736</v>
      </c>
      <c r="AD23" s="25">
        <f t="shared" si="33"/>
        <v>3.8208199999999998E-2</v>
      </c>
      <c r="AE23" s="5">
        <f t="shared" si="34"/>
        <v>0.46265868365744733</v>
      </c>
      <c r="AF23" s="5">
        <f t="shared" si="25"/>
        <v>1.4239544883077646</v>
      </c>
      <c r="AG23" s="5">
        <f t="shared" si="35"/>
        <v>1.4239544883077646</v>
      </c>
      <c r="AH23" s="5">
        <f t="shared" si="26"/>
        <v>0.46265868365744733</v>
      </c>
      <c r="AI23" s="25">
        <f t="shared" si="36"/>
        <v>0</v>
      </c>
      <c r="AJ23" s="25">
        <f t="shared" si="37"/>
        <v>0.32353004947928837</v>
      </c>
      <c r="AK23" s="25">
        <f t="shared" si="38"/>
        <v>0.13912863417815896</v>
      </c>
      <c r="AL23" s="25">
        <f t="shared" si="39"/>
        <v>0.36332727923121849</v>
      </c>
      <c r="AM23" s="25">
        <f t="shared" si="40"/>
        <v>1</v>
      </c>
      <c r="AN23" s="26">
        <f t="shared" si="41"/>
        <v>10.642092236547434</v>
      </c>
      <c r="AO23" s="5">
        <f t="shared" si="42"/>
        <v>2.7523394392954685</v>
      </c>
      <c r="AP23" s="25">
        <f t="shared" si="43"/>
        <v>1.4778577429435278</v>
      </c>
      <c r="AQ23" s="26">
        <f t="shared" si="27"/>
        <v>12.551952202965431</v>
      </c>
      <c r="AR23" s="26">
        <f t="shared" si="28"/>
        <v>13.584611686140914</v>
      </c>
      <c r="AS23" s="5"/>
      <c r="AV23" s="1" t="s">
        <v>85</v>
      </c>
      <c r="AX23" s="5">
        <f>$O18</f>
        <v>0.45331093699999581</v>
      </c>
      <c r="AY23" s="5">
        <f>$O19</f>
        <v>0.45543162362524348</v>
      </c>
      <c r="AZ23" s="5">
        <f>$O20</f>
        <v>0.45050262847422984</v>
      </c>
      <c r="BA23" s="5">
        <f>$O21</f>
        <v>0.47356583005495534</v>
      </c>
      <c r="BB23" s="5">
        <f>$O22</f>
        <v>0.50482581636070223</v>
      </c>
      <c r="BC23" s="5">
        <f>$O23</f>
        <v>0.46265868365744733</v>
      </c>
      <c r="BD23" s="5">
        <f>$O24</f>
        <v>0.43789899516849484</v>
      </c>
      <c r="BE23" s="5">
        <f>$O25</f>
        <v>0.49675066495624631</v>
      </c>
      <c r="BF23" s="5">
        <f>$O26</f>
        <v>0.54643167286482386</v>
      </c>
      <c r="BG23" s="5">
        <f>$O50/100</f>
        <v>0.44378990283000008</v>
      </c>
      <c r="BH23" s="5">
        <f>$O27</f>
        <v>0.54260728043975637</v>
      </c>
      <c r="BI23" s="5">
        <f>$O28</f>
        <v>0.53114249045657214</v>
      </c>
      <c r="BJ23" s="5"/>
      <c r="BK23" s="23">
        <v>84</v>
      </c>
      <c r="BL23" s="23">
        <f t="shared" si="2"/>
        <v>0</v>
      </c>
      <c r="BM23" s="23">
        <f t="shared" si="3"/>
        <v>0</v>
      </c>
      <c r="BN23" s="23">
        <f t="shared" si="4"/>
        <v>0</v>
      </c>
      <c r="BO23" s="23">
        <f t="shared" si="5"/>
        <v>0</v>
      </c>
      <c r="BP23" s="23">
        <f t="shared" si="6"/>
        <v>0</v>
      </c>
      <c r="BQ23" s="23">
        <f t="shared" si="7"/>
        <v>0</v>
      </c>
      <c r="BR23" s="23">
        <f t="shared" si="8"/>
        <v>0</v>
      </c>
      <c r="BS23" s="23">
        <f t="shared" si="9"/>
        <v>0</v>
      </c>
      <c r="BT23" s="23">
        <f t="shared" si="10"/>
        <v>0</v>
      </c>
      <c r="BU23" s="23">
        <f t="shared" si="11"/>
        <v>0</v>
      </c>
      <c r="BV23" s="23">
        <f t="shared" si="12"/>
        <v>0</v>
      </c>
      <c r="BW23" s="23">
        <f t="shared" si="13"/>
        <v>0</v>
      </c>
      <c r="BX23" s="23"/>
      <c r="BY23" s="23">
        <v>48</v>
      </c>
      <c r="CE23" s="1">
        <f t="shared" si="45"/>
        <v>0.8990237356562033</v>
      </c>
      <c r="CF23" s="26">
        <f t="shared" si="47"/>
        <v>7.1308839324565811</v>
      </c>
      <c r="CG23" s="26">
        <f t="shared" si="47"/>
        <v>3.4085292776126903</v>
      </c>
      <c r="CH23" s="26">
        <f t="shared" si="47"/>
        <v>1.2609985801750192</v>
      </c>
      <c r="CI23" s="26">
        <f t="shared" si="47"/>
        <v>0.27161772540020068</v>
      </c>
      <c r="CK23" s="5">
        <v>0.15</v>
      </c>
      <c r="CL23" s="5">
        <v>8.3737007450988055E-2</v>
      </c>
      <c r="CM23" s="5">
        <v>1.4793537983007889</v>
      </c>
      <c r="CN23" s="26">
        <v>10.677698737280368</v>
      </c>
      <c r="CQ23" s="1">
        <f t="shared" si="46"/>
        <v>48</v>
      </c>
      <c r="CR23" s="23"/>
      <c r="CS23" s="23"/>
      <c r="CT23" s="23"/>
      <c r="CU23" s="23"/>
    </row>
    <row r="24" spans="2:99" x14ac:dyDescent="0.2">
      <c r="B24" s="1">
        <v>7</v>
      </c>
      <c r="C24" s="1" t="s">
        <v>154</v>
      </c>
      <c r="D24" s="1">
        <v>39</v>
      </c>
      <c r="F24" s="5">
        <v>0.53223076923076917</v>
      </c>
      <c r="G24" s="5">
        <v>0.26217948717948719</v>
      </c>
      <c r="H24" s="5">
        <v>2.2907097435897432</v>
      </c>
      <c r="I24" s="5">
        <v>1</v>
      </c>
      <c r="J24" s="5">
        <v>0</v>
      </c>
      <c r="K24" s="5">
        <v>0</v>
      </c>
      <c r="L24" s="5"/>
      <c r="M24" s="5">
        <f t="shared" si="14"/>
        <v>0.17086937720990927</v>
      </c>
      <c r="N24" s="5">
        <f t="shared" si="15"/>
        <v>0.28257501414289343</v>
      </c>
      <c r="O24" s="5">
        <f t="shared" si="16"/>
        <v>0.43789899516849484</v>
      </c>
      <c r="P24" s="5">
        <f t="shared" si="17"/>
        <v>0.11170563693298416</v>
      </c>
      <c r="Q24" s="5">
        <f t="shared" si="18"/>
        <v>9.2441720085880394</v>
      </c>
      <c r="R24" s="5">
        <f t="shared" si="19"/>
        <v>1.4895676628034886</v>
      </c>
      <c r="S24" s="5">
        <f t="shared" si="44"/>
        <v>0.40127959224903548</v>
      </c>
      <c r="T24" s="5">
        <f t="shared" si="20"/>
        <v>0</v>
      </c>
      <c r="U24" s="5">
        <f t="shared" si="21"/>
        <v>1.4895676628034886</v>
      </c>
      <c r="W24" s="25">
        <f t="shared" si="29"/>
        <v>0.16742927825430637</v>
      </c>
      <c r="X24" s="25">
        <f t="shared" si="22"/>
        <v>0.17086937720990927</v>
      </c>
      <c r="Y24" s="25">
        <f t="shared" si="30"/>
        <v>0.29590449504047339</v>
      </c>
      <c r="Z24" s="25">
        <f t="shared" si="23"/>
        <v>0.28257501414289343</v>
      </c>
      <c r="AA24" s="5">
        <f t="shared" si="31"/>
        <v>0.16561758291013812</v>
      </c>
      <c r="AB24" s="5">
        <f t="shared" si="24"/>
        <v>0.16395036564098597</v>
      </c>
      <c r="AC24" s="5">
        <f t="shared" si="32"/>
        <v>0.44652537978387941</v>
      </c>
      <c r="AD24" s="25">
        <f t="shared" si="33"/>
        <v>-8.6263846153846122E-3</v>
      </c>
      <c r="AE24" s="5">
        <f t="shared" si="34"/>
        <v>0.43789899516849479</v>
      </c>
      <c r="AF24" s="5">
        <f t="shared" si="25"/>
        <v>1.4895676628034886</v>
      </c>
      <c r="AG24" s="5">
        <f t="shared" si="35"/>
        <v>1.4895676628034886</v>
      </c>
      <c r="AH24" s="5">
        <f t="shared" si="26"/>
        <v>0.43789899516849484</v>
      </c>
      <c r="AI24" s="25">
        <f t="shared" si="36"/>
        <v>0</v>
      </c>
      <c r="AJ24" s="25">
        <f t="shared" si="37"/>
        <v>0.28257501414289343</v>
      </c>
      <c r="AK24" s="25">
        <f t="shared" si="38"/>
        <v>0.15532398102560141</v>
      </c>
      <c r="AL24" s="25">
        <f t="shared" si="39"/>
        <v>0.13180050123611664</v>
      </c>
      <c r="AM24" s="25">
        <f t="shared" si="40"/>
        <v>1</v>
      </c>
      <c r="AN24" s="26">
        <f t="shared" si="41"/>
        <v>9.2441720085880394</v>
      </c>
      <c r="AO24" s="5">
        <f t="shared" si="42"/>
        <v>7.5872245600077806</v>
      </c>
      <c r="AP24" s="25">
        <f t="shared" si="43"/>
        <v>2.2601772984271453E-3</v>
      </c>
      <c r="AQ24" s="26">
        <f t="shared" si="27"/>
        <v>3.747286161552406</v>
      </c>
      <c r="AR24" s="26">
        <f t="shared" si="28"/>
        <v>2.9046858968282274</v>
      </c>
      <c r="AS24" s="5"/>
      <c r="AV24" s="1" t="s">
        <v>86</v>
      </c>
      <c r="AX24" s="25">
        <f>$AP18</f>
        <v>1.4278227531202489E-3</v>
      </c>
      <c r="AY24" s="25">
        <f>$AP19</f>
        <v>2.426481887704965E-3</v>
      </c>
      <c r="AZ24" s="25">
        <f>$AP20</f>
        <v>1.0551593798214937E-2</v>
      </c>
      <c r="BA24" s="25">
        <f>$AP21</f>
        <v>4.325555466964396E-2</v>
      </c>
      <c r="BB24" s="25">
        <f>$AP22</f>
        <v>0.38360204125600778</v>
      </c>
      <c r="BC24" s="25">
        <f>$AP23</f>
        <v>1.4778577429435278</v>
      </c>
      <c r="BD24" s="25">
        <f>$AP24</f>
        <v>2.2601772984271453E-3</v>
      </c>
      <c r="BE24" s="25">
        <f>$AP25</f>
        <v>2.3291034677899374E-2</v>
      </c>
      <c r="BF24" s="25">
        <f>$AP26</f>
        <v>9.6113732984461853E-2</v>
      </c>
      <c r="BG24" s="25">
        <f>$AP50</f>
        <v>9.8718507853323679E-4</v>
      </c>
      <c r="BH24" s="25">
        <f>$AP27</f>
        <v>7.4808777443141558E-3</v>
      </c>
      <c r="BI24" s="25">
        <f>$AP28</f>
        <v>1.1647191365648218E-3</v>
      </c>
      <c r="BJ24" s="5"/>
      <c r="BK24" s="23">
        <v>82</v>
      </c>
      <c r="BL24" s="23">
        <f t="shared" si="2"/>
        <v>0</v>
      </c>
      <c r="BM24" s="23">
        <f t="shared" si="3"/>
        <v>0</v>
      </c>
      <c r="BN24" s="23">
        <f t="shared" si="4"/>
        <v>0</v>
      </c>
      <c r="BO24" s="23">
        <f t="shared" si="5"/>
        <v>0</v>
      </c>
      <c r="BP24" s="23">
        <f t="shared" si="6"/>
        <v>0</v>
      </c>
      <c r="BQ24" s="23">
        <f t="shared" si="7"/>
        <v>0</v>
      </c>
      <c r="BR24" s="23">
        <f t="shared" si="8"/>
        <v>0</v>
      </c>
      <c r="BS24" s="23">
        <f t="shared" si="9"/>
        <v>0</v>
      </c>
      <c r="BT24" s="23">
        <f t="shared" si="10"/>
        <v>0</v>
      </c>
      <c r="BU24" s="23">
        <f t="shared" si="11"/>
        <v>0</v>
      </c>
      <c r="BV24" s="23">
        <f t="shared" si="12"/>
        <v>0</v>
      </c>
      <c r="BW24" s="23">
        <f t="shared" si="13"/>
        <v>0</v>
      </c>
      <c r="BX24" s="23"/>
      <c r="BY24" s="23">
        <v>46</v>
      </c>
      <c r="CB24" s="1">
        <f t="shared" ref="CB24:CB32" si="48">BA$26*(($BY24/100)/BA$23)^(3+2*BA$25)</f>
        <v>13.553459026847234</v>
      </c>
      <c r="CE24" s="1">
        <f t="shared" si="45"/>
        <v>0.86156441333719491</v>
      </c>
      <c r="CF24" s="26">
        <f t="shared" si="47"/>
        <v>4.3153674232388557</v>
      </c>
      <c r="CG24" s="26">
        <f t="shared" si="47"/>
        <v>2.0510805101370009</v>
      </c>
      <c r="CH24" s="26">
        <f t="shared" si="47"/>
        <v>0.75433178803508183</v>
      </c>
      <c r="CI24" s="26">
        <f t="shared" si="47"/>
        <v>0.16148093356182561</v>
      </c>
      <c r="CK24" s="5">
        <v>0.2</v>
      </c>
      <c r="CL24" s="5">
        <v>0.11462800790875503</v>
      </c>
      <c r="CM24" s="5">
        <v>1.5188211047910039</v>
      </c>
      <c r="CN24" s="26">
        <v>10.166985909890023</v>
      </c>
      <c r="CQ24" s="1">
        <f t="shared" si="46"/>
        <v>46</v>
      </c>
      <c r="CR24" s="23"/>
      <c r="CS24" s="23"/>
      <c r="CT24" s="23"/>
      <c r="CU24" s="23"/>
    </row>
    <row r="25" spans="2:99" x14ac:dyDescent="0.2">
      <c r="B25" s="1">
        <v>8</v>
      </c>
      <c r="C25" s="1" t="s">
        <v>127</v>
      </c>
      <c r="D25" s="1">
        <v>130</v>
      </c>
      <c r="F25" s="5">
        <v>0.29117692307692311</v>
      </c>
      <c r="G25" s="5">
        <v>0.3157692307692308</v>
      </c>
      <c r="H25" s="5">
        <v>3.5097987692307693</v>
      </c>
      <c r="I25" s="5">
        <v>1</v>
      </c>
      <c r="J25" s="5">
        <v>0</v>
      </c>
      <c r="K25" s="5">
        <v>0</v>
      </c>
      <c r="L25" s="5"/>
      <c r="M25" s="5">
        <f t="shared" si="14"/>
        <v>0.20321717607297188</v>
      </c>
      <c r="N25" s="5">
        <f t="shared" si="15"/>
        <v>0.35196466578015978</v>
      </c>
      <c r="O25" s="5">
        <f t="shared" si="16"/>
        <v>0.49675066495624631</v>
      </c>
      <c r="P25" s="5">
        <f t="shared" si="17"/>
        <v>0.1487474897071879</v>
      </c>
      <c r="Q25" s="5">
        <f t="shared" si="18"/>
        <v>7.7359772086592011</v>
      </c>
      <c r="R25" s="5">
        <f t="shared" si="19"/>
        <v>1.3336107378659472</v>
      </c>
      <c r="S25" s="5">
        <f t="shared" si="44"/>
        <v>0.46699851192004732</v>
      </c>
      <c r="T25" s="5">
        <f t="shared" si="20"/>
        <v>0</v>
      </c>
      <c r="U25" s="5">
        <f t="shared" si="21"/>
        <v>1.3336107378659472</v>
      </c>
      <c r="W25" s="25">
        <f t="shared" si="29"/>
        <v>0.1958045404148876</v>
      </c>
      <c r="X25" s="25">
        <f t="shared" si="22"/>
        <v>0.20321717607297188</v>
      </c>
      <c r="Y25" s="25">
        <f t="shared" si="30"/>
        <v>0.34386448913781775</v>
      </c>
      <c r="Z25" s="25">
        <f t="shared" si="23"/>
        <v>0.35196466578015978</v>
      </c>
      <c r="AA25" s="5">
        <f t="shared" si="31"/>
        <v>0.14488396131696096</v>
      </c>
      <c r="AB25" s="5">
        <f t="shared" si="24"/>
        <v>0.13003016071454815</v>
      </c>
      <c r="AC25" s="5">
        <f t="shared" si="32"/>
        <v>0.48199482649470793</v>
      </c>
      <c r="AD25" s="25">
        <f t="shared" si="33"/>
        <v>1.4755838461538454E-2</v>
      </c>
      <c r="AE25" s="5">
        <f t="shared" si="34"/>
        <v>0.49675066495624637</v>
      </c>
      <c r="AF25" s="5">
        <f t="shared" si="25"/>
        <v>1.3336107378659472</v>
      </c>
      <c r="AG25" s="5">
        <f t="shared" si="35"/>
        <v>1.3336107378659472</v>
      </c>
      <c r="AH25" s="5">
        <f t="shared" si="26"/>
        <v>0.49675066495624631</v>
      </c>
      <c r="AI25" s="25">
        <f t="shared" si="36"/>
        <v>0</v>
      </c>
      <c r="AJ25" s="25">
        <f t="shared" si="37"/>
        <v>0.35196466578015978</v>
      </c>
      <c r="AK25" s="25">
        <f t="shared" si="38"/>
        <v>0.14478599917608653</v>
      </c>
      <c r="AL25" s="25">
        <f t="shared" si="39"/>
        <v>0.14390801045221607</v>
      </c>
      <c r="AM25" s="25">
        <f t="shared" si="40"/>
        <v>1</v>
      </c>
      <c r="AN25" s="26">
        <f t="shared" si="41"/>
        <v>7.7359772086592011</v>
      </c>
      <c r="AO25" s="5">
        <f t="shared" si="42"/>
        <v>6.9488835045221116</v>
      </c>
      <c r="AP25" s="25">
        <f t="shared" si="43"/>
        <v>2.3291034677899374E-2</v>
      </c>
      <c r="AQ25" s="26">
        <f t="shared" si="27"/>
        <v>4.8304926580320888</v>
      </c>
      <c r="AR25" s="26">
        <f t="shared" si="28"/>
        <v>4.0513201740605016</v>
      </c>
      <c r="AS25" s="5"/>
      <c r="AV25" s="1" t="s">
        <v>87</v>
      </c>
      <c r="AX25" s="5">
        <f>$AO18</f>
        <v>4.3678477419411736</v>
      </c>
      <c r="AY25" s="5">
        <f>$AO19</f>
        <v>4.4531315983474906</v>
      </c>
      <c r="AZ25" s="5">
        <f>$AO20</f>
        <v>4.760778205718708</v>
      </c>
      <c r="BA25" s="5">
        <f>$AO21</f>
        <v>5.1749536132241341</v>
      </c>
      <c r="BB25" s="5">
        <f>$AO22</f>
        <v>4.0331903643027847</v>
      </c>
      <c r="BC25" s="5">
        <f>$AO23</f>
        <v>2.7523394392954685</v>
      </c>
      <c r="BD25" s="5">
        <f>$AO24</f>
        <v>7.5872245600077806</v>
      </c>
      <c r="BE25" s="5">
        <f>$AO25</f>
        <v>6.9488835045221116</v>
      </c>
      <c r="BF25" s="5">
        <f>$AO26</f>
        <v>6.0795234290488773</v>
      </c>
      <c r="BG25" s="5">
        <f>$AO50</f>
        <v>10.227355919693839</v>
      </c>
      <c r="BH25" s="5">
        <f>$AO27</f>
        <v>9.4735333215510078</v>
      </c>
      <c r="BI25" s="5">
        <f>$AO28</f>
        <v>12.300559692261906</v>
      </c>
      <c r="BJ25" s="5"/>
      <c r="BK25" s="23">
        <v>80</v>
      </c>
      <c r="BL25" s="23">
        <f t="shared" si="2"/>
        <v>0</v>
      </c>
      <c r="BM25" s="23">
        <f t="shared" si="3"/>
        <v>0</v>
      </c>
      <c r="BN25" s="23">
        <f t="shared" si="4"/>
        <v>0</v>
      </c>
      <c r="BO25" s="23">
        <f t="shared" si="5"/>
        <v>0</v>
      </c>
      <c r="BP25" s="23">
        <f t="shared" si="6"/>
        <v>0</v>
      </c>
      <c r="BQ25" s="23">
        <f t="shared" si="7"/>
        <v>0</v>
      </c>
      <c r="BR25" s="23">
        <f t="shared" si="8"/>
        <v>0</v>
      </c>
      <c r="BS25" s="23">
        <f t="shared" si="9"/>
        <v>0</v>
      </c>
      <c r="BT25" s="23">
        <f t="shared" si="10"/>
        <v>0</v>
      </c>
      <c r="BU25" s="23">
        <f t="shared" si="11"/>
        <v>0</v>
      </c>
      <c r="BV25" s="23">
        <f t="shared" si="12"/>
        <v>0</v>
      </c>
      <c r="BW25" s="23">
        <f t="shared" si="13"/>
        <v>0</v>
      </c>
      <c r="BX25" s="23"/>
      <c r="BY25" s="23">
        <v>44</v>
      </c>
      <c r="CA25" s="1">
        <f t="shared" ref="CA25:CA36" si="49">AZ$26*(($BY25/100)/AZ$23)^(3+2*AZ$25)</f>
        <v>35.731434744386526</v>
      </c>
      <c r="CB25" s="1">
        <f t="shared" si="48"/>
        <v>7.4873496799689327</v>
      </c>
      <c r="CE25" s="1">
        <f t="shared" si="45"/>
        <v>0.82410509101818641</v>
      </c>
      <c r="CF25" s="26">
        <f t="shared" si="47"/>
        <v>2.5538453475831608</v>
      </c>
      <c r="CG25" s="26">
        <f t="shared" si="47"/>
        <v>1.2066782344823672</v>
      </c>
      <c r="CH25" s="26">
        <f t="shared" si="47"/>
        <v>0.44105134367180593</v>
      </c>
      <c r="CI25" s="26">
        <f t="shared" si="47"/>
        <v>9.380888325259186E-2</v>
      </c>
      <c r="CK25" s="5">
        <v>0.25</v>
      </c>
      <c r="CL25" s="5">
        <v>0.14721245377321235</v>
      </c>
      <c r="CM25" s="5">
        <v>1.5604520099960508</v>
      </c>
      <c r="CN25" s="26">
        <v>9.6442010287377826</v>
      </c>
      <c r="CQ25" s="1">
        <f t="shared" si="46"/>
        <v>44</v>
      </c>
      <c r="CR25" s="23"/>
      <c r="CS25" s="23"/>
      <c r="CT25" s="23"/>
      <c r="CU25" s="23"/>
    </row>
    <row r="26" spans="2:99" x14ac:dyDescent="0.2">
      <c r="B26" s="1">
        <v>9</v>
      </c>
      <c r="C26" s="1" t="s">
        <v>128</v>
      </c>
      <c r="D26" s="1">
        <v>288</v>
      </c>
      <c r="F26" s="5">
        <v>8.8847222222222244E-2</v>
      </c>
      <c r="G26" s="5">
        <v>0.32191319444444461</v>
      </c>
      <c r="H26" s="5">
        <v>4.056727638888888</v>
      </c>
      <c r="I26" s="5">
        <v>1</v>
      </c>
      <c r="J26" s="5">
        <v>0</v>
      </c>
      <c r="K26" s="5">
        <v>0</v>
      </c>
      <c r="L26" s="5"/>
      <c r="M26" s="5">
        <f t="shared" si="14"/>
        <v>0.20429487852731715</v>
      </c>
      <c r="N26" s="5">
        <f t="shared" si="15"/>
        <v>0.38274250870431764</v>
      </c>
      <c r="O26" s="5">
        <f t="shared" si="16"/>
        <v>0.54643167286482386</v>
      </c>
      <c r="P26" s="5">
        <f t="shared" si="17"/>
        <v>0.17844763017700049</v>
      </c>
      <c r="Q26" s="5">
        <f t="shared" si="18"/>
        <v>11.399879836592914</v>
      </c>
      <c r="R26" s="5">
        <f t="shared" si="19"/>
        <v>1.2019560669082168</v>
      </c>
      <c r="S26" s="5">
        <f t="shared" si="44"/>
        <v>0.51215899835182821</v>
      </c>
      <c r="T26" s="5">
        <f t="shared" si="20"/>
        <v>0</v>
      </c>
      <c r="U26" s="5">
        <f t="shared" si="21"/>
        <v>1.2019560669082168</v>
      </c>
      <c r="W26" s="25">
        <f t="shared" si="29"/>
        <v>0.19674989344501503</v>
      </c>
      <c r="X26" s="25">
        <f t="shared" si="22"/>
        <v>0.20429487852731715</v>
      </c>
      <c r="Y26" s="25">
        <f t="shared" si="30"/>
        <v>0.36392701001336275</v>
      </c>
      <c r="Z26" s="25">
        <f t="shared" si="23"/>
        <v>0.38274250870431764</v>
      </c>
      <c r="AA26" s="5">
        <f t="shared" si="31"/>
        <v>0.14444214224698154</v>
      </c>
      <c r="AB26" s="5">
        <f t="shared" si="24"/>
        <v>0.12930734471606181</v>
      </c>
      <c r="AC26" s="5">
        <f t="shared" si="32"/>
        <v>0.51204985342037945</v>
      </c>
      <c r="AD26" s="25">
        <f t="shared" si="33"/>
        <v>3.4381819444444441E-2</v>
      </c>
      <c r="AE26" s="5">
        <f t="shared" si="34"/>
        <v>0.54643167286482386</v>
      </c>
      <c r="AF26" s="5">
        <f t="shared" si="25"/>
        <v>1.2019560669082168</v>
      </c>
      <c r="AG26" s="5">
        <f t="shared" si="35"/>
        <v>1.2019560669082168</v>
      </c>
      <c r="AH26" s="5">
        <f t="shared" si="26"/>
        <v>0.54643167286482386</v>
      </c>
      <c r="AI26" s="25">
        <f t="shared" si="36"/>
        <v>0</v>
      </c>
      <c r="AJ26" s="25">
        <f t="shared" si="37"/>
        <v>0.38274250870431764</v>
      </c>
      <c r="AK26" s="25">
        <f t="shared" si="38"/>
        <v>0.16368916416050622</v>
      </c>
      <c r="AL26" s="25">
        <f t="shared" si="39"/>
        <v>0.16448657722443336</v>
      </c>
      <c r="AM26" s="25">
        <f t="shared" si="40"/>
        <v>1</v>
      </c>
      <c r="AN26" s="26">
        <f t="shared" si="41"/>
        <v>11.399879836592914</v>
      </c>
      <c r="AO26" s="5">
        <f t="shared" si="42"/>
        <v>6.0795234290488773</v>
      </c>
      <c r="AP26" s="25">
        <f t="shared" si="43"/>
        <v>9.6113732984461853E-2</v>
      </c>
      <c r="AQ26" s="26">
        <f t="shared" si="27"/>
        <v>4.6984496450346391</v>
      </c>
      <c r="AR26" s="26">
        <f t="shared" si="28"/>
        <v>3.9090334164842475</v>
      </c>
      <c r="AS26" s="5"/>
      <c r="AV26" s="1" t="s">
        <v>88</v>
      </c>
      <c r="AX26" s="26">
        <f>$AN18</f>
        <v>107.83391229127439</v>
      </c>
      <c r="AY26" s="26">
        <f>$AN19</f>
        <v>94.662043986412698</v>
      </c>
      <c r="AZ26" s="26">
        <f>$AN20</f>
        <v>48.009750860294815</v>
      </c>
      <c r="BA26" s="26">
        <f>$AN21</f>
        <v>19.978354234712999</v>
      </c>
      <c r="BB26" s="26">
        <f>$AN22</f>
        <v>15.54946932044418</v>
      </c>
      <c r="BC26" s="26">
        <f>$AN23</f>
        <v>10.642092236547434</v>
      </c>
      <c r="BD26" s="26">
        <f>$AN24</f>
        <v>9.2441720085880394</v>
      </c>
      <c r="BE26" s="26">
        <f>$AN25</f>
        <v>7.7359772086592011</v>
      </c>
      <c r="BF26" s="26">
        <f>$AN26</f>
        <v>11.399879836592914</v>
      </c>
      <c r="BG26" s="26">
        <f>$AN50</f>
        <v>1.3916587486499672</v>
      </c>
      <c r="BH26" s="26">
        <f>$AN27</f>
        <v>5.2866537980747221</v>
      </c>
      <c r="BI26" s="26">
        <f>$AN28</f>
        <v>2.1032276635456717</v>
      </c>
      <c r="BJ26" s="5"/>
      <c r="BK26" s="23">
        <v>78</v>
      </c>
      <c r="BL26" s="23">
        <f t="shared" si="2"/>
        <v>0</v>
      </c>
      <c r="BM26" s="23">
        <f t="shared" si="3"/>
        <v>0</v>
      </c>
      <c r="BN26" s="23">
        <f t="shared" si="4"/>
        <v>0</v>
      </c>
      <c r="BO26" s="23">
        <f t="shared" si="5"/>
        <v>0</v>
      </c>
      <c r="BP26" s="23">
        <f t="shared" si="6"/>
        <v>0</v>
      </c>
      <c r="BQ26" s="23">
        <f t="shared" si="7"/>
        <v>0</v>
      </c>
      <c r="BR26" s="23">
        <f t="shared" si="8"/>
        <v>0</v>
      </c>
      <c r="BS26" s="23">
        <f t="shared" si="9"/>
        <v>0</v>
      </c>
      <c r="BT26" s="23">
        <f t="shared" si="10"/>
        <v>0</v>
      </c>
      <c r="BU26" s="23">
        <f t="shared" si="11"/>
        <v>0</v>
      </c>
      <c r="BV26" s="23">
        <f t="shared" si="12"/>
        <v>0</v>
      </c>
      <c r="BW26" s="23">
        <f t="shared" si="13"/>
        <v>0</v>
      </c>
      <c r="BX26" s="23"/>
      <c r="BY26" s="23">
        <v>42</v>
      </c>
      <c r="BZ26" s="1">
        <f t="shared" ref="BZ26:BZ37" si="50">AY$26*(($BY26/100)/AY$23)^(3+2*AY$25)</f>
        <v>36.08994761286344</v>
      </c>
      <c r="CA26" s="1">
        <f t="shared" si="49"/>
        <v>19.955959616512775</v>
      </c>
      <c r="CB26" s="1">
        <f t="shared" si="48"/>
        <v>4.0235998790192946</v>
      </c>
      <c r="CC26" s="1">
        <f t="shared" ref="CC26:CC34" si="51">BB$26*(($BY26/100)/BB$23)^(3+2*BB$25)</f>
        <v>2.0304735690487599</v>
      </c>
      <c r="CE26" s="1">
        <f t="shared" si="45"/>
        <v>0.78664576869917791</v>
      </c>
      <c r="CF26" s="26">
        <f t="shared" si="47"/>
        <v>1.4749294430325441</v>
      </c>
      <c r="CG26" s="26">
        <f t="shared" si="47"/>
        <v>0.69259699016441734</v>
      </c>
      <c r="CH26" s="26">
        <f t="shared" si="47"/>
        <v>0.25151937731289464</v>
      </c>
      <c r="CI26" s="26">
        <f t="shared" si="47"/>
        <v>5.3136356779577738E-2</v>
      </c>
      <c r="CK26" s="5">
        <v>0.3</v>
      </c>
      <c r="CL26" s="5">
        <v>0.18163352159376231</v>
      </c>
      <c r="CM26" s="5">
        <v>1.6044294407449005</v>
      </c>
      <c r="CN26" s="26">
        <v>9.108910941907757</v>
      </c>
      <c r="CQ26" s="1">
        <v>42</v>
      </c>
      <c r="CR26" s="23"/>
      <c r="CS26" s="23"/>
      <c r="CT26" s="23"/>
      <c r="CU26" s="23"/>
    </row>
    <row r="27" spans="2:99" x14ac:dyDescent="0.2">
      <c r="B27" s="1">
        <v>10</v>
      </c>
      <c r="C27" s="1" t="s">
        <v>129</v>
      </c>
      <c r="D27" s="1">
        <v>83</v>
      </c>
      <c r="F27" s="5">
        <v>7.6554216867469896E-2</v>
      </c>
      <c r="G27" s="5">
        <v>0.46515662650602396</v>
      </c>
      <c r="H27" s="5">
        <v>3.5921513253012067</v>
      </c>
      <c r="I27" s="5">
        <v>1</v>
      </c>
      <c r="J27" s="5">
        <v>0</v>
      </c>
      <c r="K27" s="5">
        <v>0</v>
      </c>
      <c r="L27" s="5"/>
      <c r="M27" s="5">
        <f t="shared" si="14"/>
        <v>0.2756264487800571</v>
      </c>
      <c r="N27" s="5">
        <f t="shared" si="15"/>
        <v>0.41237295151276643</v>
      </c>
      <c r="O27" s="5">
        <f t="shared" si="16"/>
        <v>0.54260728043975637</v>
      </c>
      <c r="P27" s="5">
        <f t="shared" si="17"/>
        <v>0.13674650273270933</v>
      </c>
      <c r="Q27" s="5">
        <f t="shared" si="18"/>
        <v>5.2866537980747221</v>
      </c>
      <c r="R27" s="5">
        <f t="shared" si="19"/>
        <v>1.2120907068346454</v>
      </c>
      <c r="S27" s="5">
        <f t="shared" si="44"/>
        <v>0.51121646702434886</v>
      </c>
      <c r="T27" s="5">
        <f t="shared" si="20"/>
        <v>0</v>
      </c>
      <c r="U27" s="5">
        <f t="shared" si="21"/>
        <v>1.2120907068346454</v>
      </c>
      <c r="W27" s="25">
        <f t="shared" si="29"/>
        <v>0.25932144629829573</v>
      </c>
      <c r="X27" s="25">
        <f t="shared" si="22"/>
        <v>0.2756264487800571</v>
      </c>
      <c r="Y27" s="25">
        <f t="shared" si="30"/>
        <v>0.38263499847938448</v>
      </c>
      <c r="Z27" s="25">
        <f t="shared" si="23"/>
        <v>0.41237295151276643</v>
      </c>
      <c r="AA27" s="5">
        <f t="shared" si="31"/>
        <v>0.12326411244690379</v>
      </c>
      <c r="AB27" s="5">
        <f t="shared" si="24"/>
        <v>9.4660087963134604E-2</v>
      </c>
      <c r="AC27" s="5">
        <f t="shared" si="32"/>
        <v>0.50703303947590106</v>
      </c>
      <c r="AD27" s="25">
        <f t="shared" si="33"/>
        <v>3.5574240963855419E-2</v>
      </c>
      <c r="AE27" s="5">
        <f t="shared" si="34"/>
        <v>0.54260728043975648</v>
      </c>
      <c r="AF27" s="5">
        <f t="shared" si="25"/>
        <v>1.2120907068346454</v>
      </c>
      <c r="AG27" s="5">
        <f t="shared" si="35"/>
        <v>1.2120907068346454</v>
      </c>
      <c r="AH27" s="5">
        <f t="shared" si="26"/>
        <v>0.54260728043975637</v>
      </c>
      <c r="AI27" s="25">
        <f t="shared" si="36"/>
        <v>0</v>
      </c>
      <c r="AJ27" s="25">
        <f t="shared" si="37"/>
        <v>0.41237295151276643</v>
      </c>
      <c r="AK27" s="25">
        <f t="shared" si="38"/>
        <v>0.13023432892698994</v>
      </c>
      <c r="AL27" s="25">
        <f t="shared" si="39"/>
        <v>0.10555723678356999</v>
      </c>
      <c r="AM27" s="25">
        <f t="shared" si="40"/>
        <v>1</v>
      </c>
      <c r="AN27" s="26">
        <f t="shared" si="41"/>
        <v>5.2866537980747221</v>
      </c>
      <c r="AO27" s="5">
        <f t="shared" si="42"/>
        <v>9.4735333215510078</v>
      </c>
      <c r="AP27" s="25">
        <f t="shared" si="43"/>
        <v>7.4808777443141558E-3</v>
      </c>
      <c r="AQ27" s="26">
        <f t="shared" si="27"/>
        <v>3.5448868716696218</v>
      </c>
      <c r="AR27" s="26">
        <f t="shared" si="28"/>
        <v>2.6956391138296674</v>
      </c>
      <c r="AS27" s="5"/>
      <c r="AV27" s="1" t="s">
        <v>89</v>
      </c>
      <c r="AX27" s="26">
        <f>$AR18</f>
        <v>-0.19541184800775913</v>
      </c>
      <c r="AY27" s="26">
        <f>$AR19</f>
        <v>-0.11625559885229919</v>
      </c>
      <c r="AZ27" s="26">
        <f>$AR20</f>
        <v>1.0316741473589821</v>
      </c>
      <c r="BA27" s="26">
        <f>$AR21</f>
        <v>3.2600446823695393</v>
      </c>
      <c r="BB27" s="26">
        <f>$AR22</f>
        <v>6.6610404818268796</v>
      </c>
      <c r="BC27" s="26">
        <f>$AR23</f>
        <v>13.584611686140914</v>
      </c>
      <c r="BD27" s="26">
        <f>$AR24</f>
        <v>2.9046858968282274</v>
      </c>
      <c r="BE27" s="26">
        <f>$AR25</f>
        <v>4.0513201740605016</v>
      </c>
      <c r="BF27" s="26">
        <f>$AR26</f>
        <v>3.9090334164842475</v>
      </c>
      <c r="BG27" s="26">
        <f>$AR50</f>
        <v>3.5880573406300043</v>
      </c>
      <c r="BH27" s="26">
        <f>$AR27</f>
        <v>2.6956391138296674</v>
      </c>
      <c r="BI27" s="26">
        <f>$AR28</f>
        <v>2.6826274429663219</v>
      </c>
      <c r="BJ27" s="5"/>
      <c r="BK27" s="23">
        <v>76</v>
      </c>
      <c r="BL27" s="23">
        <f t="shared" si="2"/>
        <v>0</v>
      </c>
      <c r="BM27" s="23">
        <f t="shared" si="3"/>
        <v>0</v>
      </c>
      <c r="BN27" s="23">
        <f t="shared" si="4"/>
        <v>0</v>
      </c>
      <c r="BO27" s="23">
        <f t="shared" si="5"/>
        <v>0</v>
      </c>
      <c r="BP27" s="23">
        <f t="shared" si="6"/>
        <v>0</v>
      </c>
      <c r="BQ27" s="23">
        <f t="shared" si="7"/>
        <v>0</v>
      </c>
      <c r="BR27" s="23">
        <f t="shared" si="8"/>
        <v>0</v>
      </c>
      <c r="BS27" s="23">
        <f t="shared" si="9"/>
        <v>0</v>
      </c>
      <c r="BT27" s="23">
        <f t="shared" si="10"/>
        <v>0</v>
      </c>
      <c r="BU27" s="23">
        <f t="shared" si="11"/>
        <v>0</v>
      </c>
      <c r="BV27" s="23">
        <f t="shared" si="12"/>
        <v>0</v>
      </c>
      <c r="BW27" s="23">
        <f t="shared" si="13"/>
        <v>0</v>
      </c>
      <c r="BX27" s="23"/>
      <c r="BY27" s="23">
        <v>40</v>
      </c>
      <c r="BZ27" s="24">
        <f t="shared" si="50"/>
        <v>20.188352537947978</v>
      </c>
      <c r="CA27" s="24">
        <f t="shared" si="49"/>
        <v>10.833021692412425</v>
      </c>
      <c r="CB27" s="24">
        <f t="shared" si="48"/>
        <v>2.0976817974184714</v>
      </c>
      <c r="CC27" s="24">
        <f t="shared" si="51"/>
        <v>1.1833371244593118</v>
      </c>
      <c r="CE27" s="1">
        <f t="shared" si="45"/>
        <v>0.7491864463801694</v>
      </c>
      <c r="CF27" s="26">
        <f t="shared" si="47"/>
        <v>0.82930251304899372</v>
      </c>
      <c r="CG27" s="26">
        <f t="shared" si="47"/>
        <v>0.38690438868892107</v>
      </c>
      <c r="CH27" s="26">
        <f t="shared" si="47"/>
        <v>0.13955670695577072</v>
      </c>
      <c r="CI27" s="26">
        <f t="shared" si="47"/>
        <v>2.9274760146012425E-2</v>
      </c>
      <c r="CK27" s="5">
        <v>0.35</v>
      </c>
      <c r="CL27" s="5">
        <v>0.21805099627413727</v>
      </c>
      <c r="CM27" s="5">
        <v>1.650957543218468</v>
      </c>
      <c r="CN27" s="26">
        <v>8.5606615243366857</v>
      </c>
      <c r="CQ27" s="1">
        <f>CQ26-2</f>
        <v>40</v>
      </c>
      <c r="CR27" s="23">
        <f t="shared" ref="CR27:CR43" si="52">$AY$24*(CQ27/100)^(-$AY$25)+$AY$23/($BK45/100)*36*$AY$29</f>
        <v>0.14356754722899359</v>
      </c>
      <c r="CS27" s="23">
        <f t="shared" ref="CS27:CS43" si="53">$AZ$24*(CQ27/100)^(-$AZ$25)+$AZ$23/($BK45/100)*36*$AZ$29</f>
        <v>0.82760324417352549</v>
      </c>
      <c r="CT27" s="23">
        <f t="shared" ref="CT27:CT43" si="54">$BA$24*(CQ27/100)^(-$BA$25)+$BA$23/($BK45/100)*36*$BA$29</f>
        <v>4.9586444722123169</v>
      </c>
      <c r="CU27" s="23">
        <f t="shared" ref="CU27:CU42" si="55">$BB$24*(CQ27/100)^(-$BB$25)+$BB$23/($BK45/100)*36*$BB$29</f>
        <v>15.447162600450485</v>
      </c>
    </row>
    <row r="28" spans="2:99" x14ac:dyDescent="0.2">
      <c r="B28" s="1">
        <v>11</v>
      </c>
      <c r="C28" s="1" t="s">
        <v>130</v>
      </c>
      <c r="D28" s="1">
        <v>140</v>
      </c>
      <c r="F28" s="5">
        <v>0.12736428571428574</v>
      </c>
      <c r="G28" s="5">
        <v>0.54555714285714296</v>
      </c>
      <c r="H28" s="5">
        <v>2.88</v>
      </c>
      <c r="I28" s="5">
        <v>1</v>
      </c>
      <c r="J28" s="5">
        <v>0</v>
      </c>
      <c r="K28" s="5">
        <v>0</v>
      </c>
      <c r="L28" s="5"/>
      <c r="M28" s="5">
        <f t="shared" si="14"/>
        <v>0.31862892619568156</v>
      </c>
      <c r="N28" s="5">
        <f t="shared" si="15"/>
        <v>0.43455169849824726</v>
      </c>
      <c r="O28" s="5">
        <f t="shared" si="16"/>
        <v>0.53114249045657214</v>
      </c>
      <c r="P28" s="5">
        <f t="shared" si="17"/>
        <v>0.1159227723025657</v>
      </c>
      <c r="Q28" s="5">
        <f t="shared" si="18"/>
        <v>2.1032276635456717</v>
      </c>
      <c r="R28" s="5">
        <f t="shared" si="19"/>
        <v>1.2424724002900838</v>
      </c>
      <c r="S28" s="5">
        <f t="shared" si="44"/>
        <v>0.50782942765707106</v>
      </c>
      <c r="T28" s="5">
        <f t="shared" si="20"/>
        <v>0</v>
      </c>
      <c r="U28" s="5">
        <f t="shared" si="21"/>
        <v>1.2424724002900838</v>
      </c>
      <c r="W28" s="25">
        <f t="shared" si="29"/>
        <v>0.29704291771551017</v>
      </c>
      <c r="X28" s="25">
        <f t="shared" si="22"/>
        <v>0.31862892619568156</v>
      </c>
      <c r="Y28" s="25">
        <f t="shared" si="30"/>
        <v>0.39628053068040814</v>
      </c>
      <c r="Z28" s="25">
        <f t="shared" si="23"/>
        <v>0.43455169849824726</v>
      </c>
      <c r="AA28" s="5">
        <f t="shared" si="31"/>
        <v>0.10571218072897959</v>
      </c>
      <c r="AB28" s="5">
        <f t="shared" si="24"/>
        <v>6.5945127672610612E-2</v>
      </c>
      <c r="AC28" s="5">
        <f t="shared" si="32"/>
        <v>0.50049682617085789</v>
      </c>
      <c r="AD28" s="25">
        <f t="shared" si="33"/>
        <v>3.0645664285714282E-2</v>
      </c>
      <c r="AE28" s="5">
        <f t="shared" si="34"/>
        <v>0.53114249045657214</v>
      </c>
      <c r="AF28" s="5">
        <f t="shared" si="25"/>
        <v>1.2424724002900838</v>
      </c>
      <c r="AG28" s="5">
        <f t="shared" si="35"/>
        <v>1.2424724002900838</v>
      </c>
      <c r="AH28" s="5">
        <f t="shared" si="26"/>
        <v>0.53114249045657214</v>
      </c>
      <c r="AI28" s="25">
        <f t="shared" si="36"/>
        <v>0</v>
      </c>
      <c r="AJ28" s="25">
        <f t="shared" si="37"/>
        <v>0.43455169849824726</v>
      </c>
      <c r="AK28" s="25">
        <f t="shared" si="38"/>
        <v>9.6590791958324873E-2</v>
      </c>
      <c r="AL28" s="25">
        <f t="shared" si="39"/>
        <v>8.1297113710125296E-2</v>
      </c>
      <c r="AM28" s="25">
        <f t="shared" si="40"/>
        <v>1</v>
      </c>
      <c r="AN28" s="26">
        <f t="shared" si="41"/>
        <v>2.1032276635456717</v>
      </c>
      <c r="AO28" s="5">
        <f t="shared" si="42"/>
        <v>12.300559692261906</v>
      </c>
      <c r="AP28" s="25">
        <f t="shared" si="43"/>
        <v>1.1647191365648218E-3</v>
      </c>
      <c r="AQ28" s="26">
        <f t="shared" si="27"/>
        <v>3.5322362798554465</v>
      </c>
      <c r="AR28" s="26">
        <f t="shared" si="28"/>
        <v>2.6826274429663219</v>
      </c>
      <c r="AS28" s="5"/>
      <c r="AU28" s="5"/>
      <c r="AV28" s="5" t="s">
        <v>90</v>
      </c>
      <c r="AW28" s="5"/>
      <c r="AX28" s="5">
        <f t="shared" ref="AX28:BI28" si="56">AX21-AX22</f>
        <v>5.8387819959092147E-2</v>
      </c>
      <c r="AY28" s="5">
        <f t="shared" si="56"/>
        <v>6.7903368089748103E-2</v>
      </c>
      <c r="AZ28" s="5">
        <f t="shared" si="56"/>
        <v>0.1017018110013907</v>
      </c>
      <c r="BA28" s="5">
        <f t="shared" si="56"/>
        <v>0.14468509422340128</v>
      </c>
      <c r="BB28" s="5">
        <f t="shared" si="56"/>
        <v>0.20274799359641787</v>
      </c>
      <c r="BC28" s="5">
        <f t="shared" si="56"/>
        <v>0.2426816239597954</v>
      </c>
      <c r="BD28" s="5">
        <f t="shared" si="56"/>
        <v>0.11170563693298416</v>
      </c>
      <c r="BE28" s="5">
        <f t="shared" si="56"/>
        <v>0.1487474897071879</v>
      </c>
      <c r="BF28" s="5">
        <f t="shared" si="56"/>
        <v>0.17844763017700049</v>
      </c>
      <c r="BG28" s="5">
        <f t="shared" si="56"/>
        <v>0.11247410283000006</v>
      </c>
      <c r="BH28" s="5">
        <f t="shared" si="56"/>
        <v>0.13674650273270933</v>
      </c>
      <c r="BI28" s="5">
        <f t="shared" si="56"/>
        <v>0.1159227723025657</v>
      </c>
      <c r="BJ28" s="5"/>
      <c r="BK28" s="23">
        <v>74</v>
      </c>
      <c r="BL28" s="23">
        <f t="shared" si="2"/>
        <v>0</v>
      </c>
      <c r="BM28" s="23">
        <f t="shared" si="3"/>
        <v>0</v>
      </c>
      <c r="BN28" s="23">
        <f t="shared" si="4"/>
        <v>0</v>
      </c>
      <c r="BO28" s="23">
        <f t="shared" si="5"/>
        <v>0</v>
      </c>
      <c r="BP28" s="23">
        <f t="shared" si="6"/>
        <v>0</v>
      </c>
      <c r="BQ28" s="23">
        <f t="shared" si="7"/>
        <v>0</v>
      </c>
      <c r="BR28" s="23">
        <f t="shared" si="8"/>
        <v>0</v>
      </c>
      <c r="BS28" s="23">
        <f t="shared" si="9"/>
        <v>0</v>
      </c>
      <c r="BT28" s="23">
        <f t="shared" si="10"/>
        <v>0</v>
      </c>
      <c r="BU28" s="23">
        <f t="shared" si="11"/>
        <v>0</v>
      </c>
      <c r="BV28" s="23">
        <f t="shared" si="12"/>
        <v>0</v>
      </c>
      <c r="BW28" s="23">
        <f t="shared" si="13"/>
        <v>0</v>
      </c>
      <c r="BX28" s="23"/>
      <c r="BY28" s="23">
        <v>38</v>
      </c>
      <c r="BZ28" s="24">
        <f t="shared" si="50"/>
        <v>10.961557377029031</v>
      </c>
      <c r="CA28" s="24">
        <f t="shared" si="49"/>
        <v>5.6992076374128962</v>
      </c>
      <c r="CB28" s="24">
        <f t="shared" si="48"/>
        <v>1.0576739472877956</v>
      </c>
      <c r="CC28" s="24">
        <f t="shared" si="51"/>
        <v>0.67079439421390841</v>
      </c>
      <c r="CE28" s="1">
        <f t="shared" si="45"/>
        <v>0.7117271240611609</v>
      </c>
      <c r="CF28" s="26">
        <f t="shared" si="47"/>
        <v>0.45271588181167832</v>
      </c>
      <c r="CG28" s="26">
        <f t="shared" si="47"/>
        <v>0.20977470317076707</v>
      </c>
      <c r="CH28" s="26">
        <f t="shared" si="47"/>
        <v>7.5128609669685514E-2</v>
      </c>
      <c r="CI28" s="26">
        <f t="shared" si="47"/>
        <v>1.5642724394539453E-2</v>
      </c>
      <c r="CK28" s="5">
        <v>0.4</v>
      </c>
      <c r="CL28" s="5">
        <v>0.2566437511884162</v>
      </c>
      <c r="CM28" s="5">
        <v>1.700264851623257</v>
      </c>
      <c r="CN28" s="26">
        <v>7.998976392864062</v>
      </c>
      <c r="CQ28" s="1">
        <f>CQ27-2</f>
        <v>38</v>
      </c>
      <c r="CR28" s="23">
        <f t="shared" si="52"/>
        <v>0.18040808557182483</v>
      </c>
      <c r="CS28" s="23">
        <f t="shared" si="53"/>
        <v>1.0565137629091621</v>
      </c>
      <c r="CT28" s="23">
        <f t="shared" si="54"/>
        <v>6.4660979691443634</v>
      </c>
      <c r="CU28" s="23">
        <f t="shared" si="55"/>
        <v>18.997377754084948</v>
      </c>
    </row>
    <row r="29" spans="2:99" ht="15.75" x14ac:dyDescent="0.25">
      <c r="B29" s="10" t="s">
        <v>92</v>
      </c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W29" s="25"/>
      <c r="X29" s="25"/>
      <c r="Y29" s="25"/>
      <c r="Z29" s="25"/>
      <c r="AA29" s="5"/>
      <c r="AB29" s="5"/>
      <c r="AC29" s="5"/>
      <c r="AD29" s="25"/>
      <c r="AE29" s="5"/>
      <c r="AF29" s="5"/>
      <c r="AG29" s="5"/>
      <c r="AH29" s="5"/>
      <c r="AI29" s="25"/>
      <c r="AJ29" s="25"/>
      <c r="AK29" s="25"/>
      <c r="AL29" s="25"/>
      <c r="AM29" s="25"/>
      <c r="AN29" s="26"/>
      <c r="AO29" s="5"/>
      <c r="AP29" s="25"/>
      <c r="AQ29" s="26"/>
      <c r="AR29" s="26"/>
      <c r="AS29" s="5"/>
      <c r="AV29" s="1" t="s">
        <v>91</v>
      </c>
      <c r="AX29" s="5">
        <f>$K18</f>
        <v>0</v>
      </c>
      <c r="AY29" s="5">
        <f>K19</f>
        <v>0</v>
      </c>
      <c r="AZ29" s="5">
        <f>K20</f>
        <v>0</v>
      </c>
      <c r="BA29" s="5">
        <f>K21</f>
        <v>0</v>
      </c>
      <c r="BB29" s="5">
        <f>$K22</f>
        <v>0</v>
      </c>
      <c r="BC29" s="5">
        <f>$K23</f>
        <v>0</v>
      </c>
      <c r="BD29" s="5">
        <f>$K24</f>
        <v>0</v>
      </c>
      <c r="BE29" s="5">
        <f>$K25</f>
        <v>0</v>
      </c>
      <c r="BF29" s="5">
        <f>$K26</f>
        <v>0</v>
      </c>
      <c r="BG29" s="5">
        <f>$K50</f>
        <v>0</v>
      </c>
      <c r="BH29" s="5">
        <f>$K27</f>
        <v>0</v>
      </c>
      <c r="BI29" s="5">
        <f>$K28</f>
        <v>0</v>
      </c>
      <c r="BJ29" s="5"/>
      <c r="BK29" s="23">
        <v>72</v>
      </c>
      <c r="BL29" s="23">
        <f t="shared" si="2"/>
        <v>0</v>
      </c>
      <c r="BM29" s="23">
        <f t="shared" si="3"/>
        <v>0</v>
      </c>
      <c r="BN29" s="23">
        <f t="shared" si="4"/>
        <v>0</v>
      </c>
      <c r="BO29" s="23">
        <f t="shared" si="5"/>
        <v>0</v>
      </c>
      <c r="BP29" s="23">
        <f t="shared" si="6"/>
        <v>0</v>
      </c>
      <c r="BQ29" s="23">
        <f t="shared" si="7"/>
        <v>0</v>
      </c>
      <c r="BR29" s="23">
        <f t="shared" si="8"/>
        <v>0</v>
      </c>
      <c r="BS29" s="23">
        <f t="shared" si="9"/>
        <v>0</v>
      </c>
      <c r="BT29" s="23">
        <f t="shared" si="10"/>
        <v>0</v>
      </c>
      <c r="BU29" s="23">
        <f t="shared" si="11"/>
        <v>0</v>
      </c>
      <c r="BV29" s="23">
        <f t="shared" si="12"/>
        <v>0</v>
      </c>
      <c r="BW29" s="23">
        <f t="shared" si="13"/>
        <v>0</v>
      </c>
      <c r="BX29" s="23"/>
      <c r="BY29" s="23">
        <v>36</v>
      </c>
      <c r="BZ29" s="24">
        <f t="shared" si="50"/>
        <v>5.7583777885632843</v>
      </c>
      <c r="CA29" s="24">
        <f t="shared" si="49"/>
        <v>2.8959737001779335</v>
      </c>
      <c r="CB29" s="24">
        <f t="shared" si="48"/>
        <v>0.51390323994743892</v>
      </c>
      <c r="CC29" s="24">
        <f t="shared" si="51"/>
        <v>0.36875564556106322</v>
      </c>
      <c r="CE29" s="1">
        <f t="shared" si="45"/>
        <v>0.6742678017421524</v>
      </c>
      <c r="CF29" s="26">
        <f t="shared" si="47"/>
        <v>0.2391782097609618</v>
      </c>
      <c r="CG29" s="26">
        <f t="shared" si="47"/>
        <v>0.11003363297820933</v>
      </c>
      <c r="CH29" s="26">
        <f t="shared" si="47"/>
        <v>3.9112493268458191E-2</v>
      </c>
      <c r="CI29" s="26">
        <f t="shared" si="47"/>
        <v>8.0800113853484665E-3</v>
      </c>
      <c r="CK29" s="5">
        <v>0.45</v>
      </c>
      <c r="CL29" s="5">
        <v>0.29761268640397059</v>
      </c>
      <c r="CM29" s="5">
        <v>1.7526080421567158</v>
      </c>
      <c r="CN29" s="26">
        <v>7.4233555256411936</v>
      </c>
      <c r="CQ29" s="1">
        <f>CQ28-2</f>
        <v>36</v>
      </c>
      <c r="CR29" s="23">
        <f t="shared" si="52"/>
        <v>0.22951993267432516</v>
      </c>
      <c r="CS29" s="23">
        <f t="shared" si="53"/>
        <v>1.3666693296249419</v>
      </c>
      <c r="CT29" s="23">
        <f t="shared" si="54"/>
        <v>8.5537363944432734</v>
      </c>
      <c r="CU29" s="23">
        <f t="shared" si="55"/>
        <v>23.626391061366206</v>
      </c>
    </row>
    <row r="30" spans="2:99" x14ac:dyDescent="0.2">
      <c r="B30" s="1">
        <v>3</v>
      </c>
      <c r="F30" s="5">
        <v>0.05</v>
      </c>
      <c r="G30" s="5">
        <v>0.05</v>
      </c>
      <c r="H30" s="5">
        <v>1</v>
      </c>
      <c r="I30" s="5">
        <v>1.2</v>
      </c>
      <c r="J30" s="5">
        <v>0</v>
      </c>
      <c r="K30" s="5">
        <v>0</v>
      </c>
      <c r="L30" s="5"/>
      <c r="M30" s="5">
        <f>X30</f>
        <v>4.8308799999999999E-2</v>
      </c>
      <c r="N30" s="5">
        <f>AJ30</f>
        <v>0.27500747938508802</v>
      </c>
      <c r="O30" s="5">
        <f>AH30</f>
        <v>0.29524175313664003</v>
      </c>
      <c r="P30" s="5">
        <f>(N30-M30)*(1-T30)</f>
        <v>0.22669867938508803</v>
      </c>
      <c r="Q30" s="5">
        <f>AN30</f>
        <v>9.4557383110166496E-2</v>
      </c>
      <c r="R30" s="5">
        <f>AG30</f>
        <v>1.8676093541879037</v>
      </c>
      <c r="S30" s="5">
        <f>N30-(S$16-33)*(O30-N30)/(33-AR30)</f>
        <v>0.46340688873350877</v>
      </c>
      <c r="T30" s="5">
        <f>((R30/2.65)*J30)/(1-J30*(1-R30/2.65))</f>
        <v>0</v>
      </c>
      <c r="U30" s="5">
        <f>T30*2.65+(1-T30)*R30</f>
        <v>1.8676093541879037</v>
      </c>
      <c r="W30" s="25">
        <f t="shared" si="29"/>
        <v>5.9920000000000001E-2</v>
      </c>
      <c r="X30" s="25">
        <f t="shared" si="22"/>
        <v>4.8308799999999999E-2</v>
      </c>
      <c r="Y30" s="25">
        <f t="shared" si="30"/>
        <v>0.30728</v>
      </c>
      <c r="Z30" s="25">
        <f t="shared" si="23"/>
        <v>0.2984994209472</v>
      </c>
      <c r="AA30" s="5">
        <f t="shared" si="31"/>
        <v>0.11189</v>
      </c>
      <c r="AB30" s="5">
        <f t="shared" si="24"/>
        <v>7.6052040000000015E-2</v>
      </c>
      <c r="AC30" s="5">
        <f t="shared" si="32"/>
        <v>0.37455146094720004</v>
      </c>
      <c r="AD30" s="25">
        <f t="shared" si="33"/>
        <v>3.8149999999999996E-2</v>
      </c>
      <c r="AE30" s="5">
        <f t="shared" si="34"/>
        <v>0.41270146094720006</v>
      </c>
      <c r="AF30" s="5">
        <f t="shared" si="25"/>
        <v>1.5563411284899198</v>
      </c>
      <c r="AG30" s="5">
        <f t="shared" si="35"/>
        <v>1.8676093541879037</v>
      </c>
      <c r="AH30" s="5">
        <f t="shared" si="26"/>
        <v>0.29524175313664003</v>
      </c>
      <c r="AI30" s="25">
        <f t="shared" si="36"/>
        <v>-0.11745970781056003</v>
      </c>
      <c r="AJ30" s="25">
        <f t="shared" si="37"/>
        <v>0.27500747938508802</v>
      </c>
      <c r="AK30" s="25">
        <f t="shared" si="38"/>
        <v>2.0234273751552012E-2</v>
      </c>
      <c r="AL30" s="25">
        <f t="shared" si="39"/>
        <v>0.45567603218781183</v>
      </c>
      <c r="AM30" s="25">
        <f t="shared" si="40"/>
        <v>1</v>
      </c>
      <c r="AN30" s="26">
        <f t="shared" si="41"/>
        <v>9.4557383110166496E-2</v>
      </c>
      <c r="AO30" s="5">
        <f t="shared" si="42"/>
        <v>2.1945415807778081</v>
      </c>
      <c r="AP30" s="25">
        <f t="shared" si="43"/>
        <v>1.941476529475999</v>
      </c>
      <c r="AQ30" s="26">
        <f t="shared" si="27"/>
        <v>23.137465651715502</v>
      </c>
      <c r="AR30" s="26">
        <f t="shared" si="28"/>
        <v>30.529778368757942</v>
      </c>
      <c r="AS30" s="5"/>
      <c r="AU30" s="5"/>
      <c r="AV30" s="1" t="s">
        <v>93</v>
      </c>
      <c r="AW30" s="5"/>
      <c r="AX30" s="5">
        <f t="shared" ref="AX30:BI30" si="57">(1-AX23)*2.65</f>
        <v>1.4487260169500111</v>
      </c>
      <c r="AY30" s="5">
        <f t="shared" si="57"/>
        <v>1.4431061973931048</v>
      </c>
      <c r="AZ30" s="5">
        <f t="shared" si="57"/>
        <v>1.4561680345432908</v>
      </c>
      <c r="BA30" s="5">
        <f t="shared" si="57"/>
        <v>1.3950505503543682</v>
      </c>
      <c r="BB30" s="5">
        <f t="shared" si="57"/>
        <v>1.3122115866441391</v>
      </c>
      <c r="BC30" s="5">
        <f t="shared" si="57"/>
        <v>1.4239544883077646</v>
      </c>
      <c r="BD30" s="5">
        <f t="shared" si="57"/>
        <v>1.4895676628034886</v>
      </c>
      <c r="BE30" s="5">
        <f t="shared" si="57"/>
        <v>1.3336107378659472</v>
      </c>
      <c r="BF30" s="5">
        <f t="shared" si="57"/>
        <v>1.2019560669082168</v>
      </c>
      <c r="BG30" s="5">
        <f t="shared" si="57"/>
        <v>1.4739567575004997</v>
      </c>
      <c r="BH30" s="5">
        <f t="shared" si="57"/>
        <v>1.2120907068346456</v>
      </c>
      <c r="BI30" s="5">
        <f t="shared" si="57"/>
        <v>1.2424724002900838</v>
      </c>
      <c r="BJ30" s="5"/>
      <c r="BK30" s="23">
        <v>70</v>
      </c>
      <c r="BL30" s="23">
        <f t="shared" si="2"/>
        <v>0</v>
      </c>
      <c r="BM30" s="23">
        <f t="shared" si="3"/>
        <v>0</v>
      </c>
      <c r="BN30" s="23">
        <f t="shared" si="4"/>
        <v>0</v>
      </c>
      <c r="BO30" s="23">
        <f t="shared" si="5"/>
        <v>0</v>
      </c>
      <c r="BP30" s="23">
        <f t="shared" si="6"/>
        <v>0</v>
      </c>
      <c r="BQ30" s="23">
        <f t="shared" si="7"/>
        <v>0</v>
      </c>
      <c r="BR30" s="23">
        <f t="shared" si="8"/>
        <v>0</v>
      </c>
      <c r="BS30" s="23">
        <f t="shared" si="9"/>
        <v>0</v>
      </c>
      <c r="BT30" s="23">
        <f t="shared" si="10"/>
        <v>0</v>
      </c>
      <c r="BU30" s="23">
        <f t="shared" si="11"/>
        <v>0</v>
      </c>
      <c r="BV30" s="23">
        <f t="shared" si="12"/>
        <v>0</v>
      </c>
      <c r="BW30" s="23">
        <f t="shared" si="13"/>
        <v>0</v>
      </c>
      <c r="BX30" s="23"/>
      <c r="BY30" s="23">
        <v>34</v>
      </c>
      <c r="BZ30" s="24">
        <f t="shared" si="50"/>
        <v>2.915708029359291</v>
      </c>
      <c r="CA30" s="24">
        <f t="shared" si="49"/>
        <v>1.4156787382546572</v>
      </c>
      <c r="CB30" s="24">
        <f t="shared" si="48"/>
        <v>0.23960110465175916</v>
      </c>
      <c r="CC30" s="24">
        <f t="shared" si="51"/>
        <v>0.19589865283684277</v>
      </c>
      <c r="CE30" s="1">
        <f t="shared" si="45"/>
        <v>0.636808479423144</v>
      </c>
      <c r="CF30" s="26">
        <f t="shared" si="47"/>
        <v>0.12183570482790193</v>
      </c>
      <c r="CG30" s="26">
        <f t="shared" si="47"/>
        <v>5.5625803228133368E-2</v>
      </c>
      <c r="CH30" s="26">
        <f t="shared" si="47"/>
        <v>1.9616324959359152E-2</v>
      </c>
      <c r="CI30" s="26">
        <f t="shared" si="47"/>
        <v>4.0189125403382545E-3</v>
      </c>
      <c r="CK30" s="5">
        <v>0.5</v>
      </c>
      <c r="CL30" s="5">
        <v>0.34118422686778971</v>
      </c>
      <c r="CM30" s="5">
        <v>1.8082764023992852</v>
      </c>
      <c r="CN30" s="26">
        <v>6.8332737774896826</v>
      </c>
      <c r="CQ30" s="1">
        <v>34</v>
      </c>
      <c r="CR30" s="23">
        <f t="shared" si="52"/>
        <v>0.29604865538684544</v>
      </c>
      <c r="CS30" s="23">
        <f t="shared" si="53"/>
        <v>1.7940850390369762</v>
      </c>
      <c r="CT30" s="23">
        <f t="shared" si="54"/>
        <v>11.497853122196007</v>
      </c>
      <c r="CU30" s="23">
        <f t="shared" si="55"/>
        <v>29.751963103559824</v>
      </c>
    </row>
    <row r="31" spans="2:99" x14ac:dyDescent="0.2">
      <c r="B31" s="1">
        <v>5</v>
      </c>
      <c r="F31" s="5">
        <v>0.15038994565217392</v>
      </c>
      <c r="G31" s="5">
        <v>0.1801073369565219</v>
      </c>
      <c r="H31" s="5">
        <v>3.0452492391304342</v>
      </c>
      <c r="I31" s="5">
        <v>1</v>
      </c>
      <c r="J31" s="5">
        <v>0</v>
      </c>
      <c r="K31" s="5">
        <v>0</v>
      </c>
      <c r="M31" s="5">
        <f>X31</f>
        <v>0.1286286654128268</v>
      </c>
      <c r="N31" s="5">
        <f>AJ31</f>
        <v>0.33137665900924468</v>
      </c>
      <c r="O31" s="5">
        <f>AH31</f>
        <v>0.50482581636070223</v>
      </c>
      <c r="P31" s="5">
        <f>(N31-M31)*(1-T31)</f>
        <v>0.20274799359641787</v>
      </c>
      <c r="Q31" s="5">
        <f>AN31</f>
        <v>15.54946932044418</v>
      </c>
      <c r="R31" s="5">
        <f>AG31</f>
        <v>1.3122115866441388</v>
      </c>
      <c r="S31" s="5">
        <f>N31-(S$16-33)*(O31-N31)/(33-AR31)</f>
        <v>0.4828378667433999</v>
      </c>
      <c r="T31" s="5">
        <f>((R31/2.65)*J31)/(1-J31*(1-R31/2.65))</f>
        <v>0</v>
      </c>
      <c r="U31" s="5">
        <f>T31*2.65+(1-T31)*R31</f>
        <v>1.3122115866441388</v>
      </c>
      <c r="W31" s="25">
        <f t="shared" si="29"/>
        <v>0.13037602229195333</v>
      </c>
      <c r="X31" s="25">
        <f t="shared" si="22"/>
        <v>0.1286286654128268</v>
      </c>
      <c r="Y31" s="25">
        <f t="shared" si="30"/>
        <v>0.33005293079394304</v>
      </c>
      <c r="Z31" s="25">
        <f t="shared" si="23"/>
        <v>0.33137665900924468</v>
      </c>
      <c r="AA31" s="5">
        <f t="shared" si="31"/>
        <v>0.15405683501205292</v>
      </c>
      <c r="AB31" s="5">
        <f t="shared" si="24"/>
        <v>0.14503698207971857</v>
      </c>
      <c r="AC31" s="5">
        <f t="shared" si="32"/>
        <v>0.47641364108896322</v>
      </c>
      <c r="AD31" s="25">
        <f t="shared" si="33"/>
        <v>2.8412175271739126E-2</v>
      </c>
      <c r="AE31" s="5">
        <f t="shared" si="34"/>
        <v>0.50482581636070234</v>
      </c>
      <c r="AF31" s="5">
        <f t="shared" si="25"/>
        <v>1.3122115866441388</v>
      </c>
      <c r="AG31" s="5">
        <f t="shared" si="35"/>
        <v>1.3122115866441388</v>
      </c>
      <c r="AH31" s="5">
        <f t="shared" si="26"/>
        <v>0.50482581636070223</v>
      </c>
      <c r="AI31" s="25">
        <f t="shared" si="36"/>
        <v>0</v>
      </c>
      <c r="AJ31" s="25">
        <f t="shared" si="37"/>
        <v>0.33137665900924468</v>
      </c>
      <c r="AK31" s="25">
        <f t="shared" si="38"/>
        <v>0.17344915735145755</v>
      </c>
      <c r="AL31" s="25">
        <f t="shared" si="39"/>
        <v>0.24794267308849663</v>
      </c>
      <c r="AM31" s="25">
        <f t="shared" si="40"/>
        <v>1</v>
      </c>
      <c r="AN31" s="26">
        <f t="shared" si="41"/>
        <v>15.54946932044418</v>
      </c>
      <c r="AO31" s="5">
        <f t="shared" si="42"/>
        <v>4.0331903643027847</v>
      </c>
      <c r="AP31" s="25">
        <f t="shared" si="43"/>
        <v>0.38360204125600778</v>
      </c>
      <c r="AQ31" s="26">
        <f t="shared" si="27"/>
        <v>7.1470505608210146</v>
      </c>
      <c r="AR31" s="26">
        <f t="shared" si="28"/>
        <v>6.6610404818268796</v>
      </c>
      <c r="AS31" s="5"/>
      <c r="AV31" s="1" t="s">
        <v>94</v>
      </c>
      <c r="AX31" s="5">
        <f t="shared" ref="AX31:BI31" si="58">AX30/2.65</f>
        <v>0.54668906300000419</v>
      </c>
      <c r="AY31" s="5">
        <f t="shared" si="58"/>
        <v>0.54456837637475652</v>
      </c>
      <c r="AZ31" s="5">
        <f t="shared" si="58"/>
        <v>0.54949737152577016</v>
      </c>
      <c r="BA31" s="5">
        <f t="shared" si="58"/>
        <v>0.52643416994504466</v>
      </c>
      <c r="BB31" s="5">
        <f t="shared" si="58"/>
        <v>0.49517418363929777</v>
      </c>
      <c r="BC31" s="5">
        <f t="shared" si="58"/>
        <v>0.53734131634255267</v>
      </c>
      <c r="BD31" s="5">
        <f t="shared" si="58"/>
        <v>0.56210100483150516</v>
      </c>
      <c r="BE31" s="5">
        <f t="shared" si="58"/>
        <v>0.50324933504375369</v>
      </c>
      <c r="BF31" s="5">
        <f t="shared" si="58"/>
        <v>0.45356832713517614</v>
      </c>
      <c r="BG31" s="5">
        <f t="shared" si="58"/>
        <v>0.55621009716999992</v>
      </c>
      <c r="BH31" s="5">
        <f t="shared" si="58"/>
        <v>0.45739271956024363</v>
      </c>
      <c r="BI31" s="5">
        <f t="shared" si="58"/>
        <v>0.46885750954342786</v>
      </c>
      <c r="BJ31" s="5"/>
      <c r="BK31" s="23">
        <v>68</v>
      </c>
      <c r="BL31" s="23">
        <f t="shared" si="2"/>
        <v>0</v>
      </c>
      <c r="BM31" s="23">
        <f t="shared" si="3"/>
        <v>0</v>
      </c>
      <c r="BN31" s="23">
        <f t="shared" si="4"/>
        <v>0</v>
      </c>
      <c r="BO31" s="23">
        <f t="shared" si="5"/>
        <v>0</v>
      </c>
      <c r="BP31" s="23">
        <f t="shared" si="6"/>
        <v>0</v>
      </c>
      <c r="BQ31" s="23">
        <f t="shared" si="7"/>
        <v>0</v>
      </c>
      <c r="BR31" s="23">
        <f t="shared" si="8"/>
        <v>0</v>
      </c>
      <c r="BS31" s="23">
        <f t="shared" si="9"/>
        <v>0</v>
      </c>
      <c r="BT31" s="23">
        <f t="shared" si="10"/>
        <v>0</v>
      </c>
      <c r="BU31" s="23">
        <f t="shared" si="11"/>
        <v>0</v>
      </c>
      <c r="BV31" s="23">
        <f t="shared" si="12"/>
        <v>0</v>
      </c>
      <c r="BW31" s="23">
        <f t="shared" si="13"/>
        <v>0</v>
      </c>
      <c r="BX31" s="23"/>
      <c r="BY31" s="23">
        <v>32</v>
      </c>
      <c r="BZ31" s="24">
        <f t="shared" si="50"/>
        <v>1.4166571526666125</v>
      </c>
      <c r="CA31" s="24">
        <f t="shared" si="49"/>
        <v>0.6626518550420113</v>
      </c>
      <c r="CB31" s="24">
        <f t="shared" si="48"/>
        <v>0.10665959411360379</v>
      </c>
      <c r="CC31" s="24">
        <f t="shared" si="51"/>
        <v>0.10015332898891266</v>
      </c>
      <c r="CE31" s="1">
        <f t="shared" si="45"/>
        <v>0.5993491571041355</v>
      </c>
      <c r="CF31" s="26">
        <f t="shared" si="47"/>
        <v>5.957480332055156E-2</v>
      </c>
      <c r="CG31" s="26">
        <f t="shared" si="47"/>
        <v>2.698124329674214E-2</v>
      </c>
      <c r="CH31" s="26">
        <f t="shared" si="47"/>
        <v>9.4350776108034426E-3</v>
      </c>
      <c r="CI31" s="26">
        <f t="shared" si="47"/>
        <v>1.9160735343759356E-3</v>
      </c>
      <c r="CK31" s="5">
        <v>0.55000000000000004</v>
      </c>
      <c r="CL31" s="5">
        <v>0.38761450914396078</v>
      </c>
      <c r="CM31" s="5">
        <v>1.8675971804209017</v>
      </c>
      <c r="CN31" s="26">
        <v>6.2281792819440156</v>
      </c>
      <c r="CQ31" s="1">
        <v>32</v>
      </c>
      <c r="CR31" s="23">
        <f t="shared" si="52"/>
        <v>0.38780135472843957</v>
      </c>
      <c r="CS31" s="23">
        <f t="shared" si="53"/>
        <v>2.3943589726576961</v>
      </c>
      <c r="CT31" s="23">
        <f t="shared" si="54"/>
        <v>15.7350378917806</v>
      </c>
      <c r="CU31" s="23">
        <f t="shared" si="55"/>
        <v>37.993145316178371</v>
      </c>
    </row>
    <row r="32" spans="2:99" x14ac:dyDescent="0.2">
      <c r="B32" s="1">
        <v>8</v>
      </c>
      <c r="F32" s="5">
        <v>0.29117692307692311</v>
      </c>
      <c r="G32" s="5">
        <v>0.3157692307692308</v>
      </c>
      <c r="H32" s="5">
        <v>3.5097987692307693</v>
      </c>
      <c r="I32" s="5">
        <v>1</v>
      </c>
      <c r="J32" s="5">
        <v>0</v>
      </c>
      <c r="K32" s="5">
        <v>0</v>
      </c>
      <c r="M32" s="5">
        <f>X32</f>
        <v>0.20321717607297188</v>
      </c>
      <c r="N32" s="5">
        <f>AJ32</f>
        <v>0.35196466578015978</v>
      </c>
      <c r="O32" s="5">
        <f>AH32</f>
        <v>0.49675066495624631</v>
      </c>
      <c r="P32" s="5">
        <f>(N32-M32)*(1-T32)</f>
        <v>0.1487474897071879</v>
      </c>
      <c r="Q32" s="5">
        <f>AN32</f>
        <v>7.7359772086592011</v>
      </c>
      <c r="R32" s="5">
        <f>AG32</f>
        <v>1.3336107378659472</v>
      </c>
      <c r="S32" s="5">
        <f>N32-(S$16-33)*(O32-N32)/(33-AR32)</f>
        <v>0.46699851192004732</v>
      </c>
      <c r="T32" s="5">
        <f>((R32/2.65)*J32)/(1-J32*(1-R32/2.65))</f>
        <v>0</v>
      </c>
      <c r="U32" s="5">
        <f>T32*2.65+(1-T32)*R32</f>
        <v>1.3336107378659472</v>
      </c>
      <c r="W32" s="25">
        <f t="shared" si="29"/>
        <v>0.1958045404148876</v>
      </c>
      <c r="X32" s="25">
        <f t="shared" si="22"/>
        <v>0.20321717607297188</v>
      </c>
      <c r="Y32" s="25">
        <f t="shared" si="30"/>
        <v>0.34386448913781775</v>
      </c>
      <c r="Z32" s="25">
        <f t="shared" si="23"/>
        <v>0.35196466578015978</v>
      </c>
      <c r="AA32" s="5">
        <f t="shared" si="31"/>
        <v>0.14488396131696096</v>
      </c>
      <c r="AB32" s="5">
        <f t="shared" si="24"/>
        <v>0.13003016071454815</v>
      </c>
      <c r="AC32" s="5">
        <f t="shared" si="32"/>
        <v>0.48199482649470793</v>
      </c>
      <c r="AD32" s="25">
        <f t="shared" si="33"/>
        <v>1.4755838461538454E-2</v>
      </c>
      <c r="AE32" s="5">
        <f t="shared" si="34"/>
        <v>0.49675066495624637</v>
      </c>
      <c r="AF32" s="5">
        <f t="shared" si="25"/>
        <v>1.3336107378659472</v>
      </c>
      <c r="AG32" s="5">
        <f t="shared" si="35"/>
        <v>1.3336107378659472</v>
      </c>
      <c r="AH32" s="5">
        <f t="shared" si="26"/>
        <v>0.49675066495624631</v>
      </c>
      <c r="AI32" s="25">
        <f t="shared" si="36"/>
        <v>0</v>
      </c>
      <c r="AJ32" s="25">
        <f t="shared" si="37"/>
        <v>0.35196466578015978</v>
      </c>
      <c r="AK32" s="25">
        <f t="shared" si="38"/>
        <v>0.14478599917608653</v>
      </c>
      <c r="AL32" s="25">
        <f t="shared" si="39"/>
        <v>0.14390801045221607</v>
      </c>
      <c r="AM32" s="25">
        <f t="shared" si="40"/>
        <v>1</v>
      </c>
      <c r="AN32" s="26">
        <f t="shared" si="41"/>
        <v>7.7359772086592011</v>
      </c>
      <c r="AO32" s="5">
        <f t="shared" si="42"/>
        <v>6.9488835045221116</v>
      </c>
      <c r="AP32" s="25">
        <f t="shared" si="43"/>
        <v>2.3291034677899374E-2</v>
      </c>
      <c r="AQ32" s="26">
        <f t="shared" si="27"/>
        <v>4.8304926580320888</v>
      </c>
      <c r="AR32" s="26">
        <f t="shared" si="28"/>
        <v>4.0513201740605016</v>
      </c>
      <c r="AS32" s="5"/>
      <c r="AV32" s="5" t="s">
        <v>95</v>
      </c>
      <c r="AX32" s="5">
        <f>(AX31*$J18)/(1-$J18*(1-AX31))</f>
        <v>0</v>
      </c>
      <c r="AY32" s="5">
        <f>(AY31*$J19)/(1-$J19*(1-AY31))</f>
        <v>0</v>
      </c>
      <c r="AZ32" s="5">
        <f>(AZ31*$J20)/(1-$J20*(1-AZ31))</f>
        <v>0</v>
      </c>
      <c r="BA32" s="5">
        <f>(BA31*$J21)/(1-$J21*(1-BA31))</f>
        <v>0</v>
      </c>
      <c r="BB32" s="5">
        <f>(BB31*$J22)/(1-$J22*(1-BB31))</f>
        <v>0</v>
      </c>
      <c r="BC32" s="5">
        <f>(BC31*$J23)/(1-$J23*(1-BC31))</f>
        <v>0</v>
      </c>
      <c r="BD32" s="5">
        <f>(BD31*$J24)/(1-$J24*(1-BD31))</f>
        <v>0</v>
      </c>
      <c r="BE32" s="5">
        <f>(BE31*$J25)/(1-$J25*(1-BE31))</f>
        <v>0</v>
      </c>
      <c r="BF32" s="5">
        <f>(BF31*$J26)/(1-$J26*(1-BF31))</f>
        <v>0</v>
      </c>
      <c r="BG32" s="5">
        <f>(BG31*$J50)/(1-$J50*(1-BG31))</f>
        <v>0</v>
      </c>
      <c r="BH32" s="5">
        <f>(BH31*$J27)/(1-$J27*(1-BH31))</f>
        <v>0</v>
      </c>
      <c r="BI32" s="5">
        <f>(BI31*$J28)/(1-$J28*(1-BI31))</f>
        <v>0</v>
      </c>
      <c r="BJ32" s="5"/>
      <c r="BK32" s="23">
        <v>66</v>
      </c>
      <c r="BL32" s="23">
        <f t="shared" si="2"/>
        <v>0</v>
      </c>
      <c r="BM32" s="23">
        <f t="shared" si="3"/>
        <v>0</v>
      </c>
      <c r="BN32" s="23">
        <f t="shared" si="4"/>
        <v>0</v>
      </c>
      <c r="BO32" s="23">
        <f t="shared" si="5"/>
        <v>0</v>
      </c>
      <c r="BP32" s="23">
        <f t="shared" si="6"/>
        <v>0</v>
      </c>
      <c r="BQ32" s="23">
        <f t="shared" si="7"/>
        <v>0</v>
      </c>
      <c r="BR32" s="23">
        <f t="shared" si="8"/>
        <v>0</v>
      </c>
      <c r="BS32" s="23">
        <f t="shared" si="9"/>
        <v>0</v>
      </c>
      <c r="BT32" s="23">
        <f t="shared" si="10"/>
        <v>0</v>
      </c>
      <c r="BU32" s="23">
        <f t="shared" si="11"/>
        <v>0</v>
      </c>
      <c r="BV32" s="23">
        <f t="shared" si="12"/>
        <v>0</v>
      </c>
      <c r="BW32" s="23">
        <f t="shared" si="13"/>
        <v>0</v>
      </c>
      <c r="BX32" s="23"/>
      <c r="BY32" s="23">
        <v>30</v>
      </c>
      <c r="BZ32" s="24">
        <f t="shared" si="50"/>
        <v>0.65697281389529805</v>
      </c>
      <c r="CA32" s="24">
        <f t="shared" si="49"/>
        <v>0.29533993460342517</v>
      </c>
      <c r="CB32" s="24">
        <f t="shared" si="48"/>
        <v>4.5062892720429827E-2</v>
      </c>
      <c r="CC32" s="24">
        <f t="shared" si="51"/>
        <v>4.9033044825955191E-2</v>
      </c>
      <c r="CE32" s="1">
        <f t="shared" si="45"/>
        <v>0.561889834785127</v>
      </c>
      <c r="CF32" s="26">
        <f t="shared" si="47"/>
        <v>2.7815778843141716E-2</v>
      </c>
      <c r="CG32" s="26">
        <f t="shared" si="47"/>
        <v>1.2489989680379886E-2</v>
      </c>
      <c r="CH32" s="26">
        <f t="shared" si="47"/>
        <v>4.3286414808002271E-3</v>
      </c>
      <c r="CI32" s="26">
        <f t="shared" si="47"/>
        <v>8.7085772820830448E-4</v>
      </c>
      <c r="CK32" s="5">
        <v>0.6</v>
      </c>
      <c r="CL32" s="5">
        <v>0.4371944201814284</v>
      </c>
      <c r="CM32" s="5">
        <v>1.9309420224679754</v>
      </c>
      <c r="CN32" s="26">
        <v>5.6074917297578617</v>
      </c>
      <c r="CQ32" s="1">
        <f t="shared" ref="CQ32:CQ37" si="59">CQ31-2</f>
        <v>30</v>
      </c>
      <c r="CR32" s="23">
        <f t="shared" si="52"/>
        <v>0.51692188174866782</v>
      </c>
      <c r="CS32" s="23">
        <f t="shared" si="53"/>
        <v>3.2555757038503859</v>
      </c>
      <c r="CT32" s="23">
        <f t="shared" si="54"/>
        <v>21.97430446305491</v>
      </c>
      <c r="CU32" s="23">
        <f t="shared" si="55"/>
        <v>49.289047622870193</v>
      </c>
    </row>
    <row r="33" spans="1:99" x14ac:dyDescent="0.2">
      <c r="B33" s="1">
        <v>11</v>
      </c>
      <c r="F33" s="5">
        <v>0.12736428571428574</v>
      </c>
      <c r="G33" s="5">
        <v>0.54555714285714296</v>
      </c>
      <c r="H33" s="5">
        <v>2.88</v>
      </c>
      <c r="I33" s="5">
        <v>1</v>
      </c>
      <c r="J33" s="5">
        <v>0</v>
      </c>
      <c r="K33" s="5">
        <v>0</v>
      </c>
      <c r="M33" s="5">
        <f>X33</f>
        <v>0.31862892619568156</v>
      </c>
      <c r="N33" s="5">
        <f>AJ33</f>
        <v>0.43455169849824726</v>
      </c>
      <c r="O33" s="5">
        <f>AH33</f>
        <v>0.53114249045657214</v>
      </c>
      <c r="P33" s="5">
        <f>(N33-M33)*(1-T33)</f>
        <v>0.1159227723025657</v>
      </c>
      <c r="Q33" s="5">
        <f>AN33</f>
        <v>2.1032276635456717</v>
      </c>
      <c r="R33" s="5">
        <f>AG33</f>
        <v>1.2424724002900838</v>
      </c>
      <c r="S33" s="5">
        <f>N33-(S$16-33)*(O33-N33)/(33-AR33)</f>
        <v>0.50782942765707106</v>
      </c>
      <c r="T33" s="5">
        <f>((R33/2.65)*J33)/(1-J33*(1-R33/2.65))</f>
        <v>0</v>
      </c>
      <c r="U33" s="5">
        <f>T33*2.65+(1-T33)*R33</f>
        <v>1.2424724002900838</v>
      </c>
      <c r="W33" s="25">
        <f t="shared" si="29"/>
        <v>0.29704291771551017</v>
      </c>
      <c r="X33" s="25">
        <f t="shared" si="22"/>
        <v>0.31862892619568156</v>
      </c>
      <c r="Y33" s="25">
        <f t="shared" si="30"/>
        <v>0.39628053068040814</v>
      </c>
      <c r="Z33" s="25">
        <f t="shared" si="23"/>
        <v>0.43455169849824726</v>
      </c>
      <c r="AA33" s="5">
        <f t="shared" si="31"/>
        <v>0.10571218072897959</v>
      </c>
      <c r="AB33" s="5">
        <f t="shared" si="24"/>
        <v>6.5945127672610612E-2</v>
      </c>
      <c r="AC33" s="5">
        <f t="shared" si="32"/>
        <v>0.50049682617085789</v>
      </c>
      <c r="AD33" s="25">
        <f t="shared" si="33"/>
        <v>3.0645664285714282E-2</v>
      </c>
      <c r="AE33" s="5">
        <f t="shared" si="34"/>
        <v>0.53114249045657214</v>
      </c>
      <c r="AF33" s="5">
        <f t="shared" si="25"/>
        <v>1.2424724002900838</v>
      </c>
      <c r="AG33" s="5">
        <f t="shared" si="35"/>
        <v>1.2424724002900838</v>
      </c>
      <c r="AH33" s="5">
        <f t="shared" si="26"/>
        <v>0.53114249045657214</v>
      </c>
      <c r="AI33" s="25">
        <f t="shared" si="36"/>
        <v>0</v>
      </c>
      <c r="AJ33" s="25">
        <f t="shared" si="37"/>
        <v>0.43455169849824726</v>
      </c>
      <c r="AK33" s="25">
        <f t="shared" si="38"/>
        <v>9.6590791958324873E-2</v>
      </c>
      <c r="AL33" s="25">
        <f t="shared" si="39"/>
        <v>8.1297113710125296E-2</v>
      </c>
      <c r="AM33" s="25">
        <f t="shared" si="40"/>
        <v>1</v>
      </c>
      <c r="AN33" s="26">
        <f t="shared" si="41"/>
        <v>2.1032276635456717</v>
      </c>
      <c r="AO33" s="5">
        <f t="shared" si="42"/>
        <v>12.300559692261906</v>
      </c>
      <c r="AP33" s="25">
        <f t="shared" si="43"/>
        <v>1.1647191365648218E-3</v>
      </c>
      <c r="AQ33" s="26">
        <f t="shared" si="27"/>
        <v>3.5322362798554465</v>
      </c>
      <c r="AR33" s="26">
        <f t="shared" si="28"/>
        <v>2.6826274429663219</v>
      </c>
      <c r="AS33" s="5"/>
      <c r="AV33" s="1" t="s">
        <v>96</v>
      </c>
      <c r="AX33" s="5">
        <f>AX28*(1-AX32)</f>
        <v>5.8387819959092147E-2</v>
      </c>
      <c r="AY33" s="5">
        <f>AY28*(1-AY32)</f>
        <v>6.7903368089748103E-2</v>
      </c>
      <c r="AZ33" s="5">
        <f>AZ28*(1-AZ32)</f>
        <v>0.1017018110013907</v>
      </c>
      <c r="BA33" s="5">
        <f t="shared" ref="BA33:BI33" si="60">BA28*(1-BA21)</f>
        <v>0.10455969486611714</v>
      </c>
      <c r="BB33" s="5">
        <f t="shared" si="60"/>
        <v>0.1355620408576092</v>
      </c>
      <c r="BC33" s="5">
        <f t="shared" si="60"/>
        <v>0.16416682615236874</v>
      </c>
      <c r="BD33" s="5">
        <f t="shared" si="60"/>
        <v>8.0140414996805243E-2</v>
      </c>
      <c r="BE33" s="5">
        <f t="shared" si="60"/>
        <v>9.6393629206759743E-2</v>
      </c>
      <c r="BF33" s="5">
        <f t="shared" si="60"/>
        <v>0.11014813653071502</v>
      </c>
      <c r="BG33" s="5">
        <f t="shared" si="60"/>
        <v>7.1858005620832596E-2</v>
      </c>
      <c r="BH33" s="5">
        <f t="shared" si="60"/>
        <v>8.035594379177341E-2</v>
      </c>
      <c r="BI33" s="5">
        <f t="shared" si="60"/>
        <v>6.5548334703860206E-2</v>
      </c>
      <c r="BJ33" s="5"/>
      <c r="BK33" s="23">
        <v>64</v>
      </c>
      <c r="BL33" s="23">
        <f t="shared" si="2"/>
        <v>0</v>
      </c>
      <c r="BM33" s="23">
        <f t="shared" si="3"/>
        <v>0</v>
      </c>
      <c r="BN33" s="23">
        <f t="shared" si="4"/>
        <v>0</v>
      </c>
      <c r="BO33" s="23">
        <f t="shared" si="5"/>
        <v>0</v>
      </c>
      <c r="BP33" s="23">
        <f t="shared" si="6"/>
        <v>0</v>
      </c>
      <c r="BQ33" s="23">
        <f t="shared" si="7"/>
        <v>0</v>
      </c>
      <c r="BR33" s="23">
        <f t="shared" si="8"/>
        <v>0</v>
      </c>
      <c r="BS33" s="23">
        <f t="shared" si="9"/>
        <v>0</v>
      </c>
      <c r="BT33" s="23">
        <f t="shared" si="10"/>
        <v>0</v>
      </c>
      <c r="BU33" s="23">
        <f t="shared" si="11"/>
        <v>0</v>
      </c>
      <c r="BV33" s="23">
        <f t="shared" si="12"/>
        <v>0</v>
      </c>
      <c r="BW33" s="23">
        <f t="shared" si="13"/>
        <v>0</v>
      </c>
      <c r="BX33" s="23"/>
      <c r="BY33" s="23">
        <v>28</v>
      </c>
      <c r="BZ33" s="24">
        <f t="shared" si="50"/>
        <v>0.28893315155392657</v>
      </c>
      <c r="CA33" s="24">
        <f t="shared" si="49"/>
        <v>0.12449043446001469</v>
      </c>
      <c r="CB33" s="24"/>
      <c r="CC33" s="24">
        <f t="shared" si="51"/>
        <v>2.2850958674594159E-2</v>
      </c>
      <c r="CE33" s="1">
        <f t="shared" si="45"/>
        <v>0.5244305124661186</v>
      </c>
      <c r="CF33" s="26">
        <f t="shared" si="47"/>
        <v>1.2322263594898242E-2</v>
      </c>
      <c r="CG33" s="26">
        <f t="shared" si="47"/>
        <v>5.4824607260835437E-3</v>
      </c>
      <c r="CH33" s="26">
        <f t="shared" si="47"/>
        <v>1.8819250734118547E-3</v>
      </c>
      <c r="CI33" s="26">
        <f t="shared" si="47"/>
        <v>3.7483992176318783E-4</v>
      </c>
      <c r="CK33" s="5">
        <v>0.65</v>
      </c>
      <c r="CL33" s="5">
        <v>0.49025569750739106</v>
      </c>
      <c r="CM33" s="5">
        <v>1.9987347667609019</v>
      </c>
      <c r="CN33" s="26">
        <v>4.9706005125864676</v>
      </c>
      <c r="CQ33" s="1">
        <f t="shared" si="59"/>
        <v>28</v>
      </c>
      <c r="CR33" s="23">
        <f t="shared" si="52"/>
        <v>0.7028377721056045</v>
      </c>
      <c r="CS33" s="23">
        <f t="shared" si="53"/>
        <v>4.5214325817287442</v>
      </c>
      <c r="CT33" s="23">
        <f t="shared" si="54"/>
        <v>31.403165545235058</v>
      </c>
      <c r="CU33" s="23">
        <f t="shared" si="55"/>
        <v>65.102521625014504</v>
      </c>
    </row>
    <row r="34" spans="1:99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9"/>
      <c r="AJ34" s="29"/>
      <c r="AK34" s="29"/>
      <c r="AL34" s="27"/>
      <c r="AM34" s="27"/>
      <c r="AN34" s="27"/>
      <c r="AO34" s="27"/>
      <c r="AP34" s="27"/>
      <c r="AQ34" s="30"/>
      <c r="AR34" s="28"/>
      <c r="AS34" s="27"/>
      <c r="AV34" s="1" t="s">
        <v>97</v>
      </c>
      <c r="AX34" s="26">
        <f>$AN18</f>
        <v>107.83391229127439</v>
      </c>
      <c r="AY34" s="26">
        <f>$AN19</f>
        <v>94.662043986412698</v>
      </c>
      <c r="AZ34" s="26">
        <f>$AN20</f>
        <v>48.009750860294815</v>
      </c>
      <c r="BA34" s="26">
        <f>$AN21</f>
        <v>19.978354234712999</v>
      </c>
      <c r="BB34" s="26">
        <f>$AN22</f>
        <v>15.54946932044418</v>
      </c>
      <c r="BC34" s="26">
        <f>$AN23</f>
        <v>10.642092236547434</v>
      </c>
      <c r="BD34" s="26">
        <f>$AN24</f>
        <v>9.2441720085880394</v>
      </c>
      <c r="BE34" s="26">
        <f>$AN25</f>
        <v>7.7359772086592011</v>
      </c>
      <c r="BF34" s="26">
        <f>$AN26</f>
        <v>11.399879836592914</v>
      </c>
      <c r="BG34" s="26">
        <f>$AN50</f>
        <v>1.3916587486499672</v>
      </c>
      <c r="BH34" s="26">
        <f>$AN27</f>
        <v>5.2866537980747221</v>
      </c>
      <c r="BI34" s="26">
        <f>$AN28</f>
        <v>2.1032276635456717</v>
      </c>
      <c r="BJ34" s="31"/>
      <c r="BK34" s="23">
        <v>62</v>
      </c>
      <c r="BL34" s="23">
        <f t="shared" si="2"/>
        <v>0</v>
      </c>
      <c r="BM34" s="23">
        <f t="shared" si="3"/>
        <v>0</v>
      </c>
      <c r="BN34" s="23">
        <f t="shared" si="4"/>
        <v>0</v>
      </c>
      <c r="BO34" s="23">
        <f t="shared" si="5"/>
        <v>0</v>
      </c>
      <c r="BP34" s="23">
        <f t="shared" si="6"/>
        <v>0</v>
      </c>
      <c r="BQ34" s="23">
        <f t="shared" si="7"/>
        <v>0</v>
      </c>
      <c r="BR34" s="23">
        <f t="shared" si="8"/>
        <v>0</v>
      </c>
      <c r="BS34" s="23">
        <f t="shared" si="9"/>
        <v>0</v>
      </c>
      <c r="BT34" s="23">
        <f t="shared" si="10"/>
        <v>0</v>
      </c>
      <c r="BU34" s="23">
        <f t="shared" si="11"/>
        <v>0</v>
      </c>
      <c r="BV34" s="23">
        <f t="shared" si="12"/>
        <v>0</v>
      </c>
      <c r="BW34" s="23">
        <f t="shared" si="13"/>
        <v>0</v>
      </c>
      <c r="BX34" s="23"/>
      <c r="BY34" s="23">
        <v>26</v>
      </c>
      <c r="BZ34" s="24">
        <f t="shared" si="50"/>
        <v>0.11956334689028154</v>
      </c>
      <c r="CA34" s="24">
        <f t="shared" si="49"/>
        <v>4.9219098420101241E-2</v>
      </c>
      <c r="CB34" s="24"/>
      <c r="CC34" s="24">
        <f t="shared" si="51"/>
        <v>1.0063208364173851E-2</v>
      </c>
      <c r="CE34" s="1">
        <f t="shared" si="45"/>
        <v>0.48697119014711016</v>
      </c>
      <c r="CF34" s="26">
        <f t="shared" ref="CF34:CH35" si="61">CF$20*$CE34^(3+2*CF$15)</f>
        <v>5.1389449442117386E-3</v>
      </c>
      <c r="CG34" s="26">
        <f t="shared" si="61"/>
        <v>2.2640065132010639E-3</v>
      </c>
      <c r="CH34" s="26">
        <f t="shared" si="61"/>
        <v>7.6918907908050569E-4</v>
      </c>
      <c r="CI34" s="26"/>
      <c r="CK34" s="5">
        <v>0.7</v>
      </c>
      <c r="CL34" s="5">
        <v>0.54717836119434171</v>
      </c>
      <c r="CM34" s="5">
        <v>2.0714609388071508</v>
      </c>
      <c r="CN34" s="26">
        <v>4.316862719363237</v>
      </c>
      <c r="CQ34" s="1">
        <f t="shared" si="59"/>
        <v>26</v>
      </c>
      <c r="CR34" s="23">
        <f t="shared" si="52"/>
        <v>0.97763721218095212</v>
      </c>
      <c r="CS34" s="23">
        <f t="shared" si="53"/>
        <v>6.4342835936228946</v>
      </c>
      <c r="CT34" s="23">
        <f t="shared" si="54"/>
        <v>46.081612978144541</v>
      </c>
      <c r="CU34" s="23">
        <f t="shared" si="55"/>
        <v>87.781857273445539</v>
      </c>
    </row>
    <row r="35" spans="1:99" ht="15.75" x14ac:dyDescent="0.25">
      <c r="A35" s="10" t="s">
        <v>135</v>
      </c>
      <c r="M35" s="5"/>
      <c r="N35" s="5"/>
      <c r="O35" s="5"/>
      <c r="P35" s="5"/>
      <c r="Q35" s="5"/>
      <c r="S35" s="55" t="s">
        <v>150</v>
      </c>
      <c r="V35" s="5"/>
      <c r="AB35" s="1" t="s">
        <v>13</v>
      </c>
      <c r="AC35" s="1" t="s">
        <v>14</v>
      </c>
      <c r="AF35" s="1" t="s">
        <v>15</v>
      </c>
      <c r="AG35" s="1" t="s">
        <v>15</v>
      </c>
      <c r="AH35" s="1" t="s">
        <v>16</v>
      </c>
      <c r="AI35" s="1" t="s">
        <v>16</v>
      </c>
      <c r="AJ35" s="1" t="s">
        <v>17</v>
      </c>
      <c r="AK35" s="1" t="s">
        <v>18</v>
      </c>
      <c r="AM35" s="1" t="s">
        <v>19</v>
      </c>
      <c r="AO35" s="1" t="s">
        <v>20</v>
      </c>
      <c r="AP35" s="1" t="s">
        <v>20</v>
      </c>
      <c r="AZ35" s="5"/>
      <c r="BA35" s="5"/>
      <c r="BJ35" s="31"/>
      <c r="BK35" s="23">
        <v>60</v>
      </c>
      <c r="BL35" s="23">
        <f t="shared" si="2"/>
        <v>0</v>
      </c>
      <c r="BM35" s="23">
        <f t="shared" si="3"/>
        <v>0</v>
      </c>
      <c r="BN35" s="23">
        <f t="shared" si="4"/>
        <v>0</v>
      </c>
      <c r="BO35" s="23">
        <f t="shared" si="5"/>
        <v>0</v>
      </c>
      <c r="BP35" s="23">
        <f t="shared" si="6"/>
        <v>0</v>
      </c>
      <c r="BQ35" s="23">
        <f t="shared" si="7"/>
        <v>0</v>
      </c>
      <c r="BR35" s="23">
        <f t="shared" si="8"/>
        <v>0</v>
      </c>
      <c r="BS35" s="23">
        <f t="shared" si="9"/>
        <v>0</v>
      </c>
      <c r="BT35" s="23">
        <f t="shared" si="10"/>
        <v>0</v>
      </c>
      <c r="BU35" s="23">
        <f t="shared" si="11"/>
        <v>0</v>
      </c>
      <c r="BV35" s="23">
        <f t="shared" si="12"/>
        <v>0</v>
      </c>
      <c r="BW35" s="23">
        <f t="shared" si="13"/>
        <v>0</v>
      </c>
      <c r="BX35" s="23"/>
      <c r="BY35" s="23">
        <v>24</v>
      </c>
      <c r="BZ35" s="24">
        <f t="shared" si="50"/>
        <v>4.6101098847112158E-2</v>
      </c>
      <c r="CA35" s="24">
        <f t="shared" si="49"/>
        <v>1.8065832515596486E-2</v>
      </c>
      <c r="CB35" s="24"/>
      <c r="CC35" s="24"/>
      <c r="CE35" s="1">
        <f t="shared" si="45"/>
        <v>0.44951186782810165</v>
      </c>
      <c r="CF35" s="26">
        <f t="shared" si="61"/>
        <v>1.9982087690722217E-3</v>
      </c>
      <c r="CG35" s="26">
        <f t="shared" si="61"/>
        <v>8.7100446568229458E-4</v>
      </c>
      <c r="CH35" s="26">
        <f t="shared" si="61"/>
        <v>2.9264855277530254E-4</v>
      </c>
      <c r="CI35" s="26"/>
      <c r="CQ35" s="1">
        <f t="shared" si="59"/>
        <v>24</v>
      </c>
      <c r="CR35" s="23">
        <f t="shared" si="52"/>
        <v>1.3962974913206845</v>
      </c>
      <c r="CS35" s="23">
        <f t="shared" si="53"/>
        <v>9.4187848495748128</v>
      </c>
      <c r="CT35" s="23">
        <f t="shared" si="54"/>
        <v>69.73004725572261</v>
      </c>
      <c r="CU35" s="23">
        <f t="shared" si="55"/>
        <v>121.22912131300605</v>
      </c>
    </row>
    <row r="36" spans="1:99" ht="15.75" x14ac:dyDescent="0.25">
      <c r="I36" s="1" t="s">
        <v>15</v>
      </c>
      <c r="J36" s="5" t="s">
        <v>23</v>
      </c>
      <c r="K36" s="32" t="s">
        <v>24</v>
      </c>
      <c r="M36" s="5" t="s">
        <v>25</v>
      </c>
      <c r="N36" s="5" t="s">
        <v>26</v>
      </c>
      <c r="O36" s="5" t="s">
        <v>27</v>
      </c>
      <c r="P36" s="1" t="s">
        <v>28</v>
      </c>
      <c r="R36" s="1" t="s">
        <v>29</v>
      </c>
      <c r="S36" s="55" t="s">
        <v>151</v>
      </c>
      <c r="T36" s="1" t="s">
        <v>23</v>
      </c>
      <c r="U36" s="1" t="s">
        <v>31</v>
      </c>
      <c r="V36" s="5"/>
      <c r="W36" s="1" t="s">
        <v>32</v>
      </c>
      <c r="X36" s="1" t="s">
        <v>32</v>
      </c>
      <c r="Y36" s="1" t="s">
        <v>32</v>
      </c>
      <c r="Z36" s="1" t="s">
        <v>33</v>
      </c>
      <c r="AA36" s="1" t="s">
        <v>34</v>
      </c>
      <c r="AB36" s="1" t="s">
        <v>34</v>
      </c>
      <c r="AC36" s="1" t="s">
        <v>35</v>
      </c>
      <c r="AD36" s="1" t="s">
        <v>14</v>
      </c>
      <c r="AE36" s="1" t="s">
        <v>36</v>
      </c>
      <c r="AF36" s="1" t="s">
        <v>37</v>
      </c>
      <c r="AG36" s="1" t="s">
        <v>38</v>
      </c>
      <c r="AH36" s="1" t="s">
        <v>39</v>
      </c>
      <c r="AI36" s="1" t="s">
        <v>40</v>
      </c>
      <c r="AJ36" s="1" t="s">
        <v>41</v>
      </c>
      <c r="AK36" s="1" t="s">
        <v>17</v>
      </c>
      <c r="AL36" s="1" t="s">
        <v>42</v>
      </c>
      <c r="AM36" s="1" t="s">
        <v>43</v>
      </c>
      <c r="AN36" s="1" t="s">
        <v>44</v>
      </c>
      <c r="AO36" s="22" t="s">
        <v>45</v>
      </c>
      <c r="AP36" s="22" t="s">
        <v>46</v>
      </c>
      <c r="AQ36" s="1" t="s">
        <v>47</v>
      </c>
      <c r="AR36" s="1" t="s">
        <v>47</v>
      </c>
      <c r="AV36" s="1" t="s">
        <v>10</v>
      </c>
      <c r="AZ36" s="5"/>
      <c r="BA36" s="5"/>
      <c r="BJ36" s="31"/>
      <c r="BK36" s="23">
        <v>58</v>
      </c>
      <c r="BL36" s="23">
        <f t="shared" si="2"/>
        <v>0</v>
      </c>
      <c r="BM36" s="23">
        <f t="shared" si="3"/>
        <v>0</v>
      </c>
      <c r="BN36" s="23">
        <f t="shared" si="4"/>
        <v>0</v>
      </c>
      <c r="BO36" s="23">
        <f t="shared" si="5"/>
        <v>0</v>
      </c>
      <c r="BP36" s="23">
        <f t="shared" si="6"/>
        <v>0</v>
      </c>
      <c r="BQ36" s="23">
        <f t="shared" si="7"/>
        <v>0</v>
      </c>
      <c r="BR36" s="23">
        <f t="shared" si="8"/>
        <v>0</v>
      </c>
      <c r="BS36" s="23">
        <f t="shared" si="9"/>
        <v>0</v>
      </c>
      <c r="BT36" s="23">
        <f t="shared" si="10"/>
        <v>0</v>
      </c>
      <c r="BU36" s="23">
        <f t="shared" si="11"/>
        <v>0</v>
      </c>
      <c r="BV36" s="23">
        <f t="shared" si="12"/>
        <v>0</v>
      </c>
      <c r="BW36" s="23">
        <f t="shared" si="13"/>
        <v>0</v>
      </c>
      <c r="BX36" s="23"/>
      <c r="BY36" s="23">
        <v>22</v>
      </c>
      <c r="BZ36" s="24">
        <f t="shared" si="50"/>
        <v>1.6360279744673807E-2</v>
      </c>
      <c r="CA36" s="24">
        <f t="shared" si="49"/>
        <v>6.0769600707313168E-3</v>
      </c>
      <c r="CB36" s="24"/>
      <c r="CC36" s="24"/>
      <c r="CE36" s="1">
        <f t="shared" si="45"/>
        <v>0.4120525455090932</v>
      </c>
      <c r="CF36" s="26">
        <f>CF$20*$CE36^(3+2*CF$15)</f>
        <v>7.1563584777588069E-4</v>
      </c>
      <c r="CG36" s="26">
        <f>CG$20*$CE36^(3+2*CG$15)</f>
        <v>3.083506243525358E-4</v>
      </c>
      <c r="CH36" s="26"/>
      <c r="CI36" s="26"/>
      <c r="CQ36" s="1">
        <f t="shared" si="59"/>
        <v>22</v>
      </c>
      <c r="CR36" s="23">
        <f t="shared" si="52"/>
        <v>2.057099943664741</v>
      </c>
      <c r="CS36" s="23">
        <f t="shared" si="53"/>
        <v>14.252722635840312</v>
      </c>
      <c r="CT36" s="23">
        <f t="shared" si="54"/>
        <v>109.38908993814397</v>
      </c>
      <c r="CU36" s="23">
        <f t="shared" si="55"/>
        <v>172.19297006115593</v>
      </c>
    </row>
    <row r="37" spans="1:99" ht="15.75" x14ac:dyDescent="0.25">
      <c r="A37" s="50" t="s">
        <v>133</v>
      </c>
      <c r="C37" s="6"/>
      <c r="I37" s="1" t="s">
        <v>53</v>
      </c>
      <c r="J37" s="1" t="s">
        <v>54</v>
      </c>
      <c r="K37" s="33" t="s">
        <v>98</v>
      </c>
      <c r="M37" s="1" t="s">
        <v>56</v>
      </c>
      <c r="N37" s="1" t="s">
        <v>57</v>
      </c>
      <c r="O37" s="1" t="s">
        <v>14</v>
      </c>
      <c r="P37" s="1" t="s">
        <v>58</v>
      </c>
      <c r="Q37" s="1" t="s">
        <v>59</v>
      </c>
      <c r="S37" s="1">
        <v>10</v>
      </c>
      <c r="T37" s="1" t="s">
        <v>60</v>
      </c>
      <c r="U37" s="1" t="s">
        <v>15</v>
      </c>
      <c r="V37" s="5"/>
      <c r="W37" s="1" t="s">
        <v>61</v>
      </c>
      <c r="X37" s="1" t="s">
        <v>61</v>
      </c>
      <c r="Y37" s="1" t="s">
        <v>17</v>
      </c>
      <c r="Z37" s="1" t="s">
        <v>17</v>
      </c>
      <c r="AA37" s="1" t="s">
        <v>62</v>
      </c>
      <c r="AB37" s="1" t="s">
        <v>62</v>
      </c>
      <c r="AC37" s="1" t="s">
        <v>62</v>
      </c>
      <c r="AD37" s="1" t="s">
        <v>36</v>
      </c>
      <c r="AE37" s="1" t="s">
        <v>14</v>
      </c>
      <c r="AH37" s="1" t="s">
        <v>63</v>
      </c>
      <c r="AI37" s="1" t="s">
        <v>64</v>
      </c>
      <c r="AK37" s="1" t="s">
        <v>38</v>
      </c>
      <c r="AM37" s="1" t="s">
        <v>44</v>
      </c>
      <c r="AN37" s="1" t="s">
        <v>65</v>
      </c>
      <c r="AQ37" s="1" t="s">
        <v>66</v>
      </c>
      <c r="AR37" s="1" t="s">
        <v>67</v>
      </c>
      <c r="AV37" s="1" t="s">
        <v>99</v>
      </c>
      <c r="AX37" s="5">
        <f>$F$18</f>
        <v>0.84627272727272718</v>
      </c>
      <c r="AY37" s="5">
        <f>$F$19</f>
        <v>0.80243750000000003</v>
      </c>
      <c r="AZ37" s="5">
        <f>$F$20</f>
        <v>0.63445487364620923</v>
      </c>
      <c r="BA37" s="5">
        <f>$F$21</f>
        <v>0.41237421383647804</v>
      </c>
      <c r="BB37" s="5">
        <f>$F$22</f>
        <v>0.15038994565217392</v>
      </c>
      <c r="BC37" s="5">
        <f>$F$23</f>
        <v>4.9400000000000006E-2</v>
      </c>
      <c r="BD37" s="5">
        <f>$F$24</f>
        <v>0.53223076923076917</v>
      </c>
      <c r="BE37" s="5">
        <f>$F$25</f>
        <v>0.29117692307692311</v>
      </c>
      <c r="BF37" s="5">
        <f>$F$26</f>
        <v>8.8847222222222244E-2</v>
      </c>
      <c r="BG37" s="5">
        <f>$F$50</f>
        <v>0.5</v>
      </c>
      <c r="BH37" s="5">
        <f>$F$27</f>
        <v>7.6554216867469896E-2</v>
      </c>
      <c r="BI37" s="5">
        <f>$F$28</f>
        <v>0.12736428571428574</v>
      </c>
      <c r="BJ37" s="31"/>
      <c r="BK37" s="23">
        <v>56</v>
      </c>
      <c r="BL37" s="23">
        <f t="shared" si="2"/>
        <v>0</v>
      </c>
      <c r="BM37" s="23">
        <f t="shared" si="3"/>
        <v>0</v>
      </c>
      <c r="BN37" s="23">
        <f t="shared" si="4"/>
        <v>0</v>
      </c>
      <c r="BO37" s="23">
        <f t="shared" si="5"/>
        <v>0</v>
      </c>
      <c r="BP37" s="23">
        <f t="shared" si="6"/>
        <v>0</v>
      </c>
      <c r="BQ37" s="23">
        <f t="shared" si="7"/>
        <v>0</v>
      </c>
      <c r="BR37" s="23">
        <f t="shared" si="8"/>
        <v>0</v>
      </c>
      <c r="BS37" s="23">
        <f t="shared" si="9"/>
        <v>0</v>
      </c>
      <c r="BT37" s="23">
        <f t="shared" si="10"/>
        <v>0</v>
      </c>
      <c r="BU37" s="23">
        <f t="shared" si="11"/>
        <v>0</v>
      </c>
      <c r="BV37" s="23">
        <f t="shared" si="12"/>
        <v>0</v>
      </c>
      <c r="BW37" s="23">
        <f t="shared" si="13"/>
        <v>0</v>
      </c>
      <c r="BX37" s="23"/>
      <c r="BY37" s="23">
        <v>20</v>
      </c>
      <c r="BZ37" s="24">
        <f t="shared" si="50"/>
        <v>5.2596703004457197E-3</v>
      </c>
      <c r="CA37" s="24"/>
      <c r="CB37" s="24"/>
      <c r="CC37" s="24"/>
      <c r="CE37" s="1">
        <f t="shared" si="45"/>
        <v>0.3745932231900847</v>
      </c>
      <c r="CF37" s="24"/>
      <c r="CQ37" s="1">
        <f t="shared" si="59"/>
        <v>20</v>
      </c>
      <c r="CR37" s="23">
        <f t="shared" si="52"/>
        <v>3.1447235030283363</v>
      </c>
      <c r="CS37" s="23">
        <f t="shared" si="53"/>
        <v>22.436712708321998</v>
      </c>
      <c r="CT37" s="23">
        <f t="shared" si="54"/>
        <v>179.13449958732113</v>
      </c>
      <c r="CU37" s="23">
        <f t="shared" si="55"/>
        <v>252.90650265440664</v>
      </c>
    </row>
    <row r="38" spans="1:99" ht="18" x14ac:dyDescent="0.25">
      <c r="A38" s="17" t="s">
        <v>137</v>
      </c>
      <c r="B38" s="12" t="s">
        <v>136</v>
      </c>
      <c r="C38" s="6"/>
      <c r="D38" s="17" t="s">
        <v>107</v>
      </c>
      <c r="E38" s="16"/>
      <c r="F38" s="16"/>
      <c r="G38" s="16"/>
      <c r="H38" s="17" t="s">
        <v>10</v>
      </c>
      <c r="I38" s="34"/>
      <c r="J38" s="16"/>
      <c r="K38" s="35" t="s">
        <v>55</v>
      </c>
      <c r="L38" s="5"/>
      <c r="M38" s="1" t="s">
        <v>52</v>
      </c>
      <c r="N38" s="1" t="s">
        <v>52</v>
      </c>
      <c r="O38" s="1" t="s">
        <v>52</v>
      </c>
      <c r="P38" s="1" t="s">
        <v>52</v>
      </c>
      <c r="Q38" s="1" t="s">
        <v>65</v>
      </c>
      <c r="R38" s="1" t="s">
        <v>72</v>
      </c>
      <c r="S38" s="1" t="s">
        <v>52</v>
      </c>
      <c r="U38" s="1" t="s">
        <v>72</v>
      </c>
      <c r="V38" s="5"/>
      <c r="W38" s="1" t="s">
        <v>73</v>
      </c>
      <c r="X38" s="1" t="s">
        <v>74</v>
      </c>
      <c r="AQ38" s="1" t="s">
        <v>75</v>
      </c>
      <c r="AR38" s="1" t="s">
        <v>76</v>
      </c>
      <c r="AV38" s="1" t="s">
        <v>100</v>
      </c>
      <c r="AX38" s="5">
        <f>$G18</f>
        <v>4.3015151515151513E-2</v>
      </c>
      <c r="AY38" s="5">
        <f>$G19</f>
        <v>5.1656249999999994E-2</v>
      </c>
      <c r="AZ38" s="5">
        <f>$G20</f>
        <v>0.10299277978339348</v>
      </c>
      <c r="BA38" s="5">
        <f>$G21</f>
        <v>0.18547798742138361</v>
      </c>
      <c r="BB38" s="5">
        <f>$G22</f>
        <v>0.1801073369565219</v>
      </c>
      <c r="BC38" s="5">
        <f>$G23</f>
        <v>0.100525</v>
      </c>
      <c r="BD38" s="5">
        <f>$G24</f>
        <v>0.26217948717948719</v>
      </c>
      <c r="BE38" s="5">
        <f>$G25</f>
        <v>0.3157692307692308</v>
      </c>
      <c r="BF38" s="5">
        <f>$G26</f>
        <v>0.32191319444444461</v>
      </c>
      <c r="BG38" s="5">
        <f>$G$50</f>
        <v>0.4</v>
      </c>
      <c r="BH38" s="5">
        <f>$G27</f>
        <v>0.46515662650602396</v>
      </c>
      <c r="BI38" s="5">
        <f>$G28</f>
        <v>0.54555714285714296</v>
      </c>
      <c r="BJ38" s="31"/>
      <c r="BK38" s="23">
        <f t="shared" ref="BK38:BK43" si="62">BK37-2</f>
        <v>54</v>
      </c>
      <c r="BL38" s="23">
        <f t="shared" si="2"/>
        <v>0</v>
      </c>
      <c r="BM38" s="23">
        <f t="shared" si="3"/>
        <v>0</v>
      </c>
      <c r="BN38" s="23">
        <f t="shared" si="4"/>
        <v>0</v>
      </c>
      <c r="BO38" s="23">
        <f t="shared" si="5"/>
        <v>0</v>
      </c>
      <c r="BP38" s="23">
        <f t="shared" si="6"/>
        <v>0</v>
      </c>
      <c r="BQ38" s="23">
        <f t="shared" si="7"/>
        <v>0</v>
      </c>
      <c r="BR38" s="23">
        <f t="shared" si="8"/>
        <v>0</v>
      </c>
      <c r="BS38" s="23">
        <f t="shared" si="9"/>
        <v>0</v>
      </c>
      <c r="BT38" s="23">
        <f t="shared" si="10"/>
        <v>4.0710257760658708</v>
      </c>
      <c r="BU38" s="23">
        <f t="shared" si="11"/>
        <v>0</v>
      </c>
      <c r="BV38" s="23">
        <f t="shared" si="12"/>
        <v>2.5652470139624239</v>
      </c>
      <c r="BW38" s="23">
        <f t="shared" si="13"/>
        <v>0</v>
      </c>
      <c r="BX38" s="23"/>
      <c r="BY38" s="23">
        <v>18</v>
      </c>
      <c r="BZ38" s="24"/>
      <c r="CA38" s="24"/>
      <c r="CB38" s="24"/>
      <c r="CC38" s="24"/>
      <c r="CE38" s="1">
        <f t="shared" si="45"/>
        <v>0.3371339008710762</v>
      </c>
      <c r="CF38" s="24"/>
      <c r="CQ38" s="1">
        <v>19</v>
      </c>
      <c r="CR38" s="23">
        <f t="shared" si="52"/>
        <v>3.951683773834727</v>
      </c>
      <c r="CS38" s="23">
        <f t="shared" si="53"/>
        <v>28.64258439979109</v>
      </c>
      <c r="CT38" s="23">
        <f t="shared" si="54"/>
        <v>233.59231146258989</v>
      </c>
      <c r="CU38" s="23">
        <f t="shared" si="55"/>
        <v>311.03190221161628</v>
      </c>
    </row>
    <row r="39" spans="1:99" ht="18" x14ac:dyDescent="0.25">
      <c r="A39" s="17" t="s">
        <v>101</v>
      </c>
      <c r="B39" s="12" t="s">
        <v>117</v>
      </c>
      <c r="C39" s="6"/>
      <c r="D39" s="47" t="s">
        <v>50</v>
      </c>
      <c r="F39" s="36" t="s">
        <v>102</v>
      </c>
      <c r="G39" s="36" t="s">
        <v>68</v>
      </c>
      <c r="H39" s="34" t="s">
        <v>103</v>
      </c>
      <c r="I39" s="37" t="s">
        <v>104</v>
      </c>
      <c r="J39" s="34" t="s">
        <v>105</v>
      </c>
      <c r="K39" s="38" t="s">
        <v>24</v>
      </c>
      <c r="M39" s="18"/>
      <c r="N39" s="18"/>
      <c r="O39" s="19" t="s">
        <v>11</v>
      </c>
      <c r="P39" s="18"/>
      <c r="Q39" s="18"/>
      <c r="R39" s="18"/>
      <c r="S39" s="18"/>
      <c r="T39" s="18"/>
      <c r="U39" s="18"/>
      <c r="W39" s="14"/>
      <c r="X39" s="14"/>
      <c r="Y39" s="13" t="s">
        <v>12</v>
      </c>
      <c r="Z39" s="14"/>
      <c r="AA39" s="14"/>
      <c r="AB39" s="14"/>
      <c r="AC39" s="14"/>
      <c r="AD39" s="13" t="s">
        <v>12</v>
      </c>
      <c r="AE39" s="14"/>
      <c r="AF39" s="14"/>
      <c r="AG39" s="14"/>
      <c r="AH39" s="13" t="s">
        <v>12</v>
      </c>
      <c r="AI39" s="14"/>
      <c r="AJ39" s="14"/>
      <c r="AK39" s="14"/>
      <c r="AL39" s="14"/>
      <c r="AM39" s="13" t="s">
        <v>12</v>
      </c>
      <c r="AN39" s="14"/>
      <c r="AO39" s="14"/>
      <c r="AP39" s="14"/>
      <c r="AQ39" s="13" t="s">
        <v>12</v>
      </c>
      <c r="AR39" s="14"/>
      <c r="AS39" s="14"/>
      <c r="AT39" s="6"/>
      <c r="AV39" s="1" t="s">
        <v>106</v>
      </c>
      <c r="AX39" s="5">
        <f>$H18</f>
        <v>2.08</v>
      </c>
      <c r="AY39" s="5">
        <f>$H19</f>
        <v>2.3279387499999999</v>
      </c>
      <c r="AZ39" s="5">
        <f>$H20</f>
        <v>2.5199651985559579</v>
      </c>
      <c r="BA39" s="5">
        <f>$H21</f>
        <v>3.055654465408804</v>
      </c>
      <c r="BB39" s="5">
        <f>$H22</f>
        <v>3.0452492391304342</v>
      </c>
      <c r="BC39" s="5">
        <f>$H23</f>
        <v>1.8938139999999997</v>
      </c>
      <c r="BD39" s="5">
        <f>$H24</f>
        <v>2.2907097435897432</v>
      </c>
      <c r="BE39" s="5">
        <f>$H25</f>
        <v>3.5097987692307693</v>
      </c>
      <c r="BF39" s="5">
        <f>$H26</f>
        <v>4.056727638888888</v>
      </c>
      <c r="BG39" s="5">
        <f>$H$50</f>
        <v>2.5</v>
      </c>
      <c r="BH39" s="5">
        <f>$H27</f>
        <v>3.5921513253012067</v>
      </c>
      <c r="BI39" s="5">
        <f>$H28</f>
        <v>2.88</v>
      </c>
      <c r="BK39" s="23">
        <f t="shared" si="62"/>
        <v>52</v>
      </c>
      <c r="BL39" s="23">
        <f t="shared" si="2"/>
        <v>0</v>
      </c>
      <c r="BM39" s="23">
        <f t="shared" si="3"/>
        <v>0</v>
      </c>
      <c r="BN39" s="23">
        <f t="shared" si="4"/>
        <v>0</v>
      </c>
      <c r="BO39" s="23">
        <f t="shared" si="5"/>
        <v>0</v>
      </c>
      <c r="BP39" s="23">
        <f t="shared" si="6"/>
        <v>0</v>
      </c>
      <c r="BQ39" s="23">
        <f t="shared" si="7"/>
        <v>0</v>
      </c>
      <c r="BR39" s="23">
        <f t="shared" si="8"/>
        <v>0</v>
      </c>
      <c r="BS39" s="23">
        <f t="shared" si="9"/>
        <v>0</v>
      </c>
      <c r="BT39" s="23">
        <f t="shared" si="10"/>
        <v>5.1209409902485161</v>
      </c>
      <c r="BU39" s="23">
        <f t="shared" si="11"/>
        <v>0</v>
      </c>
      <c r="BV39" s="23">
        <f t="shared" si="12"/>
        <v>3.6677890081954274</v>
      </c>
      <c r="BW39" s="23">
        <f t="shared" si="13"/>
        <v>3.6269288420813801</v>
      </c>
      <c r="BX39" s="23"/>
      <c r="BY39" s="23">
        <v>15</v>
      </c>
      <c r="BZ39" s="24"/>
      <c r="CA39" s="24"/>
      <c r="CB39" s="24"/>
      <c r="CC39" s="24"/>
      <c r="CQ39" s="1">
        <v>18</v>
      </c>
      <c r="CR39" s="23">
        <f t="shared" si="52"/>
        <v>5.0274364967953451</v>
      </c>
      <c r="CS39" s="23">
        <f t="shared" si="53"/>
        <v>37.051047506092878</v>
      </c>
      <c r="CT39" s="23">
        <f t="shared" si="54"/>
        <v>309.00970965091688</v>
      </c>
      <c r="CU39" s="23">
        <f t="shared" si="55"/>
        <v>386.81977319907287</v>
      </c>
    </row>
    <row r="40" spans="1:99" ht="18" x14ac:dyDescent="0.25">
      <c r="A40" s="1">
        <v>1.4</v>
      </c>
      <c r="B40" s="5">
        <f>A40/U40</f>
        <v>0.98146735866268886</v>
      </c>
      <c r="D40" s="54" t="s">
        <v>138</v>
      </c>
      <c r="E40" s="6"/>
      <c r="F40" s="5">
        <v>0.88</v>
      </c>
      <c r="G40" s="5">
        <v>0.05</v>
      </c>
      <c r="H40" s="5">
        <v>2.5</v>
      </c>
      <c r="I40" s="5">
        <v>1</v>
      </c>
      <c r="J40" s="5">
        <v>0</v>
      </c>
      <c r="K40" s="43"/>
      <c r="L40" s="43"/>
      <c r="M40" s="23">
        <f>X40*100</f>
        <v>5.0220580000000004</v>
      </c>
      <c r="N40" s="23">
        <f>AJ40*100</f>
        <v>10.282792364858702</v>
      </c>
      <c r="O40" s="23">
        <f>AH40*100</f>
        <v>46.172240764858707</v>
      </c>
      <c r="P40" s="23">
        <f>(N40-M40)*(1-T40)</f>
        <v>5.2607343648587017</v>
      </c>
      <c r="Q40" s="26">
        <f>AN40</f>
        <v>108.14782785074016</v>
      </c>
      <c r="R40" s="5">
        <f>AG40</f>
        <v>1.4264356197312442</v>
      </c>
      <c r="S40" s="23">
        <f>N40-(S$37-33)*(O40-N40)/(33-AR40)</f>
        <v>35.107375502333994</v>
      </c>
      <c r="T40" s="5">
        <f>((R40/2.65)*J40)/(1-J40*(1-R40/2.65))</f>
        <v>0</v>
      </c>
      <c r="U40" s="5">
        <f>T40*2.65+(1-T40)*R40</f>
        <v>1.4264356197312442</v>
      </c>
      <c r="V40" s="5"/>
      <c r="W40" s="25">
        <f>-0.024*F40+0.487*G40+0.006*H40+0.005*F40*H40-0.013*G40*H40+0.068*F40*G40+0.031</f>
        <v>6.1596999999999999E-2</v>
      </c>
      <c r="X40" s="25">
        <f>W40+0.14*W40-0.02</f>
        <v>5.0220580000000001E-2</v>
      </c>
      <c r="Y40" s="25">
        <f>-0.251*F40+0.195*G40+0.011*H40+0.006*F40*H40-0.027*G40*H40+0.452*F40*G40+0.299</f>
        <v>0.14508300000000002</v>
      </c>
      <c r="Z40" s="25">
        <f>Y40+(1.283*Y40*Y40-0.374*Y40-0.015)</f>
        <v>0.10282792364858702</v>
      </c>
      <c r="AA40" s="5">
        <f>0.278*F40+0.034*G40+0.022*H40-0.018*F40*H40-0.027*G40*H40-0.584*F40*G40+0.078</f>
        <v>0.31066900000000008</v>
      </c>
      <c r="AB40" s="5">
        <f>AA40+(0.636*AA40-0.107)</f>
        <v>0.40125448400000013</v>
      </c>
      <c r="AC40" s="5">
        <f>AB40+Z40</f>
        <v>0.50408240764858714</v>
      </c>
      <c r="AD40" s="5">
        <f>-0.097*F40+0.043</f>
        <v>-4.2360000000000009E-2</v>
      </c>
      <c r="AE40" s="5">
        <f>AC40+AD40</f>
        <v>0.46172240764858713</v>
      </c>
      <c r="AF40" s="5">
        <f>(1-AE40)*2.65</f>
        <v>1.4264356197312442</v>
      </c>
      <c r="AG40" s="25">
        <f>AF40*(I40)</f>
        <v>1.4264356197312442</v>
      </c>
      <c r="AH40" s="25">
        <f>1-(AG40/2.65)</f>
        <v>0.46172240764858707</v>
      </c>
      <c r="AI40" s="25">
        <f>(1-AG40/2.65)-(1-AF40/2.65)</f>
        <v>0</v>
      </c>
      <c r="AJ40" s="25">
        <f t="shared" ref="AJ40:AJ51" si="63">Z40+0.2*AI40</f>
        <v>0.10282792364858702</v>
      </c>
      <c r="AK40" s="25">
        <f>AH40-AJ40</f>
        <v>0.35889448400000007</v>
      </c>
      <c r="AL40" s="25">
        <f xml:space="preserve"> (LN(AJ40)-LN(X40))/(LN(1500)-LN(33))</f>
        <v>0.18776158355467926</v>
      </c>
      <c r="AM40" s="25">
        <f>(1-J40)/(1-J40*(1-1.5*(R40/2.65)))</f>
        <v>1</v>
      </c>
      <c r="AN40" s="26">
        <f>1930*(AK40)^(3-AL40)*AM40</f>
        <v>108.14782785074016</v>
      </c>
      <c r="AO40" s="5">
        <f>(LN(1500)-LN(33))/(LN(AJ40)-LN(X40))</f>
        <v>5.3259031004538988</v>
      </c>
      <c r="AP40" s="25">
        <f>EXP(LN(33)+(AO40*LN(AJ40)))</f>
        <v>1.8076452552206025E-4</v>
      </c>
      <c r="AQ40" s="26">
        <f>-21.674*$F40-27.932*$G40-81.975*$AK40+71.121*$F40*$AK40+8.294*$G40*$AK40+14.05*$F40*$G40+27.161</f>
        <v>0.49988066159112066</v>
      </c>
      <c r="AR40" s="26">
        <f>AQ40+(0.02*AQ40^2-0.113*AQ40-0.7)</f>
        <v>-0.25160823965202039</v>
      </c>
      <c r="AS40" s="25"/>
      <c r="AV40" s="1" t="s">
        <v>104</v>
      </c>
      <c r="AX40" s="5">
        <f>$I18</f>
        <v>1</v>
      </c>
      <c r="AY40" s="5">
        <f>$I19</f>
        <v>1</v>
      </c>
      <c r="AZ40" s="5">
        <f>$I20</f>
        <v>1</v>
      </c>
      <c r="BA40" s="5">
        <f>$I21</f>
        <v>1</v>
      </c>
      <c r="BB40" s="5">
        <f>$I22</f>
        <v>1</v>
      </c>
      <c r="BC40" s="5">
        <f>$I23</f>
        <v>1</v>
      </c>
      <c r="BD40" s="5">
        <f>$I24</f>
        <v>1</v>
      </c>
      <c r="BE40" s="5">
        <f>$I25</f>
        <v>1</v>
      </c>
      <c r="BF40" s="5">
        <f>$I26</f>
        <v>1</v>
      </c>
      <c r="BG40" s="5">
        <f>$I$50</f>
        <v>1</v>
      </c>
      <c r="BH40" s="5">
        <f>$I27</f>
        <v>1</v>
      </c>
      <c r="BI40" s="5">
        <f>$I28</f>
        <v>1</v>
      </c>
      <c r="BJ40" s="31"/>
      <c r="BK40" s="23">
        <f t="shared" si="62"/>
        <v>50</v>
      </c>
      <c r="BL40" s="23">
        <f t="shared" si="2"/>
        <v>0</v>
      </c>
      <c r="BM40" s="23">
        <f t="shared" si="3"/>
        <v>0</v>
      </c>
      <c r="BN40" s="23">
        <f t="shared" si="4"/>
        <v>0</v>
      </c>
      <c r="BO40" s="23">
        <f t="shared" si="5"/>
        <v>0</v>
      </c>
      <c r="BP40" s="23">
        <f t="shared" si="6"/>
        <v>6.2804706064477545</v>
      </c>
      <c r="BQ40" s="23">
        <f t="shared" si="7"/>
        <v>0</v>
      </c>
      <c r="BR40" s="23">
        <f t="shared" si="8"/>
        <v>0</v>
      </c>
      <c r="BS40" s="23">
        <f t="shared" si="9"/>
        <v>0</v>
      </c>
      <c r="BT40" s="23">
        <f t="shared" si="10"/>
        <v>6.4998653015078141</v>
      </c>
      <c r="BU40" s="23">
        <f t="shared" si="11"/>
        <v>0</v>
      </c>
      <c r="BV40" s="23">
        <f t="shared" si="12"/>
        <v>5.3182684092608428</v>
      </c>
      <c r="BW40" s="23">
        <f t="shared" si="13"/>
        <v>5.8756868537717075</v>
      </c>
      <c r="BX40" s="23"/>
      <c r="BY40" s="23">
        <v>13</v>
      </c>
      <c r="BZ40" s="24"/>
      <c r="CA40" s="24"/>
      <c r="CB40" s="24"/>
      <c r="CC40" s="24"/>
      <c r="CQ40" s="1">
        <v>17</v>
      </c>
      <c r="CR40" s="23">
        <f t="shared" si="52"/>
        <v>6.4846908831701118</v>
      </c>
      <c r="CS40" s="23">
        <f t="shared" si="53"/>
        <v>48.638488162730454</v>
      </c>
      <c r="CT40" s="23">
        <f t="shared" si="54"/>
        <v>415.36798552814531</v>
      </c>
      <c r="CU40" s="23">
        <f t="shared" si="55"/>
        <v>487.1098421275654</v>
      </c>
    </row>
    <row r="41" spans="1:99" ht="15.75" x14ac:dyDescent="0.2">
      <c r="A41" s="1">
        <v>1.5</v>
      </c>
      <c r="B41" s="5">
        <f>A41/U41</f>
        <v>1.0486562998782603</v>
      </c>
      <c r="D41" s="54" t="s">
        <v>139</v>
      </c>
      <c r="E41" s="6"/>
      <c r="F41" s="5">
        <v>0.8</v>
      </c>
      <c r="G41" s="5">
        <v>0.05</v>
      </c>
      <c r="H41" s="5">
        <v>2.5</v>
      </c>
      <c r="I41" s="5">
        <v>1</v>
      </c>
      <c r="J41" s="5">
        <v>0</v>
      </c>
      <c r="M41" s="23">
        <f t="shared" ref="M41:M51" si="64">X41*100</f>
        <v>5.0959299999999983</v>
      </c>
      <c r="N41" s="23">
        <f t="shared" ref="N41:N51" si="65">AJ41*100</f>
        <v>12.024454508407503</v>
      </c>
      <c r="O41" s="23">
        <f t="shared" ref="O41:O51" si="66">AH41*100</f>
        <v>46.022568508407517</v>
      </c>
      <c r="P41" s="23">
        <f t="shared" ref="P41:P51" si="67">(N41-M41)*(1-T41)</f>
        <v>6.9285245084075049</v>
      </c>
      <c r="Q41" s="26">
        <f t="shared" ref="Q41:Q51" si="68">AN41</f>
        <v>96.674629962479159</v>
      </c>
      <c r="R41" s="5">
        <f t="shared" ref="R41:R51" si="69">AG41</f>
        <v>1.4304019345272008</v>
      </c>
      <c r="S41" s="23">
        <f t="shared" ref="S41:S51" si="70">N41-(S$37-33)*(O41-N41)/(33-AR41)</f>
        <v>35.606693835429652</v>
      </c>
      <c r="T41" s="5">
        <f t="shared" ref="T41:T51" si="71">((R41/2.65)*J41)/(1-J41*(1-R41/2.65))</f>
        <v>0</v>
      </c>
      <c r="U41" s="5">
        <f t="shared" ref="U41:U51" si="72">T41*2.65+(1-T41)*R41</f>
        <v>1.4304019345272008</v>
      </c>
      <c r="V41" s="5"/>
      <c r="W41" s="25">
        <f t="shared" ref="W41:W51" si="73">-0.024*F41+0.487*G41+0.006*H41+0.005*F41*H41-0.013*G41*H41+0.068*F41*G41+0.031</f>
        <v>6.2244999999999995E-2</v>
      </c>
      <c r="X41" s="25">
        <f t="shared" ref="X41:X54" si="74">W41+0.14*W41-0.02</f>
        <v>5.0959299999999985E-2</v>
      </c>
      <c r="Y41" s="25">
        <f t="shared" ref="Y41:Y51" si="75">-0.251*F41+0.195*G41+0.011*H41+0.006*F41*H41-0.027*G41*H41+0.452*F41*G41+0.299</f>
        <v>0.16215500000000002</v>
      </c>
      <c r="Z41" s="25">
        <f t="shared" ref="Z41:Z54" si="76">Y41+(1.283*Y41*Y41-0.374*Y41-0.015)</f>
        <v>0.12024454508407503</v>
      </c>
      <c r="AA41" s="5">
        <f t="shared" ref="AA41:AA51" si="77">0.278*F41+0.034*G41+0.022*H41-0.018*F41*H41-0.027*G41*H41-0.584*F41*G41+0.078</f>
        <v>0.29436500000000004</v>
      </c>
      <c r="AB41" s="5">
        <f t="shared" ref="AB41:AB54" si="78">AA41+(0.636*AA41-0.107)</f>
        <v>0.37458114000000009</v>
      </c>
      <c r="AC41" s="5">
        <f t="shared" ref="AC41:AC51" si="79">AB41+Z41</f>
        <v>0.4948256850840751</v>
      </c>
      <c r="AD41" s="5">
        <f t="shared" ref="AD41:AD51" si="80">-0.097*F41+0.043</f>
        <v>-3.4600000000000006E-2</v>
      </c>
      <c r="AE41" s="5">
        <f t="shared" ref="AE41:AE51" si="81">AC41+AD41</f>
        <v>0.46022568508407508</v>
      </c>
      <c r="AF41" s="5">
        <f t="shared" ref="AF41:AF54" si="82">(1-AE41)*2.65</f>
        <v>1.4304019345272008</v>
      </c>
      <c r="AG41" s="25">
        <f t="shared" ref="AG41:AG51" si="83">AF41*(I41)</f>
        <v>1.4304019345272008</v>
      </c>
      <c r="AH41" s="25">
        <f t="shared" ref="AH41:AH54" si="84">1-(AG41/2.65)</f>
        <v>0.46022568508407513</v>
      </c>
      <c r="AI41" s="25">
        <f t="shared" ref="AI41:AI51" si="85">(1-AG41/2.65)-(1-AF41/2.65)</f>
        <v>0</v>
      </c>
      <c r="AJ41" s="25">
        <f t="shared" si="63"/>
        <v>0.12024454508407503</v>
      </c>
      <c r="AK41" s="25">
        <f t="shared" ref="AK41:AK51" si="86">AH41-AJ41</f>
        <v>0.33998114000000013</v>
      </c>
      <c r="AL41" s="25">
        <f t="shared" ref="AL41:AL51" si="87" xml:space="preserve"> (LN(AJ41)-LN(X41))/(LN(1500)-LN(33))</f>
        <v>0.22493184820227929</v>
      </c>
      <c r="AM41" s="25">
        <f t="shared" ref="AM41:AM51" si="88">(1-J41)/(1-J41*(1-1.5*(R41/2.65)))</f>
        <v>1</v>
      </c>
      <c r="AN41" s="26">
        <f t="shared" ref="AN41:AN51" si="89">1930*(AK41)^(3-AL41)*AM41</f>
        <v>96.674629962479159</v>
      </c>
      <c r="AO41" s="5">
        <f t="shared" ref="AO41:AO51" si="90">(LN(1500)-LN(33))/(LN(AJ41)-LN(X41))</f>
        <v>4.4457910606803379</v>
      </c>
      <c r="AP41" s="25">
        <f t="shared" ref="AP41:AP51" si="91">EXP(LN(33)+(AO41*LN(AJ41)))</f>
        <v>2.6833470524757087E-3</v>
      </c>
      <c r="AQ41" s="26">
        <f t="shared" ref="AQ41:AQ55" si="92">-21.674*$F41-27.932*$G41-81.975*$AK41+71.121*$F41*$AK41+8.294*$G41*$AK41+14.05*$F41*$G41+27.161</f>
        <v>0.60207515361000219</v>
      </c>
      <c r="AR41" s="26">
        <f t="shared" ref="AR41:AR54" si="93">AQ41+(0.02*AQ41^2-0.113*AQ41-0.7)</f>
        <v>-0.15870944893603789</v>
      </c>
      <c r="AV41" s="1" t="s">
        <v>105</v>
      </c>
      <c r="AX41" s="5">
        <f>$J18</f>
        <v>0</v>
      </c>
      <c r="AY41" s="5">
        <f>$J19</f>
        <v>0</v>
      </c>
      <c r="AZ41" s="5">
        <f>$J20</f>
        <v>0</v>
      </c>
      <c r="BA41" s="5">
        <f>$J21</f>
        <v>0</v>
      </c>
      <c r="BB41" s="5">
        <f>$J22</f>
        <v>0</v>
      </c>
      <c r="BC41" s="5">
        <f>$J23</f>
        <v>0</v>
      </c>
      <c r="BD41" s="5">
        <f>$J24</f>
        <v>0</v>
      </c>
      <c r="BE41" s="5">
        <f>$J25</f>
        <v>0</v>
      </c>
      <c r="BF41" s="5">
        <f>$J26</f>
        <v>0</v>
      </c>
      <c r="BG41" s="5">
        <f>$J$50</f>
        <v>0</v>
      </c>
      <c r="BH41" s="5">
        <f>$J27</f>
        <v>0</v>
      </c>
      <c r="BI41" s="5">
        <f>$J28</f>
        <v>0</v>
      </c>
      <c r="BJ41" s="31"/>
      <c r="BK41" s="23">
        <f t="shared" si="62"/>
        <v>48</v>
      </c>
      <c r="BL41" s="23">
        <f t="shared" si="2"/>
        <v>0</v>
      </c>
      <c r="BM41" s="23">
        <f t="shared" si="3"/>
        <v>0</v>
      </c>
      <c r="BN41" s="23">
        <f t="shared" si="4"/>
        <v>0</v>
      </c>
      <c r="BO41" s="23">
        <f t="shared" si="5"/>
        <v>0</v>
      </c>
      <c r="BP41" s="23">
        <f t="shared" si="6"/>
        <v>7.4044990112044973</v>
      </c>
      <c r="BQ41" s="23">
        <f t="shared" si="7"/>
        <v>0</v>
      </c>
      <c r="BR41" s="23">
        <f t="shared" si="8"/>
        <v>0</v>
      </c>
      <c r="BS41" s="23">
        <f t="shared" si="9"/>
        <v>3.8212573715445499</v>
      </c>
      <c r="BT41" s="23">
        <f t="shared" si="10"/>
        <v>8.330801965782376</v>
      </c>
      <c r="BU41" s="23">
        <f t="shared" si="11"/>
        <v>0</v>
      </c>
      <c r="BV41" s="23">
        <f t="shared" si="12"/>
        <v>7.8293249165378427</v>
      </c>
      <c r="BW41" s="23">
        <f t="shared" si="13"/>
        <v>9.7080588012055085</v>
      </c>
      <c r="BX41" s="23"/>
      <c r="BY41" s="23">
        <v>12</v>
      </c>
      <c r="BZ41" s="24"/>
      <c r="CA41" s="24"/>
      <c r="CB41" s="24"/>
      <c r="CC41" s="24"/>
      <c r="CQ41" s="1">
        <v>16</v>
      </c>
      <c r="CR41" s="23">
        <f t="shared" si="52"/>
        <v>8.4944547584669632</v>
      </c>
      <c r="CS41" s="23">
        <f t="shared" si="53"/>
        <v>64.912196476177499</v>
      </c>
      <c r="CT41" s="23">
        <f t="shared" si="54"/>
        <v>568.43924877600455</v>
      </c>
      <c r="CU41" s="23">
        <f t="shared" si="55"/>
        <v>622.0374417807385</v>
      </c>
    </row>
    <row r="42" spans="1:99" ht="15.75" x14ac:dyDescent="0.2">
      <c r="D42" s="54" t="s">
        <v>140</v>
      </c>
      <c r="E42" s="6"/>
      <c r="F42" s="1">
        <v>0.65</v>
      </c>
      <c r="G42" s="1">
        <v>0.1</v>
      </c>
      <c r="H42" s="5">
        <v>2.5</v>
      </c>
      <c r="I42" s="5">
        <v>1</v>
      </c>
      <c r="J42" s="5">
        <v>0</v>
      </c>
      <c r="K42" s="23"/>
      <c r="L42" s="23"/>
      <c r="M42" s="23">
        <f t="shared" si="64"/>
        <v>8.0770300000000006</v>
      </c>
      <c r="N42" s="23">
        <f t="shared" si="65"/>
        <v>17.916761157069995</v>
      </c>
      <c r="O42" s="23">
        <f t="shared" si="66"/>
        <v>44.989465157069993</v>
      </c>
      <c r="P42" s="23">
        <f t="shared" si="67"/>
        <v>9.8397311570699948</v>
      </c>
      <c r="Q42" s="26">
        <f t="shared" si="68"/>
        <v>50.304555133247327</v>
      </c>
      <c r="R42" s="5">
        <f t="shared" si="69"/>
        <v>1.4577791733376451</v>
      </c>
      <c r="S42" s="23">
        <f t="shared" si="70"/>
        <v>37.317017900755744</v>
      </c>
      <c r="T42" s="5">
        <f t="shared" si="71"/>
        <v>0</v>
      </c>
      <c r="U42" s="5">
        <f t="shared" si="72"/>
        <v>1.4577791733376451</v>
      </c>
      <c r="V42" s="5"/>
      <c r="W42" s="25">
        <f t="shared" si="73"/>
        <v>8.8395000000000001E-2</v>
      </c>
      <c r="X42" s="25">
        <f t="shared" si="74"/>
        <v>8.0770300000000003E-2</v>
      </c>
      <c r="Y42" s="25">
        <f t="shared" si="75"/>
        <v>0.21522999999999998</v>
      </c>
      <c r="Z42" s="25">
        <f t="shared" si="76"/>
        <v>0.17916761157069996</v>
      </c>
      <c r="AA42" s="5">
        <f t="shared" si="77"/>
        <v>0.24314000000000002</v>
      </c>
      <c r="AB42" s="5">
        <f t="shared" si="78"/>
        <v>0.29077704000000004</v>
      </c>
      <c r="AC42" s="5">
        <f t="shared" si="79"/>
        <v>0.46994465157069998</v>
      </c>
      <c r="AD42" s="5">
        <f t="shared" si="80"/>
        <v>-2.0050000000000012E-2</v>
      </c>
      <c r="AE42" s="5">
        <f t="shared" si="81"/>
        <v>0.44989465157069997</v>
      </c>
      <c r="AF42" s="5">
        <f t="shared" si="82"/>
        <v>1.4577791733376451</v>
      </c>
      <c r="AG42" s="25">
        <f t="shared" si="83"/>
        <v>1.4577791733376451</v>
      </c>
      <c r="AH42" s="25">
        <f t="shared" si="84"/>
        <v>0.44989465157069997</v>
      </c>
      <c r="AI42" s="25">
        <f t="shared" si="85"/>
        <v>0</v>
      </c>
      <c r="AJ42" s="25">
        <f t="shared" si="63"/>
        <v>0.17916761157069996</v>
      </c>
      <c r="AK42" s="25">
        <f t="shared" si="86"/>
        <v>0.27072704000000003</v>
      </c>
      <c r="AL42" s="25">
        <f t="shared" si="87"/>
        <v>0.20874308807210615</v>
      </c>
      <c r="AM42" s="25">
        <f t="shared" si="88"/>
        <v>1</v>
      </c>
      <c r="AN42" s="26">
        <f t="shared" si="89"/>
        <v>50.304555133247327</v>
      </c>
      <c r="AO42" s="5">
        <f t="shared" si="90"/>
        <v>4.7905777826500771</v>
      </c>
      <c r="AP42" s="25">
        <f t="shared" si="91"/>
        <v>8.7336445309738643E-3</v>
      </c>
      <c r="AQ42" s="26">
        <f t="shared" si="92"/>
        <v>1.7399874806720064</v>
      </c>
      <c r="AR42" s="26">
        <f t="shared" si="93"/>
        <v>0.90392002401397598</v>
      </c>
      <c r="AX42" s="5"/>
      <c r="AY42" s="5"/>
      <c r="BA42" s="31"/>
      <c r="BK42" s="23">
        <f>BK41-2</f>
        <v>46</v>
      </c>
      <c r="BL42" s="23">
        <f t="shared" si="2"/>
        <v>0</v>
      </c>
      <c r="BM42" s="23">
        <f t="shared" si="3"/>
        <v>0</v>
      </c>
      <c r="BN42" s="23">
        <f t="shared" si="4"/>
        <v>0</v>
      </c>
      <c r="BO42" s="23">
        <f t="shared" si="5"/>
        <v>2.4057719827690458</v>
      </c>
      <c r="BP42" s="23">
        <f t="shared" si="6"/>
        <v>8.7910909510039161</v>
      </c>
      <c r="BQ42" s="23">
        <f t="shared" si="7"/>
        <v>12.526725241034006</v>
      </c>
      <c r="BR42" s="23">
        <f t="shared" si="8"/>
        <v>0</v>
      </c>
      <c r="BS42" s="23">
        <f t="shared" si="9"/>
        <v>5.1362401625067164</v>
      </c>
      <c r="BT42" s="23">
        <f t="shared" si="10"/>
        <v>10.790886107607417</v>
      </c>
      <c r="BU42" s="23">
        <f t="shared" si="11"/>
        <v>0</v>
      </c>
      <c r="BV42" s="23">
        <f t="shared" si="12"/>
        <v>11.717298030286981</v>
      </c>
      <c r="BW42" s="23">
        <f t="shared" si="13"/>
        <v>16.386591721415723</v>
      </c>
      <c r="BX42" s="23"/>
      <c r="BY42" s="23">
        <f>BY41-2</f>
        <v>10</v>
      </c>
      <c r="BZ42" s="24"/>
      <c r="CA42" s="24"/>
      <c r="CB42" s="24"/>
      <c r="CC42" s="24"/>
      <c r="CQ42" s="1">
        <v>15</v>
      </c>
      <c r="CR42" s="23">
        <f t="shared" si="52"/>
        <v>11.32272872344776</v>
      </c>
      <c r="CS42" s="23">
        <f t="shared" si="53"/>
        <v>88.260186607205924</v>
      </c>
      <c r="CT42" s="23">
        <f t="shared" si="54"/>
        <v>793.83711734682129</v>
      </c>
      <c r="CU42" s="23">
        <f t="shared" si="55"/>
        <v>806.9780176395027</v>
      </c>
    </row>
    <row r="43" spans="1:99" ht="15.75" x14ac:dyDescent="0.2">
      <c r="D43" s="54" t="s">
        <v>141</v>
      </c>
      <c r="F43" s="1">
        <v>0.4</v>
      </c>
      <c r="G43" s="1">
        <v>0.2</v>
      </c>
      <c r="H43" s="5">
        <v>2.5</v>
      </c>
      <c r="I43" s="5">
        <v>1</v>
      </c>
      <c r="J43" s="5">
        <v>0</v>
      </c>
      <c r="K43" s="23"/>
      <c r="L43" s="23"/>
      <c r="M43" s="23">
        <f t="shared" si="64"/>
        <v>13.702360000000002</v>
      </c>
      <c r="N43" s="23">
        <f t="shared" si="65"/>
        <v>27.961016494079992</v>
      </c>
      <c r="O43" s="23">
        <f t="shared" si="66"/>
        <v>45.947824494079995</v>
      </c>
      <c r="P43" s="23">
        <f t="shared" si="67"/>
        <v>14.25865649407999</v>
      </c>
      <c r="Q43" s="26">
        <f t="shared" si="68"/>
        <v>15.47565639941927</v>
      </c>
      <c r="R43" s="5">
        <f t="shared" si="69"/>
        <v>1.4323826509068802</v>
      </c>
      <c r="S43" s="23">
        <f t="shared" si="70"/>
        <v>42.182433162435494</v>
      </c>
      <c r="T43" s="5">
        <f t="shared" si="71"/>
        <v>0</v>
      </c>
      <c r="U43" s="5">
        <f t="shared" si="72"/>
        <v>1.4323826509068802</v>
      </c>
      <c r="V43" s="5"/>
      <c r="W43" s="25">
        <f t="shared" si="73"/>
        <v>0.13774</v>
      </c>
      <c r="X43" s="25">
        <f t="shared" si="74"/>
        <v>0.13702360000000002</v>
      </c>
      <c r="Y43" s="25">
        <f t="shared" si="75"/>
        <v>0.29375999999999997</v>
      </c>
      <c r="Z43" s="25">
        <f t="shared" si="76"/>
        <v>0.27961016494079993</v>
      </c>
      <c r="AA43" s="5">
        <f t="shared" si="77"/>
        <v>0.17277999999999999</v>
      </c>
      <c r="AB43" s="5">
        <f t="shared" si="78"/>
        <v>0.17566808</v>
      </c>
      <c r="AC43" s="5">
        <f t="shared" si="79"/>
        <v>0.45527824494079994</v>
      </c>
      <c r="AD43" s="5">
        <f t="shared" si="80"/>
        <v>4.1999999999999954E-3</v>
      </c>
      <c r="AE43" s="5">
        <f t="shared" si="81"/>
        <v>0.45947824494079992</v>
      </c>
      <c r="AF43" s="5">
        <f t="shared" si="82"/>
        <v>1.4323826509068802</v>
      </c>
      <c r="AG43" s="25">
        <f t="shared" si="83"/>
        <v>1.4323826509068802</v>
      </c>
      <c r="AH43" s="25">
        <f t="shared" si="84"/>
        <v>0.45947824494079992</v>
      </c>
      <c r="AI43" s="25">
        <f t="shared" si="85"/>
        <v>0</v>
      </c>
      <c r="AJ43" s="25">
        <f t="shared" si="63"/>
        <v>0.27961016494079993</v>
      </c>
      <c r="AK43" s="25">
        <f t="shared" si="86"/>
        <v>0.17986807999999999</v>
      </c>
      <c r="AL43" s="25">
        <f t="shared" si="87"/>
        <v>0.1868736852404029</v>
      </c>
      <c r="AM43" s="25">
        <f t="shared" si="88"/>
        <v>1</v>
      </c>
      <c r="AN43" s="26">
        <f t="shared" si="89"/>
        <v>15.47565639941927</v>
      </c>
      <c r="AO43" s="5">
        <f t="shared" si="90"/>
        <v>5.3512082170025916</v>
      </c>
      <c r="AP43" s="25">
        <f t="shared" si="91"/>
        <v>3.6049858856557426E-2</v>
      </c>
      <c r="AQ43" s="26">
        <f t="shared" si="92"/>
        <v>4.6996384001760028</v>
      </c>
      <c r="AR43" s="26">
        <f t="shared" si="93"/>
        <v>3.9103112828042916</v>
      </c>
      <c r="AW43" s="5"/>
      <c r="AX43" s="5"/>
      <c r="BB43" s="5"/>
      <c r="BC43" s="5"/>
      <c r="BD43" s="5"/>
      <c r="BE43" s="5"/>
      <c r="BF43" s="5"/>
      <c r="BG43" s="5"/>
      <c r="BH43" s="5"/>
      <c r="BI43" s="5"/>
      <c r="BJ43" s="5"/>
      <c r="BK43" s="23">
        <f t="shared" si="62"/>
        <v>44</v>
      </c>
      <c r="BL43" s="23">
        <f t="shared" si="2"/>
        <v>5.152508540317325E-2</v>
      </c>
      <c r="BM43" s="23">
        <f t="shared" si="3"/>
        <v>9.3913755225998499E-2</v>
      </c>
      <c r="BN43" s="23">
        <f t="shared" si="4"/>
        <v>0.52572761638792886</v>
      </c>
      <c r="BO43" s="23">
        <f t="shared" si="5"/>
        <v>3.0280130705794277</v>
      </c>
      <c r="BP43" s="23">
        <f t="shared" si="6"/>
        <v>10.517297021911244</v>
      </c>
      <c r="BQ43" s="23">
        <f t="shared" si="7"/>
        <v>14.157021506450135</v>
      </c>
      <c r="BR43" s="23">
        <f t="shared" si="8"/>
        <v>0</v>
      </c>
      <c r="BS43" s="23">
        <f t="shared" si="9"/>
        <v>6.9951107839453037</v>
      </c>
      <c r="BT43" s="23">
        <f t="shared" si="10"/>
        <v>14.139148380264132</v>
      </c>
      <c r="BU43" s="23">
        <f t="shared" si="11"/>
        <v>4.3745658880575258</v>
      </c>
      <c r="BV43" s="23">
        <f t="shared" si="12"/>
        <v>17.853176864555664</v>
      </c>
      <c r="BW43" s="23">
        <f t="shared" si="13"/>
        <v>28.31084597980394</v>
      </c>
      <c r="BX43" s="23"/>
      <c r="BY43" s="23">
        <f>BY42-2</f>
        <v>8</v>
      </c>
      <c r="BZ43" s="24"/>
      <c r="CA43" s="24"/>
      <c r="CB43" s="24"/>
      <c r="CC43" s="24"/>
      <c r="CQ43" s="1">
        <v>14</v>
      </c>
      <c r="CR43" s="23">
        <f t="shared" si="52"/>
        <v>15.395056218597933</v>
      </c>
      <c r="CS43" s="23">
        <f t="shared" si="53"/>
        <v>122.57816119075559</v>
      </c>
      <c r="CT43" s="23">
        <f t="shared" si="54"/>
        <v>1134.4613183960951</v>
      </c>
      <c r="CU43" s="23"/>
    </row>
    <row r="44" spans="1:99" ht="15.75" x14ac:dyDescent="0.25">
      <c r="B44" s="10"/>
      <c r="D44" s="54" t="s">
        <v>142</v>
      </c>
      <c r="F44" s="1">
        <v>0.2</v>
      </c>
      <c r="G44" s="1">
        <v>0.15</v>
      </c>
      <c r="H44" s="5">
        <v>2.5</v>
      </c>
      <c r="I44" s="5">
        <v>1</v>
      </c>
      <c r="J44" s="5">
        <v>0</v>
      </c>
      <c r="K44" s="23"/>
      <c r="L44" s="23"/>
      <c r="M44" s="23">
        <f t="shared" si="64"/>
        <v>10.986309999999998</v>
      </c>
      <c r="N44" s="23">
        <f t="shared" si="65"/>
        <v>30.518295340867496</v>
      </c>
      <c r="O44" s="23">
        <f t="shared" si="66"/>
        <v>47.872493340867493</v>
      </c>
      <c r="P44" s="23">
        <f t="shared" si="67"/>
        <v>19.5319853408675</v>
      </c>
      <c r="Q44" s="26">
        <f t="shared" si="68"/>
        <v>16.120216583734578</v>
      </c>
      <c r="R44" s="5">
        <f t="shared" si="69"/>
        <v>1.3813789264670113</v>
      </c>
      <c r="S44" s="23">
        <f t="shared" si="70"/>
        <v>45.927413382260305</v>
      </c>
      <c r="T44" s="5">
        <f t="shared" si="71"/>
        <v>0</v>
      </c>
      <c r="U44" s="5">
        <f t="shared" si="72"/>
        <v>1.3813789264670113</v>
      </c>
      <c r="V44" s="5"/>
      <c r="W44" s="25">
        <f t="shared" si="73"/>
        <v>0.11391499999999999</v>
      </c>
      <c r="X44" s="25">
        <f t="shared" si="74"/>
        <v>0.10986309999999998</v>
      </c>
      <c r="Y44" s="25">
        <f t="shared" si="75"/>
        <v>0.31198499999999996</v>
      </c>
      <c r="Z44" s="25">
        <f t="shared" si="76"/>
        <v>0.30518295340867496</v>
      </c>
      <c r="AA44" s="5">
        <f t="shared" si="77"/>
        <v>0.157055</v>
      </c>
      <c r="AB44" s="5">
        <f t="shared" si="78"/>
        <v>0.14994198</v>
      </c>
      <c r="AC44" s="5">
        <f t="shared" si="79"/>
        <v>0.45512493340867499</v>
      </c>
      <c r="AD44" s="5">
        <f t="shared" si="80"/>
        <v>2.3599999999999996E-2</v>
      </c>
      <c r="AE44" s="5">
        <f t="shared" si="81"/>
        <v>0.478724933408675</v>
      </c>
      <c r="AF44" s="5">
        <f t="shared" si="82"/>
        <v>1.3813789264670113</v>
      </c>
      <c r="AG44" s="25">
        <f t="shared" si="83"/>
        <v>1.3813789264670113</v>
      </c>
      <c r="AH44" s="25">
        <f t="shared" si="84"/>
        <v>0.47872493340867495</v>
      </c>
      <c r="AI44" s="25">
        <f t="shared" si="85"/>
        <v>0</v>
      </c>
      <c r="AJ44" s="25">
        <f t="shared" si="63"/>
        <v>0.30518295340867496</v>
      </c>
      <c r="AK44" s="25">
        <f t="shared" si="86"/>
        <v>0.17354197999999998</v>
      </c>
      <c r="AL44" s="25">
        <f t="shared" si="87"/>
        <v>0.26768490201971568</v>
      </c>
      <c r="AM44" s="25">
        <f t="shared" si="88"/>
        <v>1</v>
      </c>
      <c r="AN44" s="26">
        <f t="shared" si="89"/>
        <v>16.120216583734578</v>
      </c>
      <c r="AO44" s="5">
        <f t="shared" si="90"/>
        <v>3.7357355325417174</v>
      </c>
      <c r="AP44" s="25">
        <f t="shared" si="91"/>
        <v>0.39171250087519111</v>
      </c>
      <c r="AQ44" s="26">
        <f t="shared" si="92"/>
        <v>7.5161955987340008</v>
      </c>
      <c r="AR44" s="26">
        <f t="shared" si="93"/>
        <v>7.0967294216456258</v>
      </c>
      <c r="AW44" s="5"/>
      <c r="AX44" s="5"/>
      <c r="BK44" s="23">
        <v>42</v>
      </c>
      <c r="BL44" s="23">
        <f t="shared" si="2"/>
        <v>6.3134105928858666E-2</v>
      </c>
      <c r="BM44" s="23">
        <f t="shared" si="3"/>
        <v>0.1155307369220233</v>
      </c>
      <c r="BN44" s="23">
        <f t="shared" si="4"/>
        <v>0.65606161878668978</v>
      </c>
      <c r="BO44" s="23">
        <f t="shared" si="5"/>
        <v>3.8522044742047661</v>
      </c>
      <c r="BP44" s="23">
        <f t="shared" si="6"/>
        <v>12.687856006332561</v>
      </c>
      <c r="BQ44" s="23">
        <f t="shared" si="7"/>
        <v>16.09083080115558</v>
      </c>
      <c r="BR44" s="23">
        <f t="shared" si="8"/>
        <v>1.6316790798661482</v>
      </c>
      <c r="BS44" s="23">
        <f t="shared" si="9"/>
        <v>9.6646375905348236</v>
      </c>
      <c r="BT44" s="23">
        <f t="shared" si="10"/>
        <v>18.760750646601149</v>
      </c>
      <c r="BU44" s="23">
        <f t="shared" si="11"/>
        <v>7.0398301720266732</v>
      </c>
      <c r="BV44" s="23">
        <f t="shared" si="12"/>
        <v>27.740415308212906</v>
      </c>
      <c r="BW44" s="57">
        <f t="shared" si="13"/>
        <v>50.172507163058533</v>
      </c>
      <c r="BX44" s="23"/>
      <c r="CQ44" s="1">
        <v>13</v>
      </c>
      <c r="CR44" s="23"/>
      <c r="CS44" s="23"/>
      <c r="CT44" s="23"/>
      <c r="CU44" s="23"/>
    </row>
    <row r="45" spans="1:99" ht="15.75" x14ac:dyDescent="0.2">
      <c r="D45" s="54" t="s">
        <v>143</v>
      </c>
      <c r="F45" s="1">
        <v>0.1</v>
      </c>
      <c r="G45" s="1">
        <v>0.05</v>
      </c>
      <c r="H45" s="5">
        <v>2.5</v>
      </c>
      <c r="I45" s="5">
        <v>1</v>
      </c>
      <c r="J45" s="5">
        <v>0</v>
      </c>
      <c r="K45" s="23"/>
      <c r="L45" s="23"/>
      <c r="M45" s="23">
        <f t="shared" si="64"/>
        <v>5.7423100000000007</v>
      </c>
      <c r="N45" s="23">
        <f t="shared" si="65"/>
        <v>30.454126413667503</v>
      </c>
      <c r="O45" s="23">
        <f t="shared" si="66"/>
        <v>47.903064413667494</v>
      </c>
      <c r="P45" s="23">
        <f t="shared" si="67"/>
        <v>24.711816413667503</v>
      </c>
      <c r="Q45" s="26">
        <f t="shared" si="68"/>
        <v>21.993883925397952</v>
      </c>
      <c r="R45" s="5">
        <f t="shared" si="69"/>
        <v>1.3805687930378112</v>
      </c>
      <c r="S45" s="23">
        <f t="shared" si="70"/>
        <v>48.737953104105358</v>
      </c>
      <c r="T45" s="5">
        <f t="shared" si="71"/>
        <v>0</v>
      </c>
      <c r="U45" s="5">
        <f t="shared" si="72"/>
        <v>1.3805687930378112</v>
      </c>
      <c r="V45" s="5"/>
      <c r="W45" s="25">
        <f t="shared" si="73"/>
        <v>6.7915000000000003E-2</v>
      </c>
      <c r="X45" s="25">
        <f t="shared" si="74"/>
        <v>5.7423100000000005E-2</v>
      </c>
      <c r="Y45" s="25">
        <f t="shared" si="75"/>
        <v>0.31153500000000001</v>
      </c>
      <c r="Z45" s="25">
        <f t="shared" si="76"/>
        <v>0.30454126413667504</v>
      </c>
      <c r="AA45" s="5">
        <f t="shared" si="77"/>
        <v>0.15170499999999998</v>
      </c>
      <c r="AB45" s="5">
        <f t="shared" si="78"/>
        <v>0.14118937999999998</v>
      </c>
      <c r="AC45" s="5">
        <f t="shared" si="79"/>
        <v>0.44573064413667501</v>
      </c>
      <c r="AD45" s="5">
        <f t="shared" si="80"/>
        <v>3.3299999999999996E-2</v>
      </c>
      <c r="AE45" s="5">
        <f t="shared" si="81"/>
        <v>0.47903064413667501</v>
      </c>
      <c r="AF45" s="5">
        <f t="shared" si="82"/>
        <v>1.3805687930378112</v>
      </c>
      <c r="AG45" s="25">
        <f t="shared" si="83"/>
        <v>1.3805687930378112</v>
      </c>
      <c r="AH45" s="25">
        <f t="shared" si="84"/>
        <v>0.47903064413667495</v>
      </c>
      <c r="AI45" s="25">
        <f t="shared" si="85"/>
        <v>0</v>
      </c>
      <c r="AJ45" s="25">
        <f t="shared" si="63"/>
        <v>0.30454126413667504</v>
      </c>
      <c r="AK45" s="25">
        <f t="shared" si="86"/>
        <v>0.17448937999999992</v>
      </c>
      <c r="AL45" s="25">
        <f t="shared" si="87"/>
        <v>0.43711958620023522</v>
      </c>
      <c r="AM45" s="25">
        <f t="shared" si="88"/>
        <v>1</v>
      </c>
      <c r="AN45" s="26">
        <f t="shared" si="89"/>
        <v>21.993883925397952</v>
      </c>
      <c r="AO45" s="5">
        <f t="shared" si="90"/>
        <v>2.2877034833710725</v>
      </c>
      <c r="AP45" s="25">
        <f t="shared" si="91"/>
        <v>2.1739493917529118</v>
      </c>
      <c r="AQ45" s="26">
        <f t="shared" si="92"/>
        <v>10.67682973988401</v>
      </c>
      <c r="AR45" s="26">
        <f t="shared" si="93"/>
        <v>11.05024184516655</v>
      </c>
      <c r="AT45" s="5"/>
      <c r="AW45" s="5"/>
      <c r="AX45" s="5"/>
      <c r="BA45" s="39"/>
      <c r="BB45" s="39"/>
      <c r="BC45" s="39"/>
      <c r="BD45" s="39"/>
      <c r="BE45" s="39"/>
      <c r="BF45" s="39"/>
      <c r="BG45" s="39"/>
      <c r="BH45" s="39"/>
      <c r="BI45" s="39"/>
      <c r="BK45" s="23">
        <f>BK44-2</f>
        <v>40</v>
      </c>
      <c r="BL45" s="23">
        <f t="shared" si="2"/>
        <v>7.8129611844737129E-2</v>
      </c>
      <c r="BM45" s="23">
        <f t="shared" si="3"/>
        <v>0.14356754722899359</v>
      </c>
      <c r="BN45" s="23">
        <f t="shared" si="4"/>
        <v>0.82760324417352549</v>
      </c>
      <c r="BO45" s="23">
        <f t="shared" si="5"/>
        <v>4.9586444722123169</v>
      </c>
      <c r="BP45" s="23">
        <f t="shared" si="6"/>
        <v>15.447162600450485</v>
      </c>
      <c r="BQ45" s="23">
        <f t="shared" si="7"/>
        <v>18.403423137477759</v>
      </c>
      <c r="BR45" s="23">
        <f t="shared" si="8"/>
        <v>2.3626680894764687</v>
      </c>
      <c r="BS45" s="23">
        <f t="shared" si="9"/>
        <v>13.565241943793151</v>
      </c>
      <c r="BT45" s="23">
        <f t="shared" si="10"/>
        <v>25.238936520487634</v>
      </c>
      <c r="BU45" s="23">
        <f t="shared" si="11"/>
        <v>11.595051600426064</v>
      </c>
      <c r="BV45" s="57">
        <f t="shared" si="12"/>
        <v>44.040322391597677</v>
      </c>
      <c r="BW45" s="23">
        <f t="shared" si="13"/>
        <v>91.433646775129048</v>
      </c>
      <c r="BX45" s="23"/>
      <c r="CQ45" s="1">
        <v>12</v>
      </c>
      <c r="CR45" s="23"/>
      <c r="CS45" s="23"/>
      <c r="CT45" s="23"/>
      <c r="CU45" s="23"/>
    </row>
    <row r="46" spans="1:99" ht="15.75" x14ac:dyDescent="0.2">
      <c r="D46" s="54" t="s">
        <v>144</v>
      </c>
      <c r="F46" s="1">
        <v>0.6</v>
      </c>
      <c r="G46" s="1">
        <v>0.25</v>
      </c>
      <c r="H46" s="5">
        <v>2.5</v>
      </c>
      <c r="I46" s="5">
        <v>1</v>
      </c>
      <c r="J46" s="5">
        <v>0</v>
      </c>
      <c r="K46" s="23"/>
      <c r="L46" s="23"/>
      <c r="M46" s="23">
        <f t="shared" si="64"/>
        <v>16.573450000000005</v>
      </c>
      <c r="N46" s="23">
        <f t="shared" si="65"/>
        <v>26.704504999187499</v>
      </c>
      <c r="O46" s="23">
        <f t="shared" si="66"/>
        <v>43.413074999187508</v>
      </c>
      <c r="P46" s="23">
        <f t="shared" si="67"/>
        <v>10.131054999187494</v>
      </c>
      <c r="Q46" s="26">
        <f t="shared" si="68"/>
        <v>11.25889492484162</v>
      </c>
      <c r="R46" s="5">
        <f t="shared" si="69"/>
        <v>1.4995535125215311</v>
      </c>
      <c r="S46" s="23">
        <f t="shared" si="70"/>
        <v>39.18256773694543</v>
      </c>
      <c r="T46" s="5">
        <f t="shared" si="71"/>
        <v>0</v>
      </c>
      <c r="U46" s="5">
        <f t="shared" si="72"/>
        <v>1.4995535125215311</v>
      </c>
      <c r="V46" s="5"/>
      <c r="W46" s="25">
        <f t="shared" si="73"/>
        <v>0.16292500000000001</v>
      </c>
      <c r="X46" s="25">
        <f t="shared" si="74"/>
        <v>0.16573450000000003</v>
      </c>
      <c r="Y46" s="25">
        <f t="shared" si="75"/>
        <v>0.28457500000000002</v>
      </c>
      <c r="Z46" s="25">
        <f t="shared" si="76"/>
        <v>0.26704504999187501</v>
      </c>
      <c r="AA46" s="5">
        <f t="shared" si="77"/>
        <v>0.17682500000000001</v>
      </c>
      <c r="AB46" s="5">
        <f t="shared" si="78"/>
        <v>0.18228570000000002</v>
      </c>
      <c r="AC46" s="5">
        <f t="shared" si="79"/>
        <v>0.44933074999187506</v>
      </c>
      <c r="AD46" s="5">
        <f t="shared" si="80"/>
        <v>-1.5200000000000005E-2</v>
      </c>
      <c r="AE46" s="5">
        <f t="shared" si="81"/>
        <v>0.43413074999187506</v>
      </c>
      <c r="AF46" s="5">
        <f t="shared" si="82"/>
        <v>1.4995535125215311</v>
      </c>
      <c r="AG46" s="25">
        <f t="shared" si="83"/>
        <v>1.4995535125215311</v>
      </c>
      <c r="AH46" s="25">
        <f t="shared" si="84"/>
        <v>0.43413074999187506</v>
      </c>
      <c r="AI46" s="25">
        <f t="shared" si="85"/>
        <v>0</v>
      </c>
      <c r="AJ46" s="25">
        <f t="shared" si="63"/>
        <v>0.26704504999187501</v>
      </c>
      <c r="AK46" s="25">
        <f t="shared" si="86"/>
        <v>0.16708570000000006</v>
      </c>
      <c r="AL46" s="25">
        <f t="shared" si="87"/>
        <v>0.12498458284884444</v>
      </c>
      <c r="AM46" s="25">
        <f t="shared" si="88"/>
        <v>1</v>
      </c>
      <c r="AN46" s="26">
        <f t="shared" si="89"/>
        <v>11.25889492484162</v>
      </c>
      <c r="AO46" s="5">
        <f t="shared" si="90"/>
        <v>8.0009868193855045</v>
      </c>
      <c r="AP46" s="25">
        <f t="shared" si="91"/>
        <v>8.5236251068419324E-4</v>
      </c>
      <c r="AQ46" s="26">
        <f t="shared" si="92"/>
        <v>3.0606831832700081</v>
      </c>
      <c r="AR46" s="26">
        <f t="shared" si="93"/>
        <v>2.2021816145275341</v>
      </c>
      <c r="AT46" s="5"/>
      <c r="AW46" s="5"/>
      <c r="AX46" s="5" t="s">
        <v>108</v>
      </c>
      <c r="BA46" s="39"/>
      <c r="BB46" s="39"/>
      <c r="BC46" s="39"/>
      <c r="BD46" s="39"/>
      <c r="BE46" s="39"/>
      <c r="BF46" s="39"/>
      <c r="BG46" s="39"/>
      <c r="BH46" s="39"/>
      <c r="BI46" s="39"/>
      <c r="BK46" s="23">
        <f>BK45-2</f>
        <v>38</v>
      </c>
      <c r="BL46" s="23">
        <f t="shared" si="2"/>
        <v>9.7749730125214207E-2</v>
      </c>
      <c r="BM46" s="23">
        <f t="shared" si="3"/>
        <v>0.18040808557182483</v>
      </c>
      <c r="BN46" s="23">
        <f t="shared" si="4"/>
        <v>1.0565137629091621</v>
      </c>
      <c r="BO46" s="23">
        <f t="shared" si="5"/>
        <v>6.4660979691443634</v>
      </c>
      <c r="BP46" s="23">
        <f t="shared" si="6"/>
        <v>18.997377754084948</v>
      </c>
      <c r="BQ46" s="23">
        <f t="shared" si="7"/>
        <v>21.193896610696861</v>
      </c>
      <c r="BR46" s="23">
        <f t="shared" si="8"/>
        <v>3.486733261979809</v>
      </c>
      <c r="BS46" s="23">
        <f t="shared" si="9"/>
        <v>19.374192735367856</v>
      </c>
      <c r="BT46" s="57">
        <f t="shared" si="10"/>
        <v>34.474733281770064</v>
      </c>
      <c r="BU46" s="23">
        <f t="shared" si="11"/>
        <v>19.593016445095042</v>
      </c>
      <c r="BV46" s="23">
        <f t="shared" si="12"/>
        <v>71.595653427717494</v>
      </c>
      <c r="BW46" s="23">
        <f t="shared" si="13"/>
        <v>171.83758660439585</v>
      </c>
      <c r="BX46" s="23"/>
      <c r="CQ46" s="1">
        <v>11</v>
      </c>
      <c r="CR46" s="23"/>
      <c r="CS46" s="23"/>
      <c r="CT46" s="23"/>
      <c r="CU46" s="23"/>
    </row>
    <row r="47" spans="1:99" ht="15.75" x14ac:dyDescent="0.2">
      <c r="D47" s="54" t="s">
        <v>145</v>
      </c>
      <c r="F47" s="1">
        <v>0.3</v>
      </c>
      <c r="G47" s="1">
        <v>0.35</v>
      </c>
      <c r="H47" s="5">
        <v>2.5</v>
      </c>
      <c r="I47" s="5">
        <v>1</v>
      </c>
      <c r="J47" s="5">
        <v>0</v>
      </c>
      <c r="K47" s="23"/>
      <c r="L47" s="23"/>
      <c r="M47" s="23">
        <f t="shared" si="64"/>
        <v>21.799209999999999</v>
      </c>
      <c r="N47" s="23">
        <f t="shared" si="65"/>
        <v>35.789791318667504</v>
      </c>
      <c r="O47" s="23">
        <f t="shared" si="66"/>
        <v>47.724069318667496</v>
      </c>
      <c r="P47" s="23">
        <f t="shared" si="67"/>
        <v>13.990581318667505</v>
      </c>
      <c r="Q47" s="26">
        <f t="shared" si="68"/>
        <v>4.3238383385703605</v>
      </c>
      <c r="R47" s="5">
        <f t="shared" si="69"/>
        <v>1.3853121630553114</v>
      </c>
      <c r="S47" s="23">
        <f t="shared" si="70"/>
        <v>45.505349531725884</v>
      </c>
      <c r="T47" s="5">
        <f t="shared" si="71"/>
        <v>0</v>
      </c>
      <c r="U47" s="5">
        <f t="shared" si="72"/>
        <v>1.3853121630553114</v>
      </c>
      <c r="V47" s="5"/>
      <c r="W47" s="25">
        <f t="shared" si="73"/>
        <v>0.20876499999999998</v>
      </c>
      <c r="X47" s="25">
        <f t="shared" si="74"/>
        <v>0.21799209999999999</v>
      </c>
      <c r="Y47" s="25">
        <f t="shared" si="75"/>
        <v>0.34778500000000001</v>
      </c>
      <c r="Z47" s="25">
        <f t="shared" si="76"/>
        <v>0.35789791318667502</v>
      </c>
      <c r="AA47" s="5">
        <f t="shared" si="77"/>
        <v>0.12985499999999997</v>
      </c>
      <c r="AB47" s="5">
        <f t="shared" si="78"/>
        <v>0.10544277999999996</v>
      </c>
      <c r="AC47" s="5">
        <f t="shared" si="79"/>
        <v>0.46334069318667498</v>
      </c>
      <c r="AD47" s="5">
        <f t="shared" si="80"/>
        <v>1.3899999999999996E-2</v>
      </c>
      <c r="AE47" s="5">
        <f t="shared" si="81"/>
        <v>0.47724069318667495</v>
      </c>
      <c r="AF47" s="5">
        <f t="shared" si="82"/>
        <v>1.3853121630553114</v>
      </c>
      <c r="AG47" s="25">
        <f t="shared" si="83"/>
        <v>1.3853121630553114</v>
      </c>
      <c r="AH47" s="25">
        <f t="shared" si="84"/>
        <v>0.47724069318667495</v>
      </c>
      <c r="AI47" s="25">
        <f t="shared" si="85"/>
        <v>0</v>
      </c>
      <c r="AJ47" s="25">
        <f t="shared" si="63"/>
        <v>0.35789791318667502</v>
      </c>
      <c r="AK47" s="25">
        <f t="shared" si="86"/>
        <v>0.11934277999999993</v>
      </c>
      <c r="AL47" s="25">
        <f t="shared" si="87"/>
        <v>0.12989946744484457</v>
      </c>
      <c r="AM47" s="25">
        <f t="shared" si="88"/>
        <v>1</v>
      </c>
      <c r="AN47" s="26">
        <f t="shared" si="89"/>
        <v>4.3238383385703605</v>
      </c>
      <c r="AO47" s="5">
        <f t="shared" si="90"/>
        <v>7.6982609680413123</v>
      </c>
      <c r="AP47" s="25">
        <f t="shared" si="91"/>
        <v>1.2112548978618746E-2</v>
      </c>
      <c r="AQ47" s="26">
        <f t="shared" si="92"/>
        <v>5.4674991224760063</v>
      </c>
      <c r="AR47" s="26">
        <f t="shared" si="93"/>
        <v>4.7475426547217356</v>
      </c>
      <c r="AT47" s="5"/>
      <c r="BB47" s="39"/>
      <c r="BC47" s="39"/>
      <c r="BD47" s="39"/>
      <c r="BE47" s="39"/>
      <c r="BF47" s="39"/>
      <c r="BG47" s="39"/>
      <c r="BH47" s="39"/>
      <c r="BI47" s="39"/>
      <c r="BK47" s="23">
        <f>BK46-2</f>
        <v>36</v>
      </c>
      <c r="BL47" s="23">
        <f t="shared" si="2"/>
        <v>0.12378767856177506</v>
      </c>
      <c r="BM47" s="23">
        <f t="shared" si="3"/>
        <v>0.22951993267432516</v>
      </c>
      <c r="BN47" s="23">
        <f t="shared" si="4"/>
        <v>1.3666693296249419</v>
      </c>
      <c r="BO47" s="23">
        <f t="shared" si="5"/>
        <v>8.5537363944432734</v>
      </c>
      <c r="BP47" s="23">
        <f t="shared" si="6"/>
        <v>23.626391061366206</v>
      </c>
      <c r="BQ47" s="23">
        <f t="shared" si="7"/>
        <v>24.594543022607638</v>
      </c>
      <c r="BR47" s="23">
        <f t="shared" si="8"/>
        <v>5.2550284536149059</v>
      </c>
      <c r="BS47" s="23">
        <f t="shared" si="9"/>
        <v>28.209215945160793</v>
      </c>
      <c r="BT47" s="23">
        <f t="shared" si="10"/>
        <v>47.891097229062694</v>
      </c>
      <c r="BU47" s="57">
        <f t="shared" si="11"/>
        <v>34.060484990908449</v>
      </c>
      <c r="BV47" s="23">
        <f t="shared" si="12"/>
        <v>119.49111153138911</v>
      </c>
      <c r="BW47" s="23">
        <f t="shared" si="13"/>
        <v>334.15563229948543</v>
      </c>
      <c r="BX47" s="23"/>
      <c r="CQ47" s="1">
        <v>10</v>
      </c>
      <c r="CR47" s="23"/>
      <c r="CS47" s="23"/>
      <c r="CT47" s="23"/>
      <c r="CU47" s="23"/>
    </row>
    <row r="48" spans="1:99" ht="15.75" x14ac:dyDescent="0.2">
      <c r="D48" s="54" t="s">
        <v>146</v>
      </c>
      <c r="F48" s="1">
        <v>0.1</v>
      </c>
      <c r="G48" s="1">
        <v>0.35</v>
      </c>
      <c r="H48" s="5">
        <v>2.5</v>
      </c>
      <c r="I48" s="5">
        <v>1</v>
      </c>
      <c r="J48" s="5">
        <v>0</v>
      </c>
      <c r="K48" s="23"/>
      <c r="L48" s="23"/>
      <c r="M48" s="23">
        <f t="shared" si="64"/>
        <v>21.51877</v>
      </c>
      <c r="N48" s="23">
        <f t="shared" si="65"/>
        <v>38.183510271907494</v>
      </c>
      <c r="O48" s="23">
        <f t="shared" si="66"/>
        <v>51.121996271907499</v>
      </c>
      <c r="P48" s="23">
        <f t="shared" si="67"/>
        <v>16.664740271907494</v>
      </c>
      <c r="Q48" s="26">
        <f t="shared" si="68"/>
        <v>5.6839620931464907</v>
      </c>
      <c r="R48" s="5">
        <f t="shared" si="69"/>
        <v>1.2952670987944512</v>
      </c>
      <c r="S48" s="23">
        <f t="shared" si="70"/>
        <v>49.121896843111244</v>
      </c>
      <c r="T48" s="5">
        <f t="shared" si="71"/>
        <v>0</v>
      </c>
      <c r="U48" s="5">
        <f t="shared" si="72"/>
        <v>1.2952670987944512</v>
      </c>
      <c r="V48" s="5"/>
      <c r="W48" s="25">
        <f t="shared" si="73"/>
        <v>0.20630499999999999</v>
      </c>
      <c r="X48" s="25">
        <f t="shared" si="74"/>
        <v>0.21518770000000001</v>
      </c>
      <c r="Y48" s="25">
        <f t="shared" si="75"/>
        <v>0.36334499999999997</v>
      </c>
      <c r="Z48" s="25">
        <f t="shared" si="76"/>
        <v>0.38183510271907495</v>
      </c>
      <c r="AA48" s="5">
        <f t="shared" si="77"/>
        <v>0.124135</v>
      </c>
      <c r="AB48" s="5">
        <f t="shared" si="78"/>
        <v>9.6084859999999994E-2</v>
      </c>
      <c r="AC48" s="5">
        <f t="shared" si="79"/>
        <v>0.47791996271907494</v>
      </c>
      <c r="AD48" s="5">
        <f t="shared" si="80"/>
        <v>3.3299999999999996E-2</v>
      </c>
      <c r="AE48" s="5">
        <f t="shared" si="81"/>
        <v>0.51121996271907499</v>
      </c>
      <c r="AF48" s="5">
        <f t="shared" si="82"/>
        <v>1.2952670987944512</v>
      </c>
      <c r="AG48" s="25">
        <f t="shared" si="83"/>
        <v>1.2952670987944512</v>
      </c>
      <c r="AH48" s="25">
        <f t="shared" si="84"/>
        <v>0.51121996271907499</v>
      </c>
      <c r="AI48" s="25">
        <f t="shared" si="85"/>
        <v>0</v>
      </c>
      <c r="AJ48" s="25">
        <f t="shared" si="63"/>
        <v>0.38183510271907495</v>
      </c>
      <c r="AK48" s="25">
        <f t="shared" si="86"/>
        <v>0.12938486000000005</v>
      </c>
      <c r="AL48" s="25">
        <f t="shared" si="87"/>
        <v>0.15025447363131744</v>
      </c>
      <c r="AM48" s="25">
        <f t="shared" si="88"/>
        <v>1</v>
      </c>
      <c r="AN48" s="26">
        <f t="shared" si="89"/>
        <v>5.6839620931464907</v>
      </c>
      <c r="AO48" s="5">
        <f t="shared" si="90"/>
        <v>6.6553758822098104</v>
      </c>
      <c r="AP48" s="25">
        <f t="shared" si="91"/>
        <v>5.4417747950311825E-2</v>
      </c>
      <c r="AQ48" s="26">
        <f t="shared" si="92"/>
        <v>6.3986154743999961</v>
      </c>
      <c r="AR48" s="26">
        <f t="shared" si="93"/>
        <v>5.7944175255774182</v>
      </c>
      <c r="AT48" s="5"/>
      <c r="AX48" s="40" t="s">
        <v>102</v>
      </c>
      <c r="AY48" s="40" t="s">
        <v>68</v>
      </c>
      <c r="AZ48" s="40" t="s">
        <v>106</v>
      </c>
      <c r="BA48" s="41" t="s">
        <v>109</v>
      </c>
      <c r="BB48" s="39"/>
      <c r="BC48" s="39"/>
      <c r="BD48" s="39"/>
      <c r="BE48" s="39"/>
      <c r="BF48" s="39"/>
      <c r="BG48" s="39"/>
      <c r="BH48" s="39"/>
      <c r="BI48" s="39"/>
      <c r="BK48" s="23">
        <v>34</v>
      </c>
      <c r="BL48" s="23">
        <f t="shared" si="2"/>
        <v>0.15889237355725283</v>
      </c>
      <c r="BM48" s="23">
        <f t="shared" si="3"/>
        <v>0.29604865538684544</v>
      </c>
      <c r="BN48" s="23">
        <f t="shared" si="4"/>
        <v>1.7940850390369762</v>
      </c>
      <c r="BO48" s="23">
        <f t="shared" si="5"/>
        <v>11.497853122196007</v>
      </c>
      <c r="BP48" s="23">
        <f t="shared" si="6"/>
        <v>29.751963103559824</v>
      </c>
      <c r="BQ48" s="23">
        <f t="shared" si="7"/>
        <v>28.784698580975558</v>
      </c>
      <c r="BR48" s="23">
        <f t="shared" si="8"/>
        <v>8.108064147518526</v>
      </c>
      <c r="BS48" s="57">
        <f t="shared" si="9"/>
        <v>41.964998013490018</v>
      </c>
      <c r="BT48" s="23">
        <f t="shared" si="10"/>
        <v>67.790735539090221</v>
      </c>
      <c r="BU48" s="23">
        <f t="shared" si="11"/>
        <v>61.112556754288192</v>
      </c>
      <c r="BV48" s="23">
        <f t="shared" si="12"/>
        <v>205.35375502991613</v>
      </c>
      <c r="BW48" s="23">
        <f t="shared" si="13"/>
        <v>674.98288214821912</v>
      </c>
      <c r="BX48" s="23"/>
      <c r="CQ48" s="1">
        <v>9</v>
      </c>
      <c r="CR48" s="23"/>
      <c r="CS48" s="23"/>
      <c r="CT48" s="23"/>
      <c r="CU48" s="23"/>
    </row>
    <row r="49" spans="4:99" ht="15.75" x14ac:dyDescent="0.2">
      <c r="D49" s="54" t="s">
        <v>147</v>
      </c>
      <c r="F49" s="1">
        <v>0.1</v>
      </c>
      <c r="G49" s="1">
        <v>0.45</v>
      </c>
      <c r="H49" s="5">
        <v>2.5</v>
      </c>
      <c r="I49" s="5">
        <v>1</v>
      </c>
      <c r="J49" s="5">
        <v>0</v>
      </c>
      <c r="K49" s="23"/>
      <c r="L49" s="23"/>
      <c r="M49" s="23">
        <f t="shared" si="64"/>
        <v>26.77759</v>
      </c>
      <c r="N49" s="23">
        <f t="shared" si="65"/>
        <v>40.913034946267501</v>
      </c>
      <c r="O49" s="23">
        <f t="shared" si="66"/>
        <v>52.348036946267506</v>
      </c>
      <c r="P49" s="23">
        <f t="shared" si="67"/>
        <v>14.135444946267501</v>
      </c>
      <c r="Q49" s="26">
        <f t="shared" si="68"/>
        <v>3.6716234931984655</v>
      </c>
      <c r="R49" s="5">
        <f t="shared" si="69"/>
        <v>1.2627770209239111</v>
      </c>
      <c r="S49" s="23">
        <f t="shared" si="70"/>
        <v>50.02966136465772</v>
      </c>
      <c r="T49" s="5">
        <f t="shared" si="71"/>
        <v>0</v>
      </c>
      <c r="U49" s="5">
        <f t="shared" si="72"/>
        <v>1.2627770209239111</v>
      </c>
      <c r="V49" s="5"/>
      <c r="W49" s="25">
        <f t="shared" si="73"/>
        <v>0.25243500000000002</v>
      </c>
      <c r="X49" s="25">
        <f t="shared" si="74"/>
        <v>0.26777590000000001</v>
      </c>
      <c r="Y49" s="25">
        <f t="shared" si="75"/>
        <v>0.38061500000000004</v>
      </c>
      <c r="Z49" s="25">
        <f t="shared" si="76"/>
        <v>0.40913034946267501</v>
      </c>
      <c r="AA49" s="5">
        <f t="shared" si="77"/>
        <v>0.11494499999999999</v>
      </c>
      <c r="AB49" s="5">
        <f t="shared" si="78"/>
        <v>8.1050019999999987E-2</v>
      </c>
      <c r="AC49" s="5">
        <f t="shared" si="79"/>
        <v>0.49018036946267501</v>
      </c>
      <c r="AD49" s="5">
        <f t="shared" si="80"/>
        <v>3.3299999999999996E-2</v>
      </c>
      <c r="AE49" s="5">
        <f t="shared" si="81"/>
        <v>0.52348036946267507</v>
      </c>
      <c r="AF49" s="5">
        <f t="shared" si="82"/>
        <v>1.2627770209239111</v>
      </c>
      <c r="AG49" s="25">
        <f t="shared" si="83"/>
        <v>1.2627770209239111</v>
      </c>
      <c r="AH49" s="25">
        <f t="shared" si="84"/>
        <v>0.52348036946267507</v>
      </c>
      <c r="AI49" s="25">
        <f t="shared" si="85"/>
        <v>0</v>
      </c>
      <c r="AJ49" s="25">
        <f t="shared" si="63"/>
        <v>0.40913034946267501</v>
      </c>
      <c r="AK49" s="25">
        <f t="shared" si="86"/>
        <v>0.11435002000000005</v>
      </c>
      <c r="AL49" s="25">
        <f t="shared" si="87"/>
        <v>0.11105980219130634</v>
      </c>
      <c r="AM49" s="25">
        <f t="shared" si="88"/>
        <v>1</v>
      </c>
      <c r="AN49" s="26">
        <f t="shared" si="89"/>
        <v>3.6716234931984655</v>
      </c>
      <c r="AO49" s="5">
        <f t="shared" si="90"/>
        <v>9.0041579425600577</v>
      </c>
      <c r="AP49" s="25">
        <f t="shared" si="91"/>
        <v>1.0559791777710702E-2</v>
      </c>
      <c r="AQ49" s="26">
        <f t="shared" si="92"/>
        <v>4.922664467387996</v>
      </c>
      <c r="AR49" s="26">
        <f t="shared" si="93"/>
        <v>4.1510558917428391</v>
      </c>
      <c r="AT49" s="5"/>
      <c r="AW49" s="1" t="s">
        <v>110</v>
      </c>
      <c r="AX49" s="5">
        <v>0.65</v>
      </c>
      <c r="AY49" s="5">
        <v>0.10299277978339348</v>
      </c>
      <c r="AZ49" s="5">
        <v>2.5</v>
      </c>
      <c r="BA49" s="5">
        <v>1</v>
      </c>
      <c r="BB49" s="39"/>
      <c r="BC49" s="39"/>
      <c r="BD49" s="39"/>
      <c r="BE49" s="39"/>
      <c r="BF49" s="39"/>
      <c r="BG49" s="39"/>
      <c r="BH49" s="39"/>
      <c r="BI49" s="39"/>
      <c r="BK49" s="23">
        <v>32</v>
      </c>
      <c r="BL49" s="23">
        <f t="shared" si="2"/>
        <v>0.2070636418706932</v>
      </c>
      <c r="BM49" s="23">
        <f t="shared" si="3"/>
        <v>0.38780135472843957</v>
      </c>
      <c r="BN49" s="23">
        <f t="shared" si="4"/>
        <v>2.3943589726576961</v>
      </c>
      <c r="BO49" s="23">
        <f t="shared" si="5"/>
        <v>15.7350378917806</v>
      </c>
      <c r="BP49" s="57">
        <f t="shared" si="6"/>
        <v>37.993145316178371</v>
      </c>
      <c r="BQ49" s="57">
        <f t="shared" si="7"/>
        <v>34.011662628990798</v>
      </c>
      <c r="BR49" s="23">
        <f t="shared" si="8"/>
        <v>12.84342182174036</v>
      </c>
      <c r="BS49" s="23">
        <f t="shared" si="9"/>
        <v>63.95049859967763</v>
      </c>
      <c r="BT49" s="23">
        <f t="shared" si="10"/>
        <v>98.002633460332646</v>
      </c>
      <c r="BU49" s="23">
        <f t="shared" si="11"/>
        <v>113.60720645777218</v>
      </c>
      <c r="BV49" s="23">
        <f t="shared" si="12"/>
        <v>364.69577070959281</v>
      </c>
      <c r="BW49" s="23">
        <f t="shared" si="13"/>
        <v>1422.8314017845553</v>
      </c>
      <c r="BX49" s="23"/>
      <c r="CQ49" s="1">
        <v>8</v>
      </c>
      <c r="CR49" s="23"/>
      <c r="CS49" s="23"/>
      <c r="CT49" s="23"/>
      <c r="CU49" s="23"/>
    </row>
    <row r="50" spans="4:99" ht="15.75" x14ac:dyDescent="0.2">
      <c r="D50" s="54" t="s">
        <v>148</v>
      </c>
      <c r="F50" s="1">
        <v>0.5</v>
      </c>
      <c r="G50" s="1">
        <v>0.4</v>
      </c>
      <c r="H50" s="5">
        <v>2.5</v>
      </c>
      <c r="I50" s="5">
        <v>1</v>
      </c>
      <c r="J50" s="5">
        <v>0</v>
      </c>
      <c r="K50" s="23"/>
      <c r="L50" s="23"/>
      <c r="M50" s="23">
        <f t="shared" si="64"/>
        <v>24.864099999999997</v>
      </c>
      <c r="N50" s="23">
        <f t="shared" si="65"/>
        <v>36.111510283000001</v>
      </c>
      <c r="O50" s="23">
        <f t="shared" si="66"/>
        <v>44.378990283000007</v>
      </c>
      <c r="P50" s="23">
        <f t="shared" si="67"/>
        <v>11.247410283000004</v>
      </c>
      <c r="Q50" s="26">
        <f t="shared" si="68"/>
        <v>1.3916587486499672</v>
      </c>
      <c r="R50" s="5">
        <f t="shared" si="69"/>
        <v>1.4739567575004997</v>
      </c>
      <c r="S50" s="23">
        <f t="shared" si="70"/>
        <v>42.576640526255858</v>
      </c>
      <c r="T50" s="5">
        <f t="shared" si="71"/>
        <v>0</v>
      </c>
      <c r="U50" s="5">
        <f t="shared" si="72"/>
        <v>1.4739567575004997</v>
      </c>
      <c r="V50" s="5"/>
      <c r="W50" s="25">
        <f t="shared" si="73"/>
        <v>0.23564999999999997</v>
      </c>
      <c r="X50" s="25">
        <f t="shared" si="74"/>
        <v>0.24864099999999997</v>
      </c>
      <c r="Y50" s="25">
        <f t="shared" si="75"/>
        <v>0.34989999999999999</v>
      </c>
      <c r="Z50" s="25">
        <f t="shared" si="76"/>
        <v>0.36111510282999998</v>
      </c>
      <c r="AA50" s="5">
        <f t="shared" si="77"/>
        <v>0.11930000000000002</v>
      </c>
      <c r="AB50" s="5">
        <f t="shared" si="78"/>
        <v>8.8174800000000025E-2</v>
      </c>
      <c r="AC50" s="5">
        <f t="shared" si="79"/>
        <v>0.44928990283000003</v>
      </c>
      <c r="AD50" s="5">
        <f t="shared" si="80"/>
        <v>-5.5000000000000049E-3</v>
      </c>
      <c r="AE50" s="5">
        <f t="shared" si="81"/>
        <v>0.44378990283000003</v>
      </c>
      <c r="AF50" s="5">
        <f t="shared" si="82"/>
        <v>1.4739567575004997</v>
      </c>
      <c r="AG50" s="25">
        <f t="shared" si="83"/>
        <v>1.4739567575004997</v>
      </c>
      <c r="AH50" s="25">
        <f t="shared" si="84"/>
        <v>0.44378990283000008</v>
      </c>
      <c r="AI50" s="25">
        <f t="shared" si="85"/>
        <v>0</v>
      </c>
      <c r="AJ50" s="25">
        <f t="shared" si="63"/>
        <v>0.36111510282999998</v>
      </c>
      <c r="AK50" s="25">
        <f t="shared" si="86"/>
        <v>8.2674800000000104E-2</v>
      </c>
      <c r="AL50" s="25">
        <f t="shared" si="87"/>
        <v>9.7776982423618986E-2</v>
      </c>
      <c r="AM50" s="25">
        <f t="shared" si="88"/>
        <v>1</v>
      </c>
      <c r="AN50" s="26">
        <f t="shared" si="89"/>
        <v>1.3916587486499672</v>
      </c>
      <c r="AO50" s="5">
        <f t="shared" si="90"/>
        <v>10.227355919693839</v>
      </c>
      <c r="AP50" s="25">
        <f t="shared" si="91"/>
        <v>9.8718507853323679E-4</v>
      </c>
      <c r="AQ50" s="26">
        <f t="shared" si="92"/>
        <v>4.3981724118799974</v>
      </c>
      <c r="AR50" s="26">
        <f t="shared" si="93"/>
        <v>3.5880573406300043</v>
      </c>
      <c r="AT50" s="5"/>
      <c r="AW50" s="1" t="s">
        <v>111</v>
      </c>
      <c r="AX50" s="5">
        <v>0.2</v>
      </c>
      <c r="AY50" s="5">
        <v>0.2</v>
      </c>
      <c r="AZ50" s="5">
        <v>2.5</v>
      </c>
      <c r="BA50" s="5">
        <v>1</v>
      </c>
      <c r="BB50" s="39"/>
      <c r="BC50" s="39"/>
      <c r="BD50" s="39"/>
      <c r="BE50" s="39"/>
      <c r="BF50" s="39"/>
      <c r="BG50" s="39"/>
      <c r="BH50" s="39"/>
      <c r="BI50" s="39"/>
      <c r="BK50" s="23">
        <f t="shared" ref="BK50:BK55" si="94">BK49-2</f>
        <v>30</v>
      </c>
      <c r="BL50" s="23">
        <f t="shared" si="2"/>
        <v>0.27449159151653707</v>
      </c>
      <c r="BM50" s="23">
        <f t="shared" si="3"/>
        <v>0.51692188174866782</v>
      </c>
      <c r="BN50" s="23">
        <f t="shared" si="4"/>
        <v>3.2555757038503859</v>
      </c>
      <c r="BO50" s="23">
        <f t="shared" si="5"/>
        <v>21.97430446305491</v>
      </c>
      <c r="BP50" s="23">
        <f t="shared" si="6"/>
        <v>49.289047622870193</v>
      </c>
      <c r="BQ50" s="23">
        <f t="shared" si="7"/>
        <v>40.623040326896231</v>
      </c>
      <c r="BR50" s="23">
        <f t="shared" si="8"/>
        <v>20.957571986825705</v>
      </c>
      <c r="BS50" s="23">
        <f t="shared" si="9"/>
        <v>100.14107978969797</v>
      </c>
      <c r="BT50" s="23">
        <f t="shared" si="10"/>
        <v>145.09051683444983</v>
      </c>
      <c r="BU50" s="23">
        <f t="shared" si="11"/>
        <v>219.81919501341244</v>
      </c>
      <c r="BV50" s="23">
        <f t="shared" si="12"/>
        <v>672.14314527385852</v>
      </c>
      <c r="BW50" s="58">
        <f t="shared" si="13"/>
        <v>3147.1861344512204</v>
      </c>
      <c r="BX50" s="23"/>
      <c r="CQ50" s="1">
        <v>7</v>
      </c>
      <c r="CR50" s="23"/>
      <c r="CS50" s="23"/>
      <c r="CT50" s="23"/>
      <c r="CU50" s="23"/>
    </row>
    <row r="51" spans="4:99" ht="15.75" x14ac:dyDescent="0.2">
      <c r="D51" s="54" t="s">
        <v>149</v>
      </c>
      <c r="F51" s="1">
        <v>0.25</v>
      </c>
      <c r="G51" s="1">
        <v>0.5</v>
      </c>
      <c r="H51" s="5">
        <v>2.5</v>
      </c>
      <c r="I51" s="5">
        <v>1</v>
      </c>
      <c r="J51" s="5">
        <v>0</v>
      </c>
      <c r="K51" s="23"/>
      <c r="L51" s="23"/>
      <c r="M51" s="23">
        <f t="shared" si="64"/>
        <v>29.791749999999993</v>
      </c>
      <c r="N51" s="23">
        <f t="shared" si="65"/>
        <v>42.063063018749993</v>
      </c>
      <c r="O51" s="23">
        <f t="shared" si="66"/>
        <v>49.843463018750001</v>
      </c>
      <c r="P51" s="23">
        <f t="shared" si="67"/>
        <v>12.27131301875</v>
      </c>
      <c r="Q51" s="26">
        <f t="shared" si="68"/>
        <v>1.1449583141898936</v>
      </c>
      <c r="R51" s="5">
        <f t="shared" si="69"/>
        <v>1.329148230003125</v>
      </c>
      <c r="S51" s="23">
        <f t="shared" si="70"/>
        <v>48.25166596998325</v>
      </c>
      <c r="T51" s="5">
        <f t="shared" si="71"/>
        <v>0</v>
      </c>
      <c r="U51" s="5">
        <f t="shared" si="72"/>
        <v>1.329148230003125</v>
      </c>
      <c r="V51" s="5"/>
      <c r="W51" s="25">
        <f t="shared" si="73"/>
        <v>0.27887499999999998</v>
      </c>
      <c r="X51" s="25">
        <f t="shared" si="74"/>
        <v>0.29791749999999995</v>
      </c>
      <c r="Y51" s="25">
        <f t="shared" si="75"/>
        <v>0.38774999999999998</v>
      </c>
      <c r="Z51" s="25">
        <f t="shared" si="76"/>
        <v>0.42063063018749997</v>
      </c>
      <c r="AA51" s="5">
        <f t="shared" si="77"/>
        <v>0.10150000000000001</v>
      </c>
      <c r="AB51" s="5">
        <f t="shared" si="78"/>
        <v>5.9054000000000009E-2</v>
      </c>
      <c r="AC51" s="5">
        <f t="shared" si="79"/>
        <v>0.47968463018749996</v>
      </c>
      <c r="AD51" s="5">
        <f t="shared" si="80"/>
        <v>1.8749999999999996E-2</v>
      </c>
      <c r="AE51" s="5">
        <f t="shared" si="81"/>
        <v>0.49843463018749995</v>
      </c>
      <c r="AF51" s="5">
        <f t="shared" si="82"/>
        <v>1.329148230003125</v>
      </c>
      <c r="AG51" s="25">
        <f t="shared" si="83"/>
        <v>1.329148230003125</v>
      </c>
      <c r="AH51" s="25">
        <f t="shared" si="84"/>
        <v>0.49843463018750001</v>
      </c>
      <c r="AI51" s="25">
        <f t="shared" si="85"/>
        <v>0</v>
      </c>
      <c r="AJ51" s="25">
        <f t="shared" si="63"/>
        <v>0.42063063018749997</v>
      </c>
      <c r="AK51" s="25">
        <f t="shared" si="86"/>
        <v>7.780400000000004E-2</v>
      </c>
      <c r="AL51" s="25">
        <f t="shared" si="87"/>
        <v>9.0375802115472623E-2</v>
      </c>
      <c r="AM51" s="25">
        <f t="shared" si="88"/>
        <v>1</v>
      </c>
      <c r="AN51" s="26">
        <f t="shared" si="89"/>
        <v>1.1449583141898936</v>
      </c>
      <c r="AO51" s="5">
        <f t="shared" si="90"/>
        <v>11.064908709991929</v>
      </c>
      <c r="AP51" s="25">
        <f t="shared" si="91"/>
        <v>2.2751585853750329E-3</v>
      </c>
      <c r="AQ51" s="26">
        <f t="shared" si="92"/>
        <v>4.8607948590000021</v>
      </c>
      <c r="AR51" s="26">
        <f t="shared" si="93"/>
        <v>4.084071573158619</v>
      </c>
      <c r="AT51" s="5"/>
      <c r="AW51" s="1" t="s">
        <v>112</v>
      </c>
      <c r="AX51" s="5">
        <v>0.33</v>
      </c>
      <c r="AY51" s="5">
        <v>0.34</v>
      </c>
      <c r="AZ51" s="5">
        <v>2.5</v>
      </c>
      <c r="BA51" s="5">
        <v>1</v>
      </c>
      <c r="BB51" s="39"/>
      <c r="BC51" s="39"/>
      <c r="BD51" s="39"/>
      <c r="BE51" s="39"/>
      <c r="BF51" s="39"/>
      <c r="BG51" s="39"/>
      <c r="BH51" s="39"/>
      <c r="BI51" s="39"/>
      <c r="BK51" s="23">
        <f t="shared" si="94"/>
        <v>28</v>
      </c>
      <c r="BL51" s="23">
        <f t="shared" si="2"/>
        <v>0.3710255716144702</v>
      </c>
      <c r="BM51" s="23">
        <f t="shared" si="3"/>
        <v>0.7028377721056045</v>
      </c>
      <c r="BN51" s="23">
        <f t="shared" si="4"/>
        <v>4.5214325817287442</v>
      </c>
      <c r="BO51" s="23">
        <f t="shared" si="5"/>
        <v>31.403165545235058</v>
      </c>
      <c r="BP51" s="23">
        <f t="shared" si="6"/>
        <v>65.102521625014504</v>
      </c>
      <c r="BQ51" s="23">
        <f t="shared" si="7"/>
        <v>49.118080367205096</v>
      </c>
      <c r="BR51" s="57">
        <f t="shared" si="8"/>
        <v>35.373551970549784</v>
      </c>
      <c r="BS51" s="23">
        <f t="shared" si="9"/>
        <v>161.74215254443058</v>
      </c>
      <c r="BT51" s="23">
        <f t="shared" si="10"/>
        <v>220.69939684214779</v>
      </c>
      <c r="BU51" s="23">
        <f t="shared" si="11"/>
        <v>445.15388003644199</v>
      </c>
      <c r="BV51" s="23">
        <f t="shared" si="12"/>
        <v>1292.1691523190173</v>
      </c>
      <c r="BW51" s="23">
        <f t="shared" si="13"/>
        <v>7353.3772466433429</v>
      </c>
      <c r="BX51" s="23"/>
    </row>
    <row r="52" spans="4:99" x14ac:dyDescent="0.2">
      <c r="H52" s="5"/>
      <c r="I52" s="5"/>
      <c r="J52" s="5"/>
      <c r="K52" s="23"/>
      <c r="L52" s="23"/>
      <c r="M52" s="23"/>
      <c r="N52" s="23"/>
      <c r="O52" s="23"/>
      <c r="P52" s="23"/>
      <c r="Q52" s="26"/>
      <c r="R52" s="5"/>
      <c r="S52" s="5"/>
      <c r="T52" s="5"/>
      <c r="U52" s="5"/>
      <c r="V52" s="5"/>
      <c r="W52" s="25"/>
      <c r="X52" s="25"/>
      <c r="Y52" s="25"/>
      <c r="Z52" s="25"/>
      <c r="AA52" s="5"/>
      <c r="AB52" s="5"/>
      <c r="AC52" s="5"/>
      <c r="AD52" s="5"/>
      <c r="AE52" s="5"/>
      <c r="AF52" s="5"/>
      <c r="AG52" s="25"/>
      <c r="AH52" s="25"/>
      <c r="AI52" s="25"/>
      <c r="AJ52" s="25"/>
      <c r="AK52" s="25"/>
      <c r="AL52" s="25"/>
      <c r="AM52" s="25"/>
      <c r="AN52" s="26"/>
      <c r="AO52" s="5"/>
      <c r="AP52" s="25"/>
      <c r="AQ52" s="26"/>
      <c r="AR52" s="26"/>
      <c r="AT52" s="5"/>
      <c r="AW52" s="1" t="s">
        <v>113</v>
      </c>
      <c r="AX52" s="5">
        <v>0.1</v>
      </c>
      <c r="AY52" s="5">
        <v>0.34</v>
      </c>
      <c r="AZ52" s="5">
        <v>2.5</v>
      </c>
      <c r="BA52" s="5">
        <v>1</v>
      </c>
      <c r="BB52" s="39"/>
      <c r="BC52" s="39"/>
      <c r="BD52" s="39"/>
      <c r="BE52" s="39"/>
      <c r="BF52" s="39"/>
      <c r="BG52" s="39"/>
      <c r="BH52" s="39"/>
      <c r="BI52" s="39"/>
      <c r="BK52" s="23">
        <f t="shared" si="94"/>
        <v>26</v>
      </c>
      <c r="BL52" s="23">
        <f t="shared" si="2"/>
        <v>0.51283970232911591</v>
      </c>
      <c r="BM52" s="23">
        <f t="shared" si="3"/>
        <v>0.97763721218095212</v>
      </c>
      <c r="BN52" s="23">
        <f t="shared" si="4"/>
        <v>6.4342835936228946</v>
      </c>
      <c r="BO52" s="57">
        <f t="shared" si="5"/>
        <v>46.081612978144541</v>
      </c>
      <c r="BP52" s="23">
        <f t="shared" si="6"/>
        <v>87.781857273445539</v>
      </c>
      <c r="BQ52" s="23">
        <f t="shared" si="7"/>
        <v>60.231622020094235</v>
      </c>
      <c r="BR52" s="23">
        <f t="shared" si="8"/>
        <v>62.068477281587711</v>
      </c>
      <c r="BS52" s="23">
        <f t="shared" si="9"/>
        <v>270.6891410554544</v>
      </c>
      <c r="BT52" s="23">
        <f t="shared" si="10"/>
        <v>346.31291096524643</v>
      </c>
      <c r="BU52" s="23">
        <f t="shared" si="11"/>
        <v>949.89231727158176</v>
      </c>
      <c r="BV52" s="58">
        <f t="shared" si="12"/>
        <v>2607.4863245754386</v>
      </c>
      <c r="BW52" s="23">
        <f t="shared" si="13"/>
        <v>18296.8558238306</v>
      </c>
      <c r="BX52" s="23"/>
    </row>
    <row r="53" spans="4:99" x14ac:dyDescent="0.2">
      <c r="F53" s="1">
        <v>0.1</v>
      </c>
      <c r="G53" s="1">
        <v>0.1</v>
      </c>
      <c r="H53" s="5">
        <v>1</v>
      </c>
      <c r="I53" s="5">
        <v>1</v>
      </c>
      <c r="J53" s="5">
        <v>1</v>
      </c>
      <c r="K53" s="23"/>
      <c r="L53" s="23"/>
      <c r="M53" s="25">
        <f>X53*100</f>
        <v>7.4825199999999992</v>
      </c>
      <c r="N53" s="25">
        <f>AJ53*100</f>
        <v>29.784903140919994</v>
      </c>
      <c r="O53" s="25">
        <f>AH53*100</f>
        <v>42.187599140919993</v>
      </c>
      <c r="P53" s="25">
        <f>(N53-M53)*(1-T53)</f>
        <v>0</v>
      </c>
      <c r="Q53" s="25">
        <f>AN53</f>
        <v>0</v>
      </c>
      <c r="R53" s="25">
        <f>AG53</f>
        <v>1.5320286227656201</v>
      </c>
      <c r="S53" s="25">
        <f>N53-(S$37-33)*(O53-N53)/(33-AR53)</f>
        <v>45.1503725305</v>
      </c>
      <c r="T53" s="25">
        <f>((R53/2.65)*J53)/(1-J53*(1-R53/2.65))</f>
        <v>1</v>
      </c>
      <c r="U53" s="5">
        <f>T53*2.65+(1-T53)*R53</f>
        <v>2.65</v>
      </c>
      <c r="V53" s="5"/>
      <c r="W53" s="25">
        <f>-0.024*F53+0.487*G53+0.006*H53+0.005*F53*H53-0.013*G53*H53+0.068*F53*G53+0.031</f>
        <v>8.3180000000000004E-2</v>
      </c>
      <c r="X53" s="25">
        <f t="shared" si="74"/>
        <v>7.4825199999999994E-2</v>
      </c>
      <c r="Y53" s="25">
        <f>-0.251*F53+0.195*G53+0.011*H53+0.006*F53*H53-0.027*G53*H53+0.452*F53*G53+0.299</f>
        <v>0.30681999999999998</v>
      </c>
      <c r="Z53" s="25">
        <f t="shared" si="76"/>
        <v>0.29784903140919994</v>
      </c>
      <c r="AA53" s="5">
        <f>0.278*F53+0.034*G53+0.022*H53-0.018*F53*H53-0.027*G53*H53-0.584*F53*G53+0.078</f>
        <v>0.12086</v>
      </c>
      <c r="AB53" s="5">
        <f t="shared" si="78"/>
        <v>9.0726959999999995E-2</v>
      </c>
      <c r="AC53" s="5">
        <f>AB53+Z53</f>
        <v>0.38857599140919996</v>
      </c>
      <c r="AD53" s="5">
        <f>-0.097*F53+0.043</f>
        <v>3.3299999999999996E-2</v>
      </c>
      <c r="AE53" s="5">
        <f>AC53+AD53</f>
        <v>0.42187599140919996</v>
      </c>
      <c r="AF53" s="5">
        <f t="shared" si="82"/>
        <v>1.5320286227656201</v>
      </c>
      <c r="AG53" s="25">
        <f>AF53*(I53)</f>
        <v>1.5320286227656201</v>
      </c>
      <c r="AH53" s="25">
        <f t="shared" si="84"/>
        <v>0.42187599140919996</v>
      </c>
      <c r="AI53" s="25">
        <f>(1-AG53/2.65)-(1-AF53/2.65)</f>
        <v>0</v>
      </c>
      <c r="AJ53" s="25">
        <f>Z53+0.2*AI53</f>
        <v>0.29784903140919994</v>
      </c>
      <c r="AK53" s="25">
        <f>AH53-AJ53</f>
        <v>0.12402696000000002</v>
      </c>
      <c r="AL53" s="25">
        <f xml:space="preserve"> (LN(AJ53)-LN(X53))/(LN(1500)-LN(33))</f>
        <v>0.36194287823145505</v>
      </c>
      <c r="AM53" s="25">
        <f>(1-J53)/(1-J53*(1-1.5*(R53/2.65)))</f>
        <v>0</v>
      </c>
      <c r="AN53" s="26">
        <f>1930*(AK53)^(3-AL53)*AM53</f>
        <v>0</v>
      </c>
      <c r="AO53" s="5">
        <f>(LN(1500)-LN(33))/(LN(AJ53)-LN(X53))</f>
        <v>2.7628669056461459</v>
      </c>
      <c r="AP53" s="25">
        <f>EXP(LN(33)+(AO53*LN(AJ53)))</f>
        <v>1.1620783946861231</v>
      </c>
      <c r="AQ53" s="26">
        <f t="shared" si="92"/>
        <v>13.158750056840001</v>
      </c>
      <c r="AR53" s="26">
        <f t="shared" si="93"/>
        <v>14.434865361584816</v>
      </c>
      <c r="AT53" s="5"/>
      <c r="AW53" s="40"/>
      <c r="AX53" s="40" t="s">
        <v>114</v>
      </c>
      <c r="AY53" s="40"/>
      <c r="AZ53" s="40"/>
      <c r="BA53" s="39"/>
      <c r="BB53" s="39"/>
      <c r="BC53" s="39"/>
      <c r="BD53" s="39"/>
      <c r="BE53" s="39"/>
      <c r="BF53" s="39"/>
      <c r="BG53" s="39"/>
      <c r="BH53" s="39"/>
      <c r="BI53" s="39"/>
      <c r="BK53" s="23">
        <f t="shared" si="94"/>
        <v>24</v>
      </c>
      <c r="BL53" s="23">
        <f t="shared" si="2"/>
        <v>0.72747358217069458</v>
      </c>
      <c r="BM53" s="23">
        <f t="shared" si="3"/>
        <v>1.3962974913206845</v>
      </c>
      <c r="BN53" s="23">
        <f t="shared" si="4"/>
        <v>9.4187848495748128</v>
      </c>
      <c r="BO53" s="23">
        <f t="shared" si="5"/>
        <v>69.73004725572261</v>
      </c>
      <c r="BP53" s="23">
        <f t="shared" si="6"/>
        <v>121.22912131300605</v>
      </c>
      <c r="BQ53" s="23">
        <f t="shared" si="7"/>
        <v>75.076094933045255</v>
      </c>
      <c r="BR53" s="23">
        <f t="shared" si="8"/>
        <v>113.9249895426213</v>
      </c>
      <c r="BS53" s="23">
        <f t="shared" si="9"/>
        <v>472.09419554742942</v>
      </c>
      <c r="BT53" s="23">
        <f t="shared" si="10"/>
        <v>563.38557404565665</v>
      </c>
      <c r="BU53" s="58">
        <f t="shared" si="11"/>
        <v>2153.7674459639611</v>
      </c>
      <c r="BV53" s="23">
        <f t="shared" si="12"/>
        <v>5565.9847403747972</v>
      </c>
      <c r="BW53" s="23">
        <f t="shared" si="13"/>
        <v>48974.479497367916</v>
      </c>
      <c r="BX53" s="23"/>
    </row>
    <row r="54" spans="4:99" x14ac:dyDescent="0.2">
      <c r="F54" s="1">
        <v>0.1</v>
      </c>
      <c r="G54" s="1">
        <v>0.1</v>
      </c>
      <c r="H54" s="5">
        <v>1</v>
      </c>
      <c r="I54" s="5">
        <v>1</v>
      </c>
      <c r="J54" s="5">
        <v>0</v>
      </c>
      <c r="K54" s="23"/>
      <c r="L54" s="23"/>
      <c r="M54" s="25">
        <f>X54*100</f>
        <v>7.4825199999999992</v>
      </c>
      <c r="N54" s="25">
        <f>AJ54*100</f>
        <v>29.784903140919994</v>
      </c>
      <c r="O54" s="25">
        <f>AH54*100</f>
        <v>42.187599140919993</v>
      </c>
      <c r="P54" s="25">
        <f>(N54-M54)*(1-T54)</f>
        <v>22.302383140919993</v>
      </c>
      <c r="Q54" s="25">
        <f>AN54</f>
        <v>7.8379230968750209</v>
      </c>
      <c r="R54" s="25">
        <f>AG54</f>
        <v>1.5320286227656201</v>
      </c>
      <c r="S54" s="25">
        <f>N54-(S$37-33)*(O54-N54)/(33-AR54)</f>
        <v>45.1503725305</v>
      </c>
      <c r="T54" s="25">
        <f>((R54/2.65)*J54)/(1-J54*(1-R54/2.65))</f>
        <v>0</v>
      </c>
      <c r="U54" s="5">
        <f>T54*2.65+(1-T54)*R54</f>
        <v>1.5320286227656201</v>
      </c>
      <c r="V54" s="5"/>
      <c r="W54" s="25">
        <f>-0.024*F54+0.487*G54+0.006*H54+0.005*F54*H54-0.013*G54*H54+0.068*F54*G54+0.031</f>
        <v>8.3180000000000004E-2</v>
      </c>
      <c r="X54" s="25">
        <f t="shared" si="74"/>
        <v>7.4825199999999994E-2</v>
      </c>
      <c r="Y54" s="25">
        <f>-0.251*F54+0.195*G54+0.011*H54+0.006*F54*H54-0.027*G54*H54+0.452*F54*G54+0.299</f>
        <v>0.30681999999999998</v>
      </c>
      <c r="Z54" s="25">
        <f t="shared" si="76"/>
        <v>0.29784903140919994</v>
      </c>
      <c r="AA54" s="5">
        <f>0.278*F54+0.034*G54+0.022*H54-0.018*F54*H54-0.027*G54*H54-0.584*F54*G54+0.078</f>
        <v>0.12086</v>
      </c>
      <c r="AB54" s="5">
        <f t="shared" si="78"/>
        <v>9.0726959999999995E-2</v>
      </c>
      <c r="AC54" s="5">
        <f>AB54+Z54</f>
        <v>0.38857599140919996</v>
      </c>
      <c r="AD54" s="5">
        <f>-0.097*F54+0.043</f>
        <v>3.3299999999999996E-2</v>
      </c>
      <c r="AE54" s="5">
        <f>AC54+AD54</f>
        <v>0.42187599140919996</v>
      </c>
      <c r="AF54" s="5">
        <f t="shared" si="82"/>
        <v>1.5320286227656201</v>
      </c>
      <c r="AG54" s="25">
        <f>AF54*(I54)</f>
        <v>1.5320286227656201</v>
      </c>
      <c r="AH54" s="25">
        <f t="shared" si="84"/>
        <v>0.42187599140919996</v>
      </c>
      <c r="AI54" s="25">
        <f>(1-AG54/2.65)-(1-AF54/2.65)</f>
        <v>0</v>
      </c>
      <c r="AJ54" s="25">
        <f>Z54+0.2*AI54</f>
        <v>0.29784903140919994</v>
      </c>
      <c r="AK54" s="25">
        <f>AH54-AJ54</f>
        <v>0.12402696000000002</v>
      </c>
      <c r="AL54" s="25">
        <f xml:space="preserve"> (LN(AJ54)-LN(X54))/(LN(1500)-LN(33))</f>
        <v>0.36194287823145505</v>
      </c>
      <c r="AM54" s="25">
        <f>(1-J54)/(1-J54*(1-1.5*(R54/2.65)))</f>
        <v>1</v>
      </c>
      <c r="AN54" s="26">
        <f>1930*(AK54)^(3-AL54)*AM54</f>
        <v>7.8379230968750209</v>
      </c>
      <c r="AO54" s="5">
        <f>(LN(1500)-LN(33))/(LN(AJ54)-LN(X54))</f>
        <v>2.7628669056461459</v>
      </c>
      <c r="AP54" s="25">
        <f>EXP(LN(33)+(AO54*LN(AJ54)))</f>
        <v>1.1620783946861231</v>
      </c>
      <c r="AQ54" s="26">
        <f t="shared" si="92"/>
        <v>13.158750056840001</v>
      </c>
      <c r="AR54" s="26">
        <f t="shared" si="93"/>
        <v>14.434865361584816</v>
      </c>
      <c r="AT54" s="5"/>
      <c r="AW54" s="40" t="s">
        <v>99</v>
      </c>
      <c r="AX54" s="40" t="s">
        <v>100</v>
      </c>
      <c r="AY54" s="40" t="s">
        <v>106</v>
      </c>
      <c r="AZ54" s="40" t="s">
        <v>109</v>
      </c>
      <c r="BA54" s="39"/>
      <c r="BB54" s="39"/>
      <c r="BC54" s="39"/>
      <c r="BD54" s="39"/>
      <c r="BE54" s="39"/>
      <c r="BF54" s="39"/>
      <c r="BG54" s="39"/>
      <c r="BH54" s="39"/>
      <c r="BI54" s="39"/>
      <c r="BK54" s="23">
        <f t="shared" si="94"/>
        <v>22</v>
      </c>
      <c r="BL54" s="23">
        <f t="shared" si="2"/>
        <v>1.0638292010916506</v>
      </c>
      <c r="BM54" s="23">
        <f t="shared" si="3"/>
        <v>2.057099943664741</v>
      </c>
      <c r="BN54" s="23">
        <f t="shared" si="4"/>
        <v>14.252722635840312</v>
      </c>
      <c r="BO54" s="23">
        <f t="shared" si="5"/>
        <v>109.38908993814397</v>
      </c>
      <c r="BP54" s="23">
        <f t="shared" si="6"/>
        <v>172.19297006115593</v>
      </c>
      <c r="BQ54" s="23">
        <f t="shared" si="7"/>
        <v>95.391267902223632</v>
      </c>
      <c r="BR54" s="23">
        <f t="shared" si="8"/>
        <v>220.45974191177498</v>
      </c>
      <c r="BS54" s="23">
        <f t="shared" si="9"/>
        <v>864.20538509213213</v>
      </c>
      <c r="BT54" s="23">
        <f t="shared" si="10"/>
        <v>956.18552204820378</v>
      </c>
      <c r="BU54" s="23">
        <f t="shared" si="11"/>
        <v>5244.1592350868568</v>
      </c>
      <c r="BV54" s="23">
        <f t="shared" si="12"/>
        <v>12692.09172625208</v>
      </c>
      <c r="BW54" s="23">
        <f t="shared" si="13"/>
        <v>142820.41079302851</v>
      </c>
      <c r="BX54" s="23"/>
    </row>
    <row r="55" spans="4:99" x14ac:dyDescent="0.2">
      <c r="D55" s="1" t="s">
        <v>153</v>
      </c>
      <c r="F55" s="1">
        <v>0.34</v>
      </c>
      <c r="G55" s="1">
        <v>0.06</v>
      </c>
      <c r="H55" s="5">
        <v>15</v>
      </c>
      <c r="I55" s="5">
        <v>1</v>
      </c>
      <c r="J55" s="5">
        <v>0</v>
      </c>
      <c r="K55" s="23"/>
      <c r="L55" s="23"/>
      <c r="M55" s="25">
        <f>X55*100</f>
        <v>15.926180799999997</v>
      </c>
      <c r="N55" s="25">
        <f>AJ55*100</f>
        <v>45.044180494648494</v>
      </c>
      <c r="O55" s="25">
        <f>AH55*100</f>
        <v>96.949171534648499</v>
      </c>
      <c r="P55" s="25">
        <f>(N55-M55)*(1-T55)</f>
        <v>29.117999694648496</v>
      </c>
      <c r="Q55" s="25">
        <f>AN55</f>
        <v>322.67269693058574</v>
      </c>
      <c r="R55" s="25">
        <f>AG55</f>
        <v>8.0846954331814935E-2</v>
      </c>
      <c r="S55" s="25">
        <f>N55-(S$37-33)*(O55-N55)/(33-AR55)</f>
        <v>74.030544727030502</v>
      </c>
      <c r="T55" s="25">
        <f>((R55/2.65)*J55)/(1-J55*(1-R55/2.65))</f>
        <v>0</v>
      </c>
      <c r="U55" s="5">
        <f>T55*2.65+(1-T55)*R55</f>
        <v>8.0846954331814935E-2</v>
      </c>
      <c r="V55" s="5"/>
      <c r="W55" s="25">
        <f>-0.024*F55+0.487*G55+0.006*H55+0.005*F55*H55-0.013*G55*H55+0.068*F55*G55+0.031</f>
        <v>0.15724719999999998</v>
      </c>
      <c r="X55" s="25">
        <f>W55+0.14*W55-0.02</f>
        <v>0.15926180799999998</v>
      </c>
      <c r="Y55" s="25">
        <f>-0.251*F55+0.195*G55+0.011*H55+0.006*F55*H55-0.027*G55*H55+0.452*F55*G55+0.299</f>
        <v>0.40588079999999993</v>
      </c>
      <c r="Z55" s="25">
        <f>Y55+(1.283*Y55*Y55-0.374*Y55-0.015)</f>
        <v>0.45044180494648495</v>
      </c>
      <c r="AA55" s="5">
        <f>0.278*F55+0.034*G55+0.022*H55-0.018*F55*H55-0.027*G55*H55-0.584*F55*G55+0.078</f>
        <v>0.3765464</v>
      </c>
      <c r="AB55" s="5">
        <f>AA55+(0.636*AA55-0.107)</f>
        <v>0.50902991040000001</v>
      </c>
      <c r="AC55" s="5">
        <f>AB55+Z55</f>
        <v>0.9594717153464849</v>
      </c>
      <c r="AD55" s="5">
        <f>-0.097*F55+0.043</f>
        <v>1.0019999999999994E-2</v>
      </c>
      <c r="AE55" s="5">
        <f>AC55+AD55</f>
        <v>0.96949171534648493</v>
      </c>
      <c r="AF55" s="5">
        <f>(1-AE55)*2.65</f>
        <v>8.0846954331814935E-2</v>
      </c>
      <c r="AG55" s="25">
        <f>AF55*(I55)</f>
        <v>8.0846954331814935E-2</v>
      </c>
      <c r="AH55" s="25">
        <f>1-(AG55/2.65)</f>
        <v>0.96949171534648493</v>
      </c>
      <c r="AI55" s="25">
        <f>(1-AG55/2.65)-(1-AF55/2.65)</f>
        <v>0</v>
      </c>
      <c r="AJ55" s="25">
        <f>Z55+0.2*AI55</f>
        <v>0.45044180494648495</v>
      </c>
      <c r="AK55" s="25">
        <f>AH55-AJ55</f>
        <v>0.51904991039999993</v>
      </c>
      <c r="AL55" s="25">
        <f xml:space="preserve"> (LN(AJ55)-LN(X55))/(LN(1500)-LN(33))</f>
        <v>0.27240180179257545</v>
      </c>
      <c r="AM55" s="25">
        <f>(1-J55)/(1-J55*(1-1.5*(R55/2.65)))</f>
        <v>1</v>
      </c>
      <c r="AN55" s="26">
        <f>1930*(AK55)^(3-AL55)*AM55</f>
        <v>322.67269693058574</v>
      </c>
      <c r="AO55" s="5">
        <f>(LN(1500)-LN(33))/(LN(AJ55)-LN(X55))</f>
        <v>3.6710476708280568</v>
      </c>
      <c r="AP55" s="25">
        <f>EXP(LN(33)+(AO55*LN(AJ55)))</f>
        <v>1.7660583958787384</v>
      </c>
      <c r="AQ55" s="26">
        <f t="shared" si="92"/>
        <v>-11.337057857258678</v>
      </c>
      <c r="AR55" s="26">
        <f>AQ55+(0.02*AQ55^2-0.113*AQ55-0.7)</f>
        <v>-8.185392702211832</v>
      </c>
      <c r="AT55" s="5"/>
      <c r="AW55" s="5">
        <v>0.2</v>
      </c>
      <c r="AX55" s="5">
        <v>0.2</v>
      </c>
      <c r="AY55" s="5">
        <v>0.5</v>
      </c>
      <c r="AZ55" s="5">
        <v>1</v>
      </c>
      <c r="BA55" s="39"/>
      <c r="BB55" s="39"/>
      <c r="BC55" s="39"/>
      <c r="BD55" s="39"/>
      <c r="BE55" s="39"/>
      <c r="BF55" s="39"/>
      <c r="BG55" s="39"/>
      <c r="BH55" s="39"/>
      <c r="BI55" s="39"/>
      <c r="BK55" s="23">
        <f t="shared" si="94"/>
        <v>20</v>
      </c>
      <c r="BL55" s="23">
        <f t="shared" si="2"/>
        <v>1.6131280889690409</v>
      </c>
      <c r="BM55" s="23">
        <f t="shared" si="3"/>
        <v>3.1447235030283363</v>
      </c>
      <c r="BN55" s="23">
        <f t="shared" si="4"/>
        <v>22.436712708321998</v>
      </c>
      <c r="BO55" s="23">
        <f t="shared" si="5"/>
        <v>179.13449958732113</v>
      </c>
      <c r="BP55" s="23">
        <f t="shared" si="6"/>
        <v>252.90650265440664</v>
      </c>
      <c r="BQ55" s="23">
        <f t="shared" si="7"/>
        <v>124.00389912703605</v>
      </c>
      <c r="BR55" s="23">
        <f t="shared" si="8"/>
        <v>454.34409927798566</v>
      </c>
      <c r="BS55" s="58">
        <f t="shared" si="9"/>
        <v>1675.9070013315416</v>
      </c>
      <c r="BT55" s="58">
        <f t="shared" si="10"/>
        <v>1706.8288021129808</v>
      </c>
      <c r="BU55" s="23">
        <f t="shared" si="11"/>
        <v>13899.961387639129</v>
      </c>
      <c r="BV55" s="23">
        <f t="shared" si="12"/>
        <v>31308.927015538324</v>
      </c>
      <c r="BW55" s="23">
        <f t="shared" si="13"/>
        <v>461257.533669047</v>
      </c>
      <c r="BX55" s="23"/>
    </row>
    <row r="56" spans="4:99" x14ac:dyDescent="0.2">
      <c r="H56" s="5"/>
      <c r="I56" s="5"/>
      <c r="J56" s="5"/>
      <c r="K56" s="23"/>
      <c r="L56" s="23"/>
      <c r="M56" s="23"/>
      <c r="N56" s="25"/>
      <c r="O56" s="25"/>
      <c r="P56" s="23"/>
      <c r="Q56" s="26"/>
      <c r="R56" s="5"/>
      <c r="S56" s="5"/>
      <c r="T56" s="5"/>
      <c r="U56" s="5"/>
      <c r="V56" s="5"/>
      <c r="W56" s="25"/>
      <c r="X56" s="25"/>
      <c r="Y56" s="5"/>
      <c r="Z56" s="5"/>
      <c r="AA56" s="5"/>
      <c r="AB56" s="5"/>
      <c r="AC56" s="5"/>
      <c r="AD56" s="5"/>
      <c r="AE56" s="5"/>
      <c r="AF56" s="5"/>
      <c r="AG56" s="25"/>
      <c r="AH56" s="25"/>
      <c r="AI56" s="25"/>
      <c r="AJ56" s="25"/>
      <c r="AK56" s="25"/>
      <c r="AL56" s="25"/>
      <c r="AM56" s="25"/>
      <c r="AN56" s="26"/>
      <c r="AO56" s="5"/>
      <c r="AP56" s="25"/>
      <c r="AQ56" s="26"/>
      <c r="AR56" s="26"/>
      <c r="AT56" s="5"/>
      <c r="AW56" s="5">
        <v>0.2</v>
      </c>
      <c r="AX56" s="5">
        <v>0.2</v>
      </c>
      <c r="AY56" s="5">
        <v>2.5</v>
      </c>
      <c r="AZ56" s="5">
        <v>1</v>
      </c>
      <c r="BA56" s="39"/>
      <c r="BB56" s="39"/>
      <c r="BC56" s="39"/>
      <c r="BD56" s="39"/>
      <c r="BE56" s="39"/>
      <c r="BF56" s="39"/>
      <c r="BG56" s="39"/>
      <c r="BH56" s="39"/>
      <c r="BI56" s="39"/>
      <c r="BK56" s="23">
        <v>19</v>
      </c>
      <c r="BL56" s="23">
        <f t="shared" si="2"/>
        <v>2.0182211536834607</v>
      </c>
      <c r="BM56" s="23">
        <f t="shared" si="3"/>
        <v>3.951683773834727</v>
      </c>
      <c r="BN56" s="23">
        <f t="shared" si="4"/>
        <v>28.64258439979109</v>
      </c>
      <c r="BO56" s="23">
        <f t="shared" si="5"/>
        <v>233.59231146258989</v>
      </c>
      <c r="BP56" s="23">
        <f t="shared" si="6"/>
        <v>311.03190221161628</v>
      </c>
      <c r="BQ56" s="23">
        <f t="shared" si="7"/>
        <v>142.80635715372003</v>
      </c>
      <c r="BR56" s="23">
        <f t="shared" si="8"/>
        <v>670.50327144674759</v>
      </c>
      <c r="BS56" s="23">
        <f t="shared" si="9"/>
        <v>2393.569195808273</v>
      </c>
      <c r="BT56" s="23">
        <f t="shared" si="10"/>
        <v>2331.4162885873961</v>
      </c>
      <c r="BU56" s="23">
        <f t="shared" si="11"/>
        <v>23487.793020618617</v>
      </c>
      <c r="BV56" s="23">
        <f t="shared" si="12"/>
        <v>50898.425943990092</v>
      </c>
      <c r="BW56" s="23">
        <f t="shared" si="13"/>
        <v>866873.23741685203</v>
      </c>
      <c r="BX56" s="23"/>
    </row>
    <row r="57" spans="4:99" x14ac:dyDescent="0.2">
      <c r="F57" s="5"/>
      <c r="G57" s="5"/>
      <c r="H57" s="5"/>
      <c r="I57" s="5"/>
      <c r="J57" s="5"/>
      <c r="K57" s="23"/>
      <c r="L57" s="23"/>
      <c r="M57" s="23"/>
      <c r="N57" s="23"/>
      <c r="O57" s="5"/>
      <c r="P57" s="23"/>
      <c r="Q57" s="26"/>
      <c r="R57" s="5"/>
      <c r="S57" s="5"/>
      <c r="T57" s="5"/>
      <c r="U57" s="5"/>
      <c r="V57" s="5"/>
      <c r="W57" s="25"/>
      <c r="X57" s="25"/>
      <c r="Y57" s="5"/>
      <c r="Z57" s="5"/>
      <c r="AA57" s="5"/>
      <c r="AB57" s="5"/>
      <c r="AC57" s="5"/>
      <c r="AD57" s="5"/>
      <c r="AE57" s="5"/>
      <c r="AF57" s="5"/>
      <c r="AG57" s="25"/>
      <c r="AH57" s="25"/>
      <c r="AI57" s="25"/>
      <c r="AJ57" s="25"/>
      <c r="AK57" s="25"/>
      <c r="AL57" s="25"/>
      <c r="AM57" s="25"/>
      <c r="AN57" s="26"/>
      <c r="AO57" s="5"/>
      <c r="AP57" s="25"/>
      <c r="AQ57" s="26"/>
      <c r="AR57" s="26"/>
      <c r="AT57" s="5"/>
      <c r="AW57" s="5">
        <v>0.2</v>
      </c>
      <c r="AX57" s="5">
        <v>0.2</v>
      </c>
      <c r="AY57" s="5">
        <v>5</v>
      </c>
      <c r="AZ57" s="5">
        <v>1</v>
      </c>
      <c r="BA57" s="39"/>
      <c r="BB57" s="39"/>
      <c r="BC57" s="39"/>
      <c r="BD57" s="39"/>
      <c r="BE57" s="39"/>
      <c r="BF57" s="39"/>
      <c r="BG57" s="39"/>
      <c r="BH57" s="39"/>
      <c r="BI57" s="39"/>
      <c r="BK57" s="23">
        <v>18</v>
      </c>
      <c r="BL57" s="23">
        <f t="shared" si="2"/>
        <v>2.5558220070655695</v>
      </c>
      <c r="BM57" s="23">
        <f t="shared" si="3"/>
        <v>5.0274364967953451</v>
      </c>
      <c r="BN57" s="57">
        <f t="shared" si="4"/>
        <v>37.051047506092878</v>
      </c>
      <c r="BO57" s="23">
        <f t="shared" si="5"/>
        <v>309.00970965091688</v>
      </c>
      <c r="BP57" s="23">
        <f t="shared" si="6"/>
        <v>386.81977319907287</v>
      </c>
      <c r="BQ57" s="23">
        <f t="shared" si="7"/>
        <v>165.72021461812511</v>
      </c>
      <c r="BR57" s="23">
        <f t="shared" si="8"/>
        <v>1010.5487013061144</v>
      </c>
      <c r="BS57" s="23">
        <f t="shared" si="9"/>
        <v>3485.0850947188364</v>
      </c>
      <c r="BT57" s="23">
        <f t="shared" si="10"/>
        <v>3238.722204043881</v>
      </c>
      <c r="BU57" s="23">
        <f t="shared" si="11"/>
        <v>40831.161648344336</v>
      </c>
      <c r="BV57" s="23">
        <f t="shared" si="12"/>
        <v>84948.026871292182</v>
      </c>
      <c r="BW57" s="23">
        <f t="shared" si="13"/>
        <v>1685723.0161140945</v>
      </c>
      <c r="BX57" s="23"/>
    </row>
    <row r="58" spans="4:99" x14ac:dyDescent="0.2">
      <c r="H58" s="5"/>
      <c r="I58" s="5"/>
      <c r="J58" s="5"/>
      <c r="K58" s="23"/>
      <c r="L58" s="23"/>
      <c r="M58" s="23"/>
      <c r="N58" s="23"/>
      <c r="O58" s="23"/>
      <c r="P58" s="23"/>
      <c r="Q58" s="26"/>
      <c r="R58" s="5"/>
      <c r="S58" s="5"/>
      <c r="T58" s="5"/>
      <c r="U58" s="5"/>
      <c r="V58" s="5"/>
      <c r="W58" s="25"/>
      <c r="X58" s="25"/>
      <c r="Y58" s="5"/>
      <c r="Z58" s="5"/>
      <c r="AA58" s="5"/>
      <c r="AB58" s="5"/>
      <c r="AC58" s="5"/>
      <c r="AD58" s="5"/>
      <c r="AE58" s="5"/>
      <c r="AF58" s="5"/>
      <c r="AG58" s="25"/>
      <c r="AH58" s="25"/>
      <c r="AI58" s="25"/>
      <c r="AJ58" s="25"/>
      <c r="AK58" s="25"/>
      <c r="AL58" s="25"/>
      <c r="AM58" s="25"/>
      <c r="AN58" s="26"/>
      <c r="AO58" s="5"/>
      <c r="AP58" s="25"/>
      <c r="AQ58" s="26"/>
      <c r="AR58" s="26"/>
      <c r="AT58" s="5"/>
      <c r="AW58" s="5">
        <v>0.2</v>
      </c>
      <c r="AX58" s="5">
        <v>0.2</v>
      </c>
      <c r="AY58" s="5">
        <v>7.5</v>
      </c>
      <c r="AZ58" s="5">
        <v>1</v>
      </c>
      <c r="BA58" s="39"/>
      <c r="BB58" s="39"/>
      <c r="BC58" s="39"/>
      <c r="BD58" s="39"/>
      <c r="BE58" s="39"/>
      <c r="BF58" s="39"/>
      <c r="BG58" s="39"/>
      <c r="BH58" s="39"/>
      <c r="BI58" s="39"/>
      <c r="BK58" s="23">
        <v>17</v>
      </c>
      <c r="BL58" s="23">
        <f t="shared" si="2"/>
        <v>3.2806223511966901</v>
      </c>
      <c r="BM58" s="23">
        <f t="shared" si="3"/>
        <v>6.4846908831701118</v>
      </c>
      <c r="BN58" s="23">
        <f t="shared" si="4"/>
        <v>48.638488162730454</v>
      </c>
      <c r="BO58" s="23">
        <f t="shared" si="5"/>
        <v>415.36798552814531</v>
      </c>
      <c r="BP58" s="23">
        <f t="shared" si="6"/>
        <v>487.1098421275654</v>
      </c>
      <c r="BQ58" s="23">
        <f t="shared" si="7"/>
        <v>193.95385481130808</v>
      </c>
      <c r="BR58" s="58">
        <f t="shared" si="8"/>
        <v>1559.1911188882727</v>
      </c>
      <c r="BS58" s="23">
        <f t="shared" si="9"/>
        <v>5184.5322238319359</v>
      </c>
      <c r="BT58" s="23">
        <f t="shared" si="10"/>
        <v>4584.4712926243255</v>
      </c>
      <c r="BU58" s="23">
        <f t="shared" si="11"/>
        <v>73260.750228424906</v>
      </c>
      <c r="BV58" s="23">
        <f t="shared" si="12"/>
        <v>145989.07045750934</v>
      </c>
      <c r="BW58" s="23">
        <f t="shared" si="13"/>
        <v>3405102.5029573822</v>
      </c>
      <c r="BX58" s="23"/>
    </row>
    <row r="59" spans="4:99" x14ac:dyDescent="0.2">
      <c r="H59" s="5"/>
      <c r="I59" s="5"/>
      <c r="J59" s="5"/>
      <c r="K59" s="23"/>
      <c r="L59" s="23"/>
      <c r="M59" s="23"/>
      <c r="N59" s="23"/>
      <c r="O59" s="23"/>
      <c r="P59" s="23"/>
      <c r="Q59" s="26"/>
      <c r="R59" s="5"/>
      <c r="S59" s="5"/>
      <c r="T59" s="5"/>
      <c r="U59" s="5"/>
      <c r="V59" s="5"/>
      <c r="W59" s="25"/>
      <c r="X59" s="25"/>
      <c r="Y59" s="5"/>
      <c r="Z59" s="5"/>
      <c r="AA59" s="5"/>
      <c r="AB59" s="5"/>
      <c r="AC59" s="5"/>
      <c r="AD59" s="5"/>
      <c r="AE59" s="5"/>
      <c r="AF59" s="5"/>
      <c r="AG59" s="25"/>
      <c r="AH59" s="25"/>
      <c r="AI59" s="25"/>
      <c r="AJ59" s="25"/>
      <c r="AK59" s="25"/>
      <c r="AL59" s="25"/>
      <c r="AM59" s="25"/>
      <c r="AN59" s="26"/>
      <c r="AO59" s="5"/>
      <c r="AP59" s="25"/>
      <c r="AQ59" s="26"/>
      <c r="AR59" s="26"/>
      <c r="AT59" s="5"/>
      <c r="BB59" s="39"/>
      <c r="BC59" s="39"/>
      <c r="BD59" s="39"/>
      <c r="BE59" s="39"/>
      <c r="BF59" s="39"/>
      <c r="BG59" s="39"/>
      <c r="BH59" s="39"/>
      <c r="BI59" s="39"/>
      <c r="BK59" s="23">
        <v>16</v>
      </c>
      <c r="BL59" s="23">
        <f t="shared" si="2"/>
        <v>4.2752058920966141</v>
      </c>
      <c r="BM59" s="23">
        <f t="shared" si="3"/>
        <v>8.4944547584669632</v>
      </c>
      <c r="BN59" s="23">
        <f t="shared" si="4"/>
        <v>64.912196476177499</v>
      </c>
      <c r="BO59" s="23">
        <f t="shared" si="5"/>
        <v>568.43924877600455</v>
      </c>
      <c r="BP59" s="23">
        <f t="shared" si="6"/>
        <v>622.0374417807385</v>
      </c>
      <c r="BQ59" s="23">
        <f t="shared" si="7"/>
        <v>229.17360266521536</v>
      </c>
      <c r="BR59" s="23">
        <f t="shared" si="8"/>
        <v>2469.8064638181449</v>
      </c>
      <c r="BS59" s="23">
        <f t="shared" si="9"/>
        <v>7900.713366257447</v>
      </c>
      <c r="BT59" s="23">
        <f t="shared" si="10"/>
        <v>6627.6056179004745</v>
      </c>
      <c r="BU59" s="23">
        <f t="shared" si="11"/>
        <v>136190.49207703047</v>
      </c>
      <c r="BV59" s="23">
        <f t="shared" si="12"/>
        <v>259267.7039576034</v>
      </c>
      <c r="BW59" s="23">
        <f t="shared" si="13"/>
        <v>7177792.0531606367</v>
      </c>
      <c r="BX59" s="23"/>
    </row>
    <row r="60" spans="4:99" x14ac:dyDescent="0.2">
      <c r="H60" s="5"/>
      <c r="I60" s="5"/>
      <c r="J60" s="5"/>
      <c r="K60" s="23"/>
      <c r="L60" s="23"/>
      <c r="M60" s="23"/>
      <c r="N60" s="23"/>
      <c r="O60" s="23"/>
      <c r="P60" s="23"/>
      <c r="Q60" s="26"/>
      <c r="R60" s="5"/>
      <c r="S60" s="5"/>
      <c r="T60" s="5"/>
      <c r="U60" s="5"/>
      <c r="V60" s="5"/>
      <c r="W60" s="25"/>
      <c r="X60" s="25"/>
      <c r="Y60" s="5"/>
      <c r="Z60" s="5"/>
      <c r="AA60" s="5"/>
      <c r="AB60" s="5"/>
      <c r="AC60" s="5"/>
      <c r="AD60" s="5"/>
      <c r="AE60" s="5"/>
      <c r="AF60" s="5"/>
      <c r="AG60" s="25"/>
      <c r="AH60" s="25"/>
      <c r="AI60" s="25"/>
      <c r="AJ60" s="25"/>
      <c r="AK60" s="25"/>
      <c r="AL60" s="25"/>
      <c r="AM60" s="25"/>
      <c r="AN60" s="26"/>
      <c r="AO60" s="5"/>
      <c r="AP60" s="25"/>
      <c r="AQ60" s="26"/>
      <c r="AR60" s="26"/>
      <c r="AT60" s="5"/>
      <c r="AV60" s="1" t="s">
        <v>115</v>
      </c>
      <c r="AX60" s="5">
        <v>0.5</v>
      </c>
      <c r="AY60" s="5">
        <v>2.5</v>
      </c>
      <c r="AZ60" s="5">
        <v>5</v>
      </c>
      <c r="BA60" s="5">
        <v>7.5</v>
      </c>
      <c r="BK60" s="23">
        <v>15</v>
      </c>
      <c r="BL60" s="23">
        <f t="shared" si="2"/>
        <v>5.6673786801997128</v>
      </c>
      <c r="BM60" s="23">
        <f t="shared" si="3"/>
        <v>11.32272872344776</v>
      </c>
      <c r="BN60" s="23">
        <f t="shared" si="4"/>
        <v>88.260186607205924</v>
      </c>
      <c r="BO60" s="23">
        <f t="shared" si="5"/>
        <v>793.83711734682129</v>
      </c>
      <c r="BP60" s="23">
        <f t="shared" si="6"/>
        <v>806.9780176395027</v>
      </c>
      <c r="BQ60" s="23">
        <f t="shared" si="7"/>
        <v>273.72165261317508</v>
      </c>
      <c r="BR60" s="23">
        <f t="shared" si="8"/>
        <v>4030.1679316783648</v>
      </c>
      <c r="BS60" s="23">
        <f t="shared" si="9"/>
        <v>12371.849867170644</v>
      </c>
      <c r="BT60" s="23">
        <f t="shared" si="10"/>
        <v>9812.0090299950734</v>
      </c>
      <c r="BU60" s="23">
        <f t="shared" si="11"/>
        <v>263515.7158624524</v>
      </c>
      <c r="BV60" s="23">
        <f t="shared" si="12"/>
        <v>477836.66278039193</v>
      </c>
      <c r="BW60" s="23">
        <f t="shared" si="13"/>
        <v>15876686.160671214</v>
      </c>
      <c r="BX60" s="23"/>
    </row>
    <row r="61" spans="4:99" x14ac:dyDescent="0.2">
      <c r="H61" s="5"/>
      <c r="I61" s="5"/>
      <c r="J61" s="5"/>
      <c r="K61" s="23"/>
      <c r="L61" s="23"/>
      <c r="M61" s="23"/>
      <c r="N61" s="23"/>
      <c r="O61" s="23"/>
      <c r="P61" s="23"/>
      <c r="Q61" s="26"/>
      <c r="R61" s="5"/>
      <c r="S61" s="5"/>
      <c r="T61" s="5"/>
      <c r="U61" s="5"/>
      <c r="V61" s="5"/>
      <c r="W61" s="25"/>
      <c r="X61" s="25"/>
      <c r="Y61" s="5"/>
      <c r="Z61" s="5"/>
      <c r="AA61" s="5"/>
      <c r="AB61" s="5"/>
      <c r="AC61" s="5"/>
      <c r="AD61" s="5"/>
      <c r="AE61" s="5"/>
      <c r="AF61" s="5"/>
      <c r="AG61" s="25"/>
      <c r="AH61" s="25"/>
      <c r="AI61" s="25"/>
      <c r="AJ61" s="25"/>
      <c r="AK61" s="25"/>
      <c r="AL61" s="25"/>
      <c r="AM61" s="25"/>
      <c r="AN61" s="26"/>
      <c r="AO61" s="5"/>
      <c r="AP61" s="25"/>
      <c r="AQ61" s="26"/>
      <c r="AR61" s="26"/>
      <c r="AT61" s="5"/>
      <c r="BK61" s="23">
        <v>14</v>
      </c>
      <c r="BL61" s="23">
        <f t="shared" si="2"/>
        <v>7.6604984610250906</v>
      </c>
      <c r="BM61" s="23">
        <f t="shared" si="3"/>
        <v>15.395056218597933</v>
      </c>
      <c r="BN61" s="23">
        <f t="shared" si="4"/>
        <v>122.57816119075559</v>
      </c>
      <c r="BO61" s="23">
        <f t="shared" si="5"/>
        <v>1134.4613183960951</v>
      </c>
      <c r="BP61" s="23">
        <f t="shared" si="6"/>
        <v>1065.8819023297606</v>
      </c>
      <c r="BQ61" s="23">
        <f t="shared" si="7"/>
        <v>330.96198667327479</v>
      </c>
      <c r="BR61" s="23">
        <f t="shared" si="8"/>
        <v>6802.379343889862</v>
      </c>
      <c r="BS61" s="23">
        <f t="shared" si="9"/>
        <v>19982.305290446577</v>
      </c>
      <c r="BT61" s="23">
        <f t="shared" si="10"/>
        <v>14925.196504748101</v>
      </c>
      <c r="BU61" s="23">
        <f t="shared" si="11"/>
        <v>533643.31244864222</v>
      </c>
      <c r="BV61" s="23">
        <f t="shared" si="12"/>
        <v>918622.4687902095</v>
      </c>
      <c r="BW61" s="23">
        <f t="shared" si="13"/>
        <v>37095760.396241814</v>
      </c>
      <c r="BX61" s="23"/>
    </row>
    <row r="62" spans="4:99" x14ac:dyDescent="0.2">
      <c r="H62" s="5"/>
      <c r="I62" s="5"/>
      <c r="J62" s="5"/>
      <c r="K62" s="23"/>
      <c r="L62" s="23"/>
      <c r="M62" s="23"/>
      <c r="N62" s="23"/>
      <c r="O62" s="23"/>
      <c r="P62" s="23"/>
      <c r="Q62" s="26"/>
      <c r="R62" s="5"/>
      <c r="S62" s="5"/>
      <c r="T62" s="5"/>
      <c r="U62" s="5"/>
      <c r="V62" s="5"/>
      <c r="W62" s="25"/>
      <c r="X62" s="25"/>
      <c r="Y62" s="5"/>
      <c r="Z62" s="5"/>
      <c r="AA62" s="5"/>
      <c r="AB62" s="5"/>
      <c r="AC62" s="5"/>
      <c r="AD62" s="5"/>
      <c r="AE62" s="5"/>
      <c r="AF62" s="5"/>
      <c r="AG62" s="25"/>
      <c r="AH62" s="25"/>
      <c r="AI62" s="25"/>
      <c r="AJ62" s="25"/>
      <c r="AK62" s="25"/>
      <c r="AL62" s="25"/>
      <c r="AM62" s="25"/>
      <c r="AN62" s="26"/>
      <c r="AO62" s="5"/>
      <c r="AP62" s="25"/>
      <c r="AQ62" s="26"/>
      <c r="AR62" s="26"/>
      <c r="AT62" s="5"/>
      <c r="AV62" s="5" t="s">
        <v>25</v>
      </c>
      <c r="AW62" s="5"/>
      <c r="AX62" s="5">
        <v>0.12852000000000002</v>
      </c>
      <c r="AY62" s="5">
        <v>0.13732</v>
      </c>
      <c r="AZ62" s="5">
        <v>0.14832000000000001</v>
      </c>
      <c r="BA62" s="5">
        <v>0.15932000000000002</v>
      </c>
      <c r="BK62" s="23">
        <v>13</v>
      </c>
      <c r="BL62" s="23">
        <f t="shared" si="2"/>
        <v>10.588509393975</v>
      </c>
      <c r="BM62" s="23">
        <f t="shared" si="3"/>
        <v>21.414301337034079</v>
      </c>
      <c r="BN62" s="23">
        <f t="shared" si="4"/>
        <v>174.43645066683382</v>
      </c>
      <c r="BO62" s="58">
        <f t="shared" si="5"/>
        <v>1664.7304978760892</v>
      </c>
      <c r="BP62" s="23">
        <f t="shared" si="6"/>
        <v>1437.196143639218</v>
      </c>
      <c r="BQ62" s="23">
        <f t="shared" si="7"/>
        <v>405.84601709381599</v>
      </c>
      <c r="BR62" s="23">
        <f t="shared" si="8"/>
        <v>11935.847667163387</v>
      </c>
      <c r="BS62" s="23">
        <f t="shared" si="9"/>
        <v>33442.07413026104</v>
      </c>
      <c r="BT62" s="23">
        <f t="shared" si="10"/>
        <v>23420.037944120584</v>
      </c>
      <c r="BU62" s="23">
        <f t="shared" si="11"/>
        <v>1138715.6338316682</v>
      </c>
      <c r="BV62" s="23">
        <f t="shared" si="12"/>
        <v>1853701.2128167849</v>
      </c>
      <c r="BW62" s="23">
        <f t="shared" si="13"/>
        <v>92302591.976391494</v>
      </c>
      <c r="BX62" s="23"/>
    </row>
    <row r="63" spans="4:99" x14ac:dyDescent="0.2">
      <c r="H63" s="5"/>
      <c r="I63" s="5"/>
      <c r="J63" s="5"/>
      <c r="K63" s="23"/>
      <c r="L63" s="23"/>
      <c r="M63" s="23"/>
      <c r="N63" s="23"/>
      <c r="O63" s="23"/>
      <c r="P63" s="23"/>
      <c r="Q63" s="26"/>
      <c r="R63" s="5"/>
      <c r="S63" s="5"/>
      <c r="T63" s="5"/>
      <c r="U63" s="5"/>
      <c r="V63" s="5"/>
      <c r="W63" s="25"/>
      <c r="X63" s="25"/>
      <c r="Y63" s="5"/>
      <c r="Z63" s="5"/>
      <c r="AA63" s="5"/>
      <c r="AB63" s="5"/>
      <c r="AC63" s="5"/>
      <c r="AD63" s="5"/>
      <c r="AE63" s="5"/>
      <c r="AF63" s="5"/>
      <c r="AG63" s="25"/>
      <c r="AH63" s="25"/>
      <c r="AI63" s="25"/>
      <c r="AJ63" s="25"/>
      <c r="AK63" s="25"/>
      <c r="AL63" s="25"/>
      <c r="AM63" s="25"/>
      <c r="AN63" s="26"/>
      <c r="AO63" s="5"/>
      <c r="AP63" s="25"/>
      <c r="AQ63" s="26"/>
      <c r="AR63" s="26"/>
      <c r="AT63" s="5"/>
      <c r="AV63" s="5" t="s">
        <v>26</v>
      </c>
      <c r="AW63" s="5"/>
      <c r="AX63" s="5">
        <v>0.30133351390719998</v>
      </c>
      <c r="AY63" s="5">
        <v>0.32087754731520002</v>
      </c>
      <c r="AZ63" s="5">
        <v>0.3459750056751999</v>
      </c>
      <c r="BA63" s="5">
        <v>0.37181403803519997</v>
      </c>
      <c r="BK63" s="23">
        <v>12</v>
      </c>
      <c r="BL63" s="23">
        <f t="shared" si="2"/>
        <v>15.020016632292048</v>
      </c>
      <c r="BM63" s="23">
        <f t="shared" si="3"/>
        <v>30.5846942636135</v>
      </c>
      <c r="BN63" s="23">
        <f t="shared" si="4"/>
        <v>255.34768165686023</v>
      </c>
      <c r="BO63" s="23">
        <f t="shared" si="5"/>
        <v>2519.0467256429852</v>
      </c>
      <c r="BP63" s="58">
        <f t="shared" si="6"/>
        <v>1984.806781942272</v>
      </c>
      <c r="BQ63" s="23">
        <f t="shared" si="7"/>
        <v>505.86939361135876</v>
      </c>
      <c r="BR63" s="23">
        <f t="shared" si="8"/>
        <v>21907.92138326358</v>
      </c>
      <c r="BS63" s="23">
        <f t="shared" si="9"/>
        <v>58324.501021371732</v>
      </c>
      <c r="BT63" s="23">
        <f t="shared" si="10"/>
        <v>38099.970008463002</v>
      </c>
      <c r="BU63" s="23">
        <f t="shared" si="11"/>
        <v>2581901.7774576531</v>
      </c>
      <c r="BV63" s="23">
        <f t="shared" si="12"/>
        <v>3956942.1962097641</v>
      </c>
      <c r="BW63" s="23">
        <f t="shared" si="13"/>
        <v>247062743.55695847</v>
      </c>
      <c r="BX63" s="23"/>
    </row>
    <row r="64" spans="4:99" x14ac:dyDescent="0.2">
      <c r="F64" s="5"/>
      <c r="G64" s="5"/>
      <c r="H64" s="5"/>
      <c r="I64" s="5"/>
      <c r="J64" s="5"/>
      <c r="K64" s="5"/>
      <c r="M64" s="23"/>
      <c r="N64" s="23"/>
      <c r="O64" s="23"/>
      <c r="P64" s="23"/>
      <c r="Q64" s="26"/>
      <c r="R64" s="5"/>
      <c r="S64" s="5"/>
      <c r="T64" s="5"/>
      <c r="U64" s="5"/>
      <c r="V64" s="5"/>
      <c r="W64" s="25"/>
      <c r="X64" s="25"/>
      <c r="Y64" s="5"/>
      <c r="Z64" s="5"/>
      <c r="AA64" s="5"/>
      <c r="AB64" s="5"/>
      <c r="AC64" s="5"/>
      <c r="AD64" s="5"/>
      <c r="AE64" s="5"/>
      <c r="AF64" s="5"/>
      <c r="AG64" s="25"/>
      <c r="AH64" s="25"/>
      <c r="AI64" s="25"/>
      <c r="AJ64" s="25"/>
      <c r="AK64" s="25"/>
      <c r="AL64" s="25"/>
      <c r="AM64" s="25"/>
      <c r="AN64" s="26"/>
      <c r="AO64" s="5"/>
      <c r="AP64" s="25"/>
      <c r="AQ64" s="26"/>
      <c r="AR64" s="26"/>
      <c r="AT64" s="5"/>
      <c r="AV64" s="5" t="s">
        <v>85</v>
      </c>
      <c r="AW64" s="5"/>
      <c r="AX64" s="5">
        <v>0.42004495390719998</v>
      </c>
      <c r="AY64" s="5">
        <v>0.48212498731520004</v>
      </c>
      <c r="AZ64" s="5">
        <v>0.56039244567519986</v>
      </c>
      <c r="BA64" s="5">
        <v>0.63940147803519987</v>
      </c>
      <c r="BK64" s="23">
        <v>11</v>
      </c>
      <c r="BL64" s="23">
        <f t="shared" si="2"/>
        <v>21.96469079555569</v>
      </c>
      <c r="BM64" s="57">
        <f t="shared" si="3"/>
        <v>45.059002997401358</v>
      </c>
      <c r="BN64" s="23">
        <f t="shared" si="4"/>
        <v>386.39800573896383</v>
      </c>
      <c r="BO64" s="23">
        <f t="shared" si="5"/>
        <v>3951.7573797016648</v>
      </c>
      <c r="BP64" s="23">
        <f t="shared" si="6"/>
        <v>2819.2052460541745</v>
      </c>
      <c r="BQ64" s="23">
        <f t="shared" si="7"/>
        <v>642.75483284728682</v>
      </c>
      <c r="BR64" s="23">
        <f t="shared" si="8"/>
        <v>42394.690694009907</v>
      </c>
      <c r="BS64" s="23">
        <f t="shared" si="9"/>
        <v>106767.56533096811</v>
      </c>
      <c r="BT64" s="23">
        <f t="shared" si="10"/>
        <v>64663.778042727761</v>
      </c>
      <c r="BU64" s="23">
        <f t="shared" si="11"/>
        <v>6286613.7547555268</v>
      </c>
      <c r="BV64" s="23">
        <f t="shared" si="12"/>
        <v>9022998.7418883722</v>
      </c>
      <c r="BW64" s="23">
        <f t="shared" si="13"/>
        <v>720489587.40549457</v>
      </c>
      <c r="BX64" s="23"/>
    </row>
    <row r="65" spans="1:76" ht="15.75" x14ac:dyDescent="0.2">
      <c r="A65" s="23"/>
      <c r="B65" s="5"/>
      <c r="C65" s="23"/>
      <c r="F65" s="5"/>
      <c r="G65" s="5"/>
      <c r="K65" s="42"/>
      <c r="L65" s="42"/>
      <c r="M65" s="23"/>
      <c r="N65" s="23"/>
      <c r="O65" s="23"/>
      <c r="P65" s="23"/>
      <c r="Q65" s="26"/>
      <c r="R65" s="5"/>
      <c r="S65" s="5"/>
      <c r="T65" s="5"/>
      <c r="U65" s="5"/>
      <c r="V65" s="5"/>
      <c r="W65" s="25"/>
      <c r="X65" s="25"/>
      <c r="Y65" s="5"/>
      <c r="Z65" s="5"/>
      <c r="AA65" s="5"/>
      <c r="AB65" s="5"/>
      <c r="AC65" s="5"/>
      <c r="AD65" s="5"/>
      <c r="AE65" s="5"/>
      <c r="AF65" s="5"/>
      <c r="AG65" s="25"/>
      <c r="AH65" s="25"/>
      <c r="AI65" s="25"/>
      <c r="AJ65" s="25"/>
      <c r="AK65" s="25"/>
      <c r="AL65" s="25"/>
      <c r="AM65" s="25"/>
      <c r="AN65" s="26"/>
      <c r="AO65" s="5"/>
      <c r="AP65" s="25"/>
      <c r="AQ65" s="26"/>
      <c r="AR65" s="26"/>
      <c r="AT65" s="5"/>
      <c r="AV65" s="5" t="s">
        <v>86</v>
      </c>
      <c r="AW65" s="5"/>
      <c r="AX65" s="5">
        <v>0.15316594172034209</v>
      </c>
      <c r="AY65" s="5">
        <v>0.19887392506685519</v>
      </c>
      <c r="AZ65" s="5">
        <v>0.27628965250504267</v>
      </c>
      <c r="BA65" s="5">
        <v>0.38320402041341184</v>
      </c>
      <c r="BK65" s="23">
        <v>10</v>
      </c>
      <c r="BL65" s="57">
        <f t="shared" si="2"/>
        <v>33.305966457277243</v>
      </c>
      <c r="BM65" s="23">
        <f t="shared" si="3"/>
        <v>68.882460565584282</v>
      </c>
      <c r="BN65" s="23">
        <f t="shared" si="4"/>
        <v>608.26982095568928</v>
      </c>
      <c r="BO65" s="23">
        <f t="shared" si="5"/>
        <v>6471.3590825525134</v>
      </c>
      <c r="BP65" s="23">
        <f t="shared" si="6"/>
        <v>4140.6762354542707</v>
      </c>
      <c r="BQ65" s="23">
        <f t="shared" si="7"/>
        <v>835.54928253503078</v>
      </c>
      <c r="BR65" s="23">
        <f t="shared" si="8"/>
        <v>87370.952131691418</v>
      </c>
      <c r="BS65" s="23">
        <f t="shared" si="9"/>
        <v>207048.59439659287</v>
      </c>
      <c r="BT65" s="23">
        <f t="shared" si="10"/>
        <v>115427.38963496339</v>
      </c>
      <c r="BU65" s="23">
        <f t="shared" si="11"/>
        <v>16663050.173123779</v>
      </c>
      <c r="BV65" s="23">
        <f t="shared" si="12"/>
        <v>22257986.718356136</v>
      </c>
      <c r="BW65" s="23">
        <f t="shared" si="13"/>
        <v>2326917058.112186</v>
      </c>
      <c r="BX65" s="23"/>
    </row>
    <row r="66" spans="1:76" ht="15.75" x14ac:dyDescent="0.2">
      <c r="A66" s="23"/>
      <c r="B66" s="5"/>
      <c r="C66" s="23"/>
      <c r="E66" s="5"/>
      <c r="F66" s="5"/>
      <c r="G66" s="5"/>
      <c r="K66" s="42"/>
      <c r="L66" s="42"/>
      <c r="M66" s="23"/>
      <c r="N66" s="23"/>
      <c r="O66" s="23"/>
      <c r="P66" s="23"/>
      <c r="Q66" s="26"/>
      <c r="R66" s="5"/>
      <c r="S66" s="5"/>
      <c r="T66" s="5"/>
      <c r="U66" s="5"/>
      <c r="V66" s="5"/>
      <c r="W66" s="25"/>
      <c r="X66" s="25"/>
      <c r="Y66" s="5"/>
      <c r="Z66" s="5"/>
      <c r="AA66" s="5"/>
      <c r="AB66" s="5"/>
      <c r="AC66" s="5"/>
      <c r="AD66" s="5"/>
      <c r="AE66" s="5"/>
      <c r="AF66" s="5"/>
      <c r="AG66" s="25"/>
      <c r="AH66" s="25"/>
      <c r="AI66" s="25"/>
      <c r="AJ66" s="25"/>
      <c r="AK66" s="25"/>
      <c r="AL66" s="25"/>
      <c r="AM66" s="25"/>
      <c r="AN66" s="26"/>
      <c r="AO66" s="5"/>
      <c r="AP66" s="25"/>
      <c r="AQ66" s="26"/>
      <c r="AR66" s="26"/>
      <c r="AT66" s="5"/>
      <c r="AV66" s="5" t="s">
        <v>87</v>
      </c>
      <c r="AW66" s="5"/>
      <c r="AX66" s="5">
        <v>4.4790099822770131</v>
      </c>
      <c r="AY66" s="5">
        <v>4.4968866809428123</v>
      </c>
      <c r="AZ66" s="5">
        <v>4.506184076637175</v>
      </c>
      <c r="BA66" s="5">
        <v>4.5036071641837303</v>
      </c>
      <c r="BK66" s="23">
        <v>9</v>
      </c>
      <c r="BL66" s="23">
        <f t="shared" si="2"/>
        <v>52.76959878152045</v>
      </c>
      <c r="BM66" s="23">
        <f t="shared" si="3"/>
        <v>110.12166758158529</v>
      </c>
      <c r="BN66" s="23">
        <f t="shared" si="4"/>
        <v>1004.4713022684764</v>
      </c>
      <c r="BO66" s="23">
        <f t="shared" si="5"/>
        <v>11163.191879583159</v>
      </c>
      <c r="BP66" s="23">
        <f t="shared" si="6"/>
        <v>6333.1524712826786</v>
      </c>
      <c r="BQ66" s="23">
        <f t="shared" si="7"/>
        <v>1116.6375202756551</v>
      </c>
      <c r="BR66" s="23">
        <f t="shared" si="8"/>
        <v>194329.80938647344</v>
      </c>
      <c r="BS66" s="23">
        <f t="shared" si="9"/>
        <v>430562.05961353652</v>
      </c>
      <c r="BT66" s="23">
        <f t="shared" si="10"/>
        <v>219024.45594003721</v>
      </c>
      <c r="BU66" s="23">
        <f t="shared" si="11"/>
        <v>48947739.939646766</v>
      </c>
      <c r="BV66" s="23">
        <f t="shared" si="12"/>
        <v>60390828.881277733</v>
      </c>
      <c r="BW66" s="23">
        <f t="shared" si="13"/>
        <v>8504007750.8254881</v>
      </c>
      <c r="BX66" s="23"/>
    </row>
    <row r="67" spans="1:76" ht="15.75" x14ac:dyDescent="0.2">
      <c r="A67" s="23"/>
      <c r="B67" s="5"/>
      <c r="C67" s="23"/>
      <c r="E67" s="5"/>
      <c r="F67" s="5"/>
      <c r="G67" s="5"/>
      <c r="K67" s="42"/>
      <c r="L67" s="42"/>
      <c r="M67" s="23"/>
      <c r="N67" s="23"/>
      <c r="O67" s="23"/>
      <c r="P67" s="23"/>
      <c r="Q67" s="26"/>
      <c r="R67" s="5"/>
      <c r="S67" s="5"/>
      <c r="T67" s="5"/>
      <c r="U67" s="5"/>
      <c r="V67" s="5"/>
      <c r="W67" s="25"/>
      <c r="X67" s="25"/>
      <c r="Y67" s="5"/>
      <c r="Z67" s="5"/>
      <c r="AA67" s="5"/>
      <c r="AB67" s="5"/>
      <c r="AC67" s="5"/>
      <c r="AD67" s="5"/>
      <c r="AE67" s="5"/>
      <c r="AF67" s="5"/>
      <c r="AG67" s="25"/>
      <c r="AH67" s="25"/>
      <c r="AI67" s="25"/>
      <c r="AJ67" s="25"/>
      <c r="AK67" s="25"/>
      <c r="AL67" s="25"/>
      <c r="AM67" s="25"/>
      <c r="AN67" s="26"/>
      <c r="AO67" s="5"/>
      <c r="AP67" s="25"/>
      <c r="AQ67" s="26"/>
      <c r="AR67" s="26"/>
      <c r="AT67" s="5"/>
      <c r="AV67" s="5" t="s">
        <v>88</v>
      </c>
      <c r="AW67" s="5"/>
      <c r="AX67" s="5">
        <v>5.1959764067422096</v>
      </c>
      <c r="AY67" s="5">
        <v>12.141446393783953</v>
      </c>
      <c r="AZ67" s="5">
        <v>26.775805826090828</v>
      </c>
      <c r="BA67" s="5">
        <v>49.554422271778733</v>
      </c>
      <c r="BK67" s="23">
        <v>8</v>
      </c>
      <c r="BL67" s="23">
        <f t="shared" si="2"/>
        <v>88.269409610941764</v>
      </c>
      <c r="BM67" s="23">
        <f t="shared" si="3"/>
        <v>186.06371732293042</v>
      </c>
      <c r="BN67" s="58">
        <f t="shared" si="4"/>
        <v>1759.8001383580577</v>
      </c>
      <c r="BO67" s="23">
        <f t="shared" si="5"/>
        <v>20535.265423022334</v>
      </c>
      <c r="BP67" s="23">
        <f t="shared" si="6"/>
        <v>10184.220752377711</v>
      </c>
      <c r="BQ67" s="58">
        <f t="shared" si="7"/>
        <v>1544.1920829176577</v>
      </c>
      <c r="BR67" s="23">
        <f t="shared" si="8"/>
        <v>474946.94586705643</v>
      </c>
      <c r="BS67" s="23">
        <f t="shared" si="9"/>
        <v>976087.33415056881</v>
      </c>
      <c r="BT67" s="23">
        <f t="shared" si="10"/>
        <v>448203.83570820006</v>
      </c>
      <c r="BU67" s="23">
        <f t="shared" si="11"/>
        <v>163262971.69429895</v>
      </c>
      <c r="BV67" s="23">
        <f t="shared" si="12"/>
        <v>184317306.95603356</v>
      </c>
      <c r="BW67" s="23">
        <f t="shared" si="13"/>
        <v>36209981515.587296</v>
      </c>
      <c r="BX67" s="23"/>
    </row>
    <row r="68" spans="1:76" ht="15.75" x14ac:dyDescent="0.2">
      <c r="A68" s="23"/>
      <c r="C68" s="23"/>
      <c r="E68" s="5"/>
      <c r="F68" s="5"/>
      <c r="G68" s="5"/>
      <c r="K68" s="42"/>
      <c r="L68" s="42"/>
      <c r="M68" s="23"/>
      <c r="N68" s="23"/>
      <c r="O68" s="23"/>
      <c r="P68" s="23"/>
      <c r="Q68" s="26"/>
      <c r="R68" s="5"/>
      <c r="S68" s="5"/>
      <c r="T68" s="5"/>
      <c r="U68" s="5"/>
      <c r="V68" s="5"/>
      <c r="W68" s="25"/>
      <c r="X68" s="25"/>
      <c r="Y68" s="5"/>
      <c r="Z68" s="5"/>
      <c r="AA68" s="5"/>
      <c r="AB68" s="5"/>
      <c r="AC68" s="5"/>
      <c r="AD68" s="5"/>
      <c r="AE68" s="5"/>
      <c r="AF68" s="5"/>
      <c r="AG68" s="25"/>
      <c r="AH68" s="25"/>
      <c r="AI68" s="25"/>
      <c r="AJ68" s="25"/>
      <c r="AK68" s="25"/>
      <c r="AL68" s="25"/>
      <c r="AM68" s="25"/>
      <c r="AN68" s="26"/>
      <c r="AO68" s="5"/>
      <c r="AP68" s="25"/>
      <c r="AQ68" s="26"/>
      <c r="AR68" s="26"/>
      <c r="AV68" s="5" t="s">
        <v>89</v>
      </c>
      <c r="AW68" s="5"/>
      <c r="AX68" s="5">
        <v>9.955923507520005</v>
      </c>
      <c r="AY68" s="5">
        <v>7.1446341955200019</v>
      </c>
      <c r="AZ68" s="5">
        <v>3.630522555520006</v>
      </c>
      <c r="BA68" s="5">
        <v>0.1164109155200066</v>
      </c>
      <c r="BK68" s="23">
        <v>7</v>
      </c>
      <c r="BL68" s="23">
        <f t="shared" si="2"/>
        <v>158.16493837881617</v>
      </c>
      <c r="BM68" s="23">
        <f t="shared" si="3"/>
        <v>337.21545053526086</v>
      </c>
      <c r="BN68" s="23">
        <f t="shared" si="4"/>
        <v>3323.1515298104787</v>
      </c>
      <c r="BO68" s="23">
        <f t="shared" si="5"/>
        <v>40983.208558485145</v>
      </c>
      <c r="BP68" s="23">
        <f t="shared" si="6"/>
        <v>17451.001917529109</v>
      </c>
      <c r="BQ68" s="23">
        <f t="shared" si="7"/>
        <v>2230.0512520814068</v>
      </c>
      <c r="BR68" s="23">
        <f t="shared" si="8"/>
        <v>1308106.2590690188</v>
      </c>
      <c r="BS68" s="23">
        <f t="shared" si="9"/>
        <v>2468697.9766200539</v>
      </c>
      <c r="BT68" s="23">
        <f t="shared" si="10"/>
        <v>1009343.450379573</v>
      </c>
      <c r="BU68" s="23">
        <f t="shared" si="11"/>
        <v>639723020.94243443</v>
      </c>
      <c r="BV68" s="23">
        <f t="shared" si="12"/>
        <v>653062517.90003896</v>
      </c>
      <c r="BW68" s="23">
        <f t="shared" si="13"/>
        <v>187137881441.28479</v>
      </c>
      <c r="BX68" s="23"/>
    </row>
    <row r="69" spans="1:76" ht="15.75" x14ac:dyDescent="0.2">
      <c r="A69" s="23"/>
      <c r="C69" s="23"/>
      <c r="E69" s="5"/>
      <c r="F69" s="5"/>
      <c r="G69" s="5"/>
      <c r="K69" s="42"/>
      <c r="L69" s="42"/>
      <c r="M69" s="23"/>
      <c r="N69" s="23"/>
      <c r="O69" s="23"/>
      <c r="P69" s="23"/>
      <c r="Q69" s="26"/>
      <c r="R69" s="5"/>
      <c r="S69" s="5"/>
      <c r="T69" s="5"/>
      <c r="U69" s="5"/>
      <c r="V69" s="5"/>
      <c r="W69" s="25"/>
      <c r="X69" s="25"/>
      <c r="Y69" s="5"/>
      <c r="Z69" s="5"/>
      <c r="AA69" s="5"/>
      <c r="AB69" s="5"/>
      <c r="AC69" s="5"/>
      <c r="AD69" s="5"/>
      <c r="AE69" s="5"/>
      <c r="AF69" s="5"/>
      <c r="AG69" s="25"/>
      <c r="AH69" s="25"/>
      <c r="AI69" s="25"/>
      <c r="AJ69" s="25"/>
      <c r="AK69" s="25"/>
      <c r="AL69" s="25"/>
      <c r="AM69" s="25"/>
      <c r="AN69" s="26"/>
      <c r="AO69" s="5"/>
      <c r="AP69" s="25"/>
      <c r="AQ69" s="26"/>
      <c r="AR69" s="26"/>
      <c r="AV69" s="5" t="s">
        <v>116</v>
      </c>
      <c r="AW69" s="5"/>
      <c r="AX69" s="5">
        <v>0.17281351390719996</v>
      </c>
      <c r="AY69" s="5">
        <v>0.18355754731520002</v>
      </c>
      <c r="AZ69" s="5">
        <v>0.19765500567519989</v>
      </c>
      <c r="BA69" s="5">
        <v>0.21249403803519995</v>
      </c>
      <c r="BK69" s="23">
        <v>6</v>
      </c>
      <c r="BL69" s="23">
        <f t="shared" si="2"/>
        <v>310.11559067363527</v>
      </c>
      <c r="BM69" s="23">
        <f t="shared" si="3"/>
        <v>669.93139285378618</v>
      </c>
      <c r="BN69" s="23">
        <f t="shared" si="4"/>
        <v>6922.59559687008</v>
      </c>
      <c r="BO69" s="23">
        <f t="shared" si="5"/>
        <v>91002.324761107477</v>
      </c>
      <c r="BP69" s="23">
        <f t="shared" si="6"/>
        <v>32495.970596640767</v>
      </c>
      <c r="BQ69" s="23">
        <f t="shared" si="7"/>
        <v>3408.5928899331475</v>
      </c>
      <c r="BR69" s="23">
        <f t="shared" si="8"/>
        <v>4212921.3376464676</v>
      </c>
      <c r="BS69" s="23">
        <f t="shared" si="9"/>
        <v>7205653.9806582555</v>
      </c>
      <c r="BT69" s="23">
        <f t="shared" si="10"/>
        <v>2576579.4892862267</v>
      </c>
      <c r="BU69" s="23">
        <f t="shared" si="11"/>
        <v>3095142328.8206396</v>
      </c>
      <c r="BV69" s="23">
        <f t="shared" si="12"/>
        <v>2813049671.2592587</v>
      </c>
      <c r="BW69" s="23">
        <f t="shared" si="13"/>
        <v>1246363409685.0828</v>
      </c>
      <c r="BX69" s="23"/>
    </row>
    <row r="70" spans="1:76" ht="15.75" x14ac:dyDescent="0.2">
      <c r="A70" s="23"/>
      <c r="C70" s="23"/>
      <c r="E70" s="5"/>
      <c r="F70" s="5"/>
      <c r="G70" s="5"/>
      <c r="K70" s="42"/>
      <c r="L70" s="42"/>
      <c r="M70" s="23"/>
      <c r="N70" s="23"/>
      <c r="O70" s="23"/>
      <c r="P70" s="23"/>
      <c r="Q70" s="26"/>
      <c r="R70" s="5"/>
      <c r="S70" s="5"/>
      <c r="T70" s="5"/>
      <c r="U70" s="5"/>
      <c r="V70" s="5"/>
      <c r="W70" s="25"/>
      <c r="X70" s="25"/>
      <c r="Y70" s="5"/>
      <c r="Z70" s="5"/>
      <c r="AA70" s="5"/>
      <c r="AB70" s="5"/>
      <c r="AC70" s="5"/>
      <c r="AD70" s="5"/>
      <c r="AE70" s="5"/>
      <c r="AF70" s="5"/>
      <c r="AG70" s="25"/>
      <c r="AH70" s="25"/>
      <c r="AI70" s="25"/>
      <c r="AJ70" s="25"/>
      <c r="AK70" s="25"/>
      <c r="AL70" s="25"/>
      <c r="AM70" s="25"/>
      <c r="AN70" s="26"/>
      <c r="AO70" s="5"/>
      <c r="AP70" s="25"/>
      <c r="AQ70" s="26"/>
      <c r="AR70" s="26"/>
      <c r="BK70" s="23">
        <v>5</v>
      </c>
      <c r="BL70" s="23">
        <f t="shared" si="2"/>
        <v>687.66231847232393</v>
      </c>
      <c r="BM70" s="58">
        <f t="shared" si="3"/>
        <v>1508.8109873571052</v>
      </c>
      <c r="BN70" s="23">
        <f t="shared" si="4"/>
        <v>16490.480575090347</v>
      </c>
      <c r="BO70" s="23">
        <f t="shared" si="5"/>
        <v>233782.37286403164</v>
      </c>
      <c r="BP70" s="23">
        <f t="shared" si="6"/>
        <v>67792.64078584993</v>
      </c>
      <c r="BQ70" s="23">
        <f t="shared" si="7"/>
        <v>5630.0052535411896</v>
      </c>
      <c r="BR70" s="23">
        <f t="shared" si="8"/>
        <v>16801545.983604297</v>
      </c>
      <c r="BS70" s="23">
        <f t="shared" si="9"/>
        <v>25579653.529428817</v>
      </c>
      <c r="BT70" s="23">
        <f t="shared" si="10"/>
        <v>7805986.3188667651</v>
      </c>
      <c r="BU70" s="23">
        <f t="shared" si="11"/>
        <v>19975396573.328232</v>
      </c>
      <c r="BV70" s="23">
        <f t="shared" si="12"/>
        <v>15823537245.739811</v>
      </c>
      <c r="BW70" s="23">
        <f t="shared" si="13"/>
        <v>11738654873046.283</v>
      </c>
      <c r="BX70" s="23"/>
    </row>
    <row r="71" spans="1:76" ht="15.75" x14ac:dyDescent="0.2">
      <c r="A71" s="23"/>
      <c r="C71" s="23"/>
      <c r="E71" s="5"/>
      <c r="F71" s="5"/>
      <c r="G71" s="5"/>
      <c r="K71" s="42"/>
      <c r="L71" s="42"/>
      <c r="M71" s="23"/>
      <c r="N71" s="23"/>
      <c r="O71" s="23"/>
      <c r="P71" s="23"/>
      <c r="Q71" s="26"/>
      <c r="R71" s="5"/>
      <c r="S71" s="5"/>
      <c r="T71" s="5"/>
      <c r="U71" s="5"/>
      <c r="V71" s="5"/>
      <c r="W71" s="25"/>
      <c r="X71" s="25"/>
      <c r="Y71" s="5"/>
      <c r="Z71" s="5"/>
      <c r="AA71" s="5"/>
      <c r="AB71" s="5"/>
      <c r="AC71" s="5"/>
      <c r="AD71" s="5"/>
      <c r="AE71" s="5"/>
      <c r="AF71" s="5"/>
      <c r="AG71" s="25"/>
      <c r="AH71" s="25"/>
      <c r="AI71" s="25"/>
      <c r="AJ71" s="25"/>
      <c r="AK71" s="25"/>
      <c r="AL71" s="25"/>
      <c r="AM71" s="25"/>
      <c r="AN71" s="26"/>
      <c r="AO71" s="5"/>
      <c r="AP71" s="25"/>
      <c r="AQ71" s="26"/>
      <c r="AR71" s="26"/>
      <c r="BK71" s="23">
        <v>4</v>
      </c>
      <c r="BL71" s="58">
        <f t="shared" si="2"/>
        <v>1822.482675622244</v>
      </c>
      <c r="BM71" s="23">
        <f t="shared" si="3"/>
        <v>4075.5655175536367</v>
      </c>
      <c r="BN71" s="23">
        <f t="shared" si="4"/>
        <v>47709.008400317834</v>
      </c>
      <c r="BO71" s="23">
        <f t="shared" si="5"/>
        <v>741850.82557546347</v>
      </c>
      <c r="BP71" s="23">
        <f t="shared" si="6"/>
        <v>166739.72556417319</v>
      </c>
      <c r="BQ71" s="23">
        <f t="shared" si="7"/>
        <v>10404.903362404159</v>
      </c>
      <c r="BR71" s="23">
        <f t="shared" si="8"/>
        <v>91332905.915114477</v>
      </c>
      <c r="BS71" s="23">
        <f t="shared" si="9"/>
        <v>120589931.53177488</v>
      </c>
      <c r="BT71" s="23">
        <f t="shared" si="10"/>
        <v>30310596.303583421</v>
      </c>
      <c r="BU71" s="23">
        <f t="shared" si="11"/>
        <v>195717024881.42264</v>
      </c>
      <c r="BV71" s="23">
        <f t="shared" si="12"/>
        <v>131033943391.11394</v>
      </c>
      <c r="BW71" s="23">
        <f t="shared" si="13"/>
        <v>182669371256278.88</v>
      </c>
      <c r="BX71" s="23"/>
    </row>
    <row r="72" spans="1:76" ht="15.75" x14ac:dyDescent="0.2">
      <c r="A72" s="23"/>
      <c r="C72" s="23"/>
      <c r="E72" s="5"/>
      <c r="F72" s="5"/>
      <c r="G72" s="5"/>
      <c r="K72" s="42"/>
      <c r="L72" s="42"/>
      <c r="M72" s="23"/>
      <c r="N72" s="23"/>
      <c r="O72" s="23"/>
      <c r="P72" s="23"/>
      <c r="Q72" s="26"/>
      <c r="R72" s="5"/>
      <c r="S72" s="5"/>
      <c r="T72" s="5"/>
      <c r="U72" s="5"/>
      <c r="V72" s="5"/>
      <c r="W72" s="25"/>
      <c r="X72" s="25"/>
      <c r="Y72" s="5"/>
      <c r="Z72" s="5"/>
      <c r="AA72" s="5"/>
      <c r="AB72" s="5"/>
      <c r="AC72" s="5"/>
      <c r="AD72" s="5"/>
      <c r="AE72" s="5"/>
      <c r="AF72" s="5"/>
      <c r="AG72" s="25"/>
      <c r="AH72" s="25"/>
      <c r="AI72" s="25"/>
      <c r="AJ72" s="25"/>
      <c r="AK72" s="25"/>
      <c r="AL72" s="25"/>
      <c r="AM72" s="25"/>
      <c r="AN72" s="26"/>
      <c r="AO72" s="5"/>
      <c r="AP72" s="25"/>
      <c r="AQ72" s="26"/>
      <c r="AR72" s="26"/>
      <c r="BK72" s="23">
        <v>3</v>
      </c>
      <c r="BL72" s="23">
        <f t="shared" si="2"/>
        <v>6402.9010042568734</v>
      </c>
      <c r="BM72" s="23">
        <f t="shared" si="3"/>
        <v>14674.270315167387</v>
      </c>
      <c r="BN72" s="23">
        <f t="shared" si="4"/>
        <v>187674.81845479889</v>
      </c>
      <c r="BO72" s="23">
        <f t="shared" si="5"/>
        <v>3287522.6281530275</v>
      </c>
      <c r="BP72" s="23">
        <f t="shared" si="6"/>
        <v>532035.71986205189</v>
      </c>
      <c r="BQ72" s="23">
        <f t="shared" si="7"/>
        <v>22967.401538881957</v>
      </c>
      <c r="BR72" s="23">
        <f t="shared" si="8"/>
        <v>810150168.36585212</v>
      </c>
      <c r="BS72" s="23">
        <f t="shared" si="9"/>
        <v>890216776.478737</v>
      </c>
      <c r="BT72" s="23">
        <f t="shared" si="10"/>
        <v>174245855.39400211</v>
      </c>
      <c r="BU72" s="23">
        <f t="shared" si="11"/>
        <v>3710406847889.6309</v>
      </c>
      <c r="BV72" s="23">
        <f t="shared" si="12"/>
        <v>1999839285130.7476</v>
      </c>
      <c r="BW72" s="23">
        <f t="shared" si="13"/>
        <v>6287559696930525</v>
      </c>
      <c r="BX72" s="23"/>
    </row>
    <row r="73" spans="1:76" ht="15.75" x14ac:dyDescent="0.2">
      <c r="A73" s="23"/>
      <c r="C73" s="23"/>
      <c r="E73" s="5"/>
      <c r="F73" s="5"/>
      <c r="G73" s="5"/>
      <c r="K73" s="42"/>
      <c r="L73" s="42"/>
      <c r="M73" s="23"/>
      <c r="N73" s="23"/>
      <c r="O73" s="23"/>
      <c r="P73" s="23"/>
      <c r="Q73" s="26"/>
      <c r="R73" s="5"/>
      <c r="S73" s="5"/>
      <c r="T73" s="5"/>
      <c r="U73" s="5"/>
      <c r="V73" s="5"/>
      <c r="W73" s="25"/>
      <c r="X73" s="25"/>
      <c r="Y73" s="5"/>
      <c r="Z73" s="5"/>
      <c r="AA73" s="5"/>
      <c r="AB73" s="5"/>
      <c r="AC73" s="5"/>
      <c r="AD73" s="5"/>
      <c r="AE73" s="5"/>
      <c r="AF73" s="5"/>
      <c r="AG73" s="25"/>
      <c r="AH73" s="25"/>
      <c r="AI73" s="25"/>
      <c r="AJ73" s="25"/>
      <c r="AK73" s="25"/>
      <c r="AL73" s="25"/>
      <c r="AM73" s="25"/>
      <c r="AN73" s="26"/>
      <c r="AO73" s="5"/>
      <c r="AP73" s="25"/>
      <c r="AQ73" s="26"/>
      <c r="AR73" s="26"/>
      <c r="BK73" s="23">
        <v>2</v>
      </c>
      <c r="BL73" s="23">
        <f t="shared" si="2"/>
        <v>37628.473075586277</v>
      </c>
      <c r="BM73" s="23">
        <f t="shared" si="3"/>
        <v>89271.753391037011</v>
      </c>
      <c r="BN73" s="23">
        <f t="shared" si="4"/>
        <v>1293413.6285870031</v>
      </c>
      <c r="BO73" s="23">
        <f t="shared" si="5"/>
        <v>26799879.917305704</v>
      </c>
      <c r="BP73" s="23">
        <f t="shared" si="6"/>
        <v>2729922.7655414757</v>
      </c>
      <c r="BQ73" s="23">
        <f t="shared" si="7"/>
        <v>70109.162699769091</v>
      </c>
      <c r="BR73" s="23">
        <f t="shared" si="8"/>
        <v>17563434769.89975</v>
      </c>
      <c r="BS73" s="23">
        <f t="shared" si="9"/>
        <v>14898186953.212685</v>
      </c>
      <c r="BT73" s="23">
        <f t="shared" si="10"/>
        <v>2049808982.1724343</v>
      </c>
      <c r="BU73" s="23">
        <f t="shared" si="11"/>
        <v>234622421917935</v>
      </c>
      <c r="BV73" s="23">
        <f t="shared" si="12"/>
        <v>93153999503266.203</v>
      </c>
      <c r="BW73" s="23">
        <f t="shared" si="13"/>
        <v>9.2151660394525581E+17</v>
      </c>
      <c r="BX73" s="23"/>
    </row>
    <row r="74" spans="1:76" ht="15.75" x14ac:dyDescent="0.2">
      <c r="A74" s="23"/>
      <c r="C74" s="23"/>
      <c r="E74" s="5"/>
      <c r="F74" s="5"/>
      <c r="G74" s="5"/>
      <c r="K74" s="42"/>
      <c r="L74" s="42"/>
      <c r="M74" s="23"/>
      <c r="N74" s="23"/>
      <c r="O74" s="23"/>
      <c r="P74" s="23"/>
      <c r="Q74" s="26"/>
      <c r="R74" s="5"/>
      <c r="S74" s="5"/>
      <c r="T74" s="5"/>
      <c r="U74" s="5"/>
      <c r="V74" s="5"/>
      <c r="W74" s="25"/>
      <c r="X74" s="25"/>
      <c r="Y74" s="5"/>
      <c r="Z74" s="5"/>
      <c r="AA74" s="5"/>
      <c r="AB74" s="5"/>
      <c r="AC74" s="5"/>
      <c r="AD74" s="5"/>
      <c r="AE74" s="5"/>
      <c r="AF74" s="5"/>
      <c r="AG74" s="25"/>
      <c r="AH74" s="25"/>
      <c r="AI74" s="25"/>
      <c r="AJ74" s="25"/>
      <c r="AK74" s="25"/>
      <c r="AL74" s="25"/>
      <c r="AM74" s="25"/>
      <c r="AN74" s="26"/>
      <c r="AO74" s="5"/>
      <c r="AP74" s="25"/>
      <c r="AQ74" s="26"/>
      <c r="AR74" s="26"/>
      <c r="BK74" s="23">
        <v>1</v>
      </c>
      <c r="BL74" s="23">
        <f t="shared" si="2"/>
        <v>776908.33769746951</v>
      </c>
      <c r="BM74" s="23">
        <f t="shared" si="3"/>
        <v>1955420.8904716093</v>
      </c>
      <c r="BN74" s="23">
        <f t="shared" si="4"/>
        <v>35065051.039783172</v>
      </c>
      <c r="BO74" s="23">
        <f t="shared" si="5"/>
        <v>968164405.59308207</v>
      </c>
      <c r="BP74" s="23">
        <f t="shared" si="6"/>
        <v>44695277.508738339</v>
      </c>
      <c r="BQ74" s="23">
        <f t="shared" si="7"/>
        <v>472401.76321320143</v>
      </c>
      <c r="BR74" s="23">
        <f t="shared" si="8"/>
        <v>3377470998275.4819</v>
      </c>
      <c r="BS74" s="23">
        <f t="shared" si="9"/>
        <v>1840584629856.8657</v>
      </c>
      <c r="BT74" s="23">
        <f t="shared" si="10"/>
        <v>138622045614.39294</v>
      </c>
      <c r="BU74" s="23">
        <f t="shared" si="11"/>
        <v>2.8126158621095104E+17</v>
      </c>
      <c r="BV74" s="23">
        <f t="shared" si="12"/>
        <v>6.6224578142726744E+16</v>
      </c>
      <c r="BW74" s="23">
        <f t="shared" si="13"/>
        <v>4.6487971437499651E+21</v>
      </c>
      <c r="BX74" s="23"/>
    </row>
    <row r="75" spans="1:76" ht="15.75" x14ac:dyDescent="0.2">
      <c r="A75" s="23"/>
      <c r="B75" s="5"/>
      <c r="C75" s="23"/>
      <c r="E75" s="5"/>
      <c r="F75" s="5"/>
      <c r="G75" s="5"/>
      <c r="K75" s="42"/>
      <c r="L75" s="42"/>
      <c r="M75" s="23"/>
      <c r="N75" s="23"/>
      <c r="O75" s="23"/>
      <c r="P75" s="23"/>
      <c r="Q75" s="26"/>
      <c r="R75" s="5"/>
      <c r="S75" s="5"/>
      <c r="T75" s="5"/>
      <c r="U75" s="5"/>
      <c r="V75" s="5"/>
      <c r="W75" s="25"/>
      <c r="X75" s="25"/>
      <c r="Y75" s="5"/>
      <c r="Z75" s="5"/>
      <c r="AA75" s="5"/>
      <c r="AB75" s="5"/>
      <c r="AC75" s="5"/>
      <c r="AD75" s="5"/>
      <c r="AE75" s="5"/>
      <c r="AF75" s="5"/>
      <c r="AG75" s="25"/>
      <c r="AH75" s="25"/>
      <c r="AI75" s="25"/>
      <c r="AJ75" s="25"/>
      <c r="AK75" s="25"/>
      <c r="AL75" s="25"/>
      <c r="AM75" s="25"/>
      <c r="AN75" s="26"/>
      <c r="AO75" s="5"/>
      <c r="AP75" s="25"/>
      <c r="AQ75" s="26"/>
      <c r="AR75" s="26"/>
      <c r="BK75" s="23"/>
      <c r="BL75" s="23"/>
      <c r="BM75" s="23"/>
      <c r="BN75" s="23"/>
      <c r="BO75" s="23"/>
    </row>
    <row r="76" spans="1:76" x14ac:dyDescent="0.2">
      <c r="C76" s="23"/>
      <c r="D76" s="5"/>
      <c r="E76" s="5"/>
      <c r="F76" s="23"/>
      <c r="G76" s="5"/>
      <c r="H76" s="5"/>
      <c r="I76" s="5"/>
      <c r="J76" s="5"/>
      <c r="K76" s="5"/>
      <c r="L76" s="5"/>
      <c r="M76" s="5"/>
      <c r="N76" s="5"/>
      <c r="P76" s="5"/>
      <c r="Q76" s="5"/>
      <c r="R76" s="5"/>
      <c r="S76" s="5"/>
      <c r="T76" s="26"/>
      <c r="U76" s="5"/>
      <c r="V76" s="5"/>
      <c r="W76" s="5"/>
      <c r="X76" s="5"/>
      <c r="Z76" s="5"/>
      <c r="AB76" s="5"/>
      <c r="AP76" s="5"/>
      <c r="BL76" s="1" t="s">
        <v>169</v>
      </c>
    </row>
    <row r="77" spans="1:76" ht="15.75" x14ac:dyDescent="0.25">
      <c r="C77" s="23"/>
      <c r="D77" s="23"/>
      <c r="F77" s="23"/>
      <c r="G77" s="5"/>
      <c r="H77" s="5"/>
      <c r="I77" s="5"/>
      <c r="J77" s="5"/>
      <c r="K77" s="5"/>
      <c r="L77" s="5"/>
      <c r="M77" s="5"/>
      <c r="N77" s="5"/>
      <c r="P77" s="5"/>
      <c r="Q77" s="5"/>
      <c r="R77" s="5"/>
      <c r="S77" s="5"/>
      <c r="T77" s="26"/>
      <c r="U77" s="5"/>
      <c r="V77" s="5"/>
      <c r="W77" s="5"/>
      <c r="X77" s="5"/>
      <c r="Z77" s="5"/>
      <c r="AB77" s="5"/>
      <c r="AP77" s="5"/>
      <c r="BK77" s="15" t="s">
        <v>8</v>
      </c>
      <c r="BL77" s="1" t="str">
        <f>BL12</f>
        <v>Sand</v>
      </c>
      <c r="BM77" s="1" t="str">
        <f t="shared" ref="BM77:BW77" si="95">BM12</f>
        <v>Loamy Sand</v>
      </c>
      <c r="BN77" s="1" t="str">
        <f t="shared" si="95"/>
        <v>Sandy Loam</v>
      </c>
      <c r="BO77" s="1" t="str">
        <f t="shared" si="95"/>
        <v xml:space="preserve">Loam </v>
      </c>
      <c r="BP77" s="1" t="str">
        <f t="shared" si="95"/>
        <v>Silty Loam</v>
      </c>
      <c r="BQ77" s="1" t="str">
        <f t="shared" si="95"/>
        <v xml:space="preserve">Silt </v>
      </c>
      <c r="BR77" s="1" t="str">
        <f t="shared" si="95"/>
        <v>Sandy Clay Loam</v>
      </c>
      <c r="BS77" s="1" t="str">
        <f t="shared" si="95"/>
        <v>Clay Loam</v>
      </c>
      <c r="BT77" s="1" t="str">
        <f t="shared" si="95"/>
        <v>Silty Clay Loam</v>
      </c>
      <c r="BU77" s="1" t="str">
        <f t="shared" si="95"/>
        <v>SandyClay</v>
      </c>
      <c r="BV77" s="1" t="str">
        <f t="shared" si="95"/>
        <v xml:space="preserve">silty Clay  </v>
      </c>
      <c r="BW77" s="1" t="str">
        <f t="shared" si="95"/>
        <v xml:space="preserve">Clay  </v>
      </c>
    </row>
    <row r="78" spans="1:76" ht="18" x14ac:dyDescent="0.25">
      <c r="C78" s="23"/>
      <c r="D78" s="5"/>
      <c r="F78" s="23"/>
      <c r="G78" s="5"/>
      <c r="H78" s="5"/>
      <c r="I78" s="5"/>
      <c r="J78" s="5"/>
      <c r="K78" s="43"/>
      <c r="L78" s="43"/>
      <c r="M78" s="5"/>
      <c r="N78" s="5"/>
      <c r="O78" s="5"/>
      <c r="S78" s="5"/>
      <c r="T78" s="26"/>
      <c r="U78" s="5"/>
      <c r="V78" s="5"/>
      <c r="W78" s="5"/>
      <c r="X78" s="5"/>
      <c r="Z78" s="5"/>
      <c r="AB78" s="5"/>
      <c r="AP78" s="5"/>
      <c r="BK78" s="6"/>
      <c r="BL78" s="6" t="s">
        <v>156</v>
      </c>
      <c r="BM78" s="6" t="s">
        <v>157</v>
      </c>
      <c r="BN78" s="6" t="s">
        <v>158</v>
      </c>
      <c r="BO78" s="56" t="s">
        <v>159</v>
      </c>
      <c r="BP78" s="6" t="s">
        <v>160</v>
      </c>
      <c r="BQ78" s="56" t="s">
        <v>161</v>
      </c>
      <c r="BR78" s="6" t="s">
        <v>162</v>
      </c>
      <c r="BS78" s="6" t="s">
        <v>163</v>
      </c>
      <c r="BT78" s="6" t="s">
        <v>164</v>
      </c>
      <c r="BU78" s="6" t="s">
        <v>168</v>
      </c>
      <c r="BV78" s="6" t="s">
        <v>165</v>
      </c>
      <c r="BW78" s="56" t="s">
        <v>166</v>
      </c>
    </row>
    <row r="79" spans="1:76" x14ac:dyDescent="0.2">
      <c r="D79" s="23"/>
      <c r="F79" s="23"/>
      <c r="G79" s="5"/>
      <c r="H79" s="5"/>
      <c r="I79" s="5"/>
      <c r="J79" s="5"/>
      <c r="K79" s="5"/>
      <c r="L79" s="5"/>
      <c r="S79" s="5"/>
      <c r="T79" s="26"/>
      <c r="U79" s="5"/>
      <c r="V79" s="5"/>
      <c r="W79" s="5"/>
      <c r="X79" s="5"/>
      <c r="Z79" s="5"/>
      <c r="AB79" s="5"/>
      <c r="AP79" s="5"/>
      <c r="BK79" s="1" t="s">
        <v>155</v>
      </c>
    </row>
    <row r="80" spans="1:76" x14ac:dyDescent="0.2">
      <c r="D80" s="23"/>
      <c r="E80" s="5"/>
      <c r="F80" s="5"/>
      <c r="G80" s="5"/>
      <c r="K80" s="23"/>
      <c r="L80" s="23"/>
      <c r="M80" s="23"/>
      <c r="N80" s="23"/>
      <c r="O80" s="23"/>
      <c r="P80" s="23"/>
      <c r="Q80" s="26"/>
      <c r="R80" s="5"/>
      <c r="S80" s="5"/>
      <c r="T80" s="5"/>
      <c r="U80" s="5"/>
      <c r="V80" s="5"/>
      <c r="W80" s="5"/>
      <c r="X80" s="5"/>
      <c r="Z80" s="5"/>
      <c r="AB80" s="5"/>
      <c r="AP80" s="5"/>
      <c r="BK80" s="23">
        <v>100</v>
      </c>
      <c r="BL80" s="26">
        <f>BL15/9.804139432</f>
        <v>0</v>
      </c>
      <c r="BM80" s="26">
        <f t="shared" ref="BM80:BW80" si="96">BM15/9.804139432</f>
        <v>0</v>
      </c>
      <c r="BN80" s="26">
        <f t="shared" si="96"/>
        <v>0</v>
      </c>
      <c r="BO80" s="26">
        <f t="shared" si="96"/>
        <v>0</v>
      </c>
      <c r="BP80" s="26">
        <f t="shared" si="96"/>
        <v>0</v>
      </c>
      <c r="BQ80" s="26">
        <f t="shared" si="96"/>
        <v>0</v>
      </c>
      <c r="BR80" s="26">
        <f t="shared" si="96"/>
        <v>0</v>
      </c>
      <c r="BS80" s="26">
        <f t="shared" si="96"/>
        <v>0</v>
      </c>
      <c r="BT80" s="26">
        <f t="shared" si="96"/>
        <v>0</v>
      </c>
      <c r="BU80" s="26">
        <f t="shared" si="96"/>
        <v>0</v>
      </c>
      <c r="BV80" s="26">
        <f t="shared" si="96"/>
        <v>0</v>
      </c>
      <c r="BW80" s="26">
        <f t="shared" si="96"/>
        <v>0</v>
      </c>
    </row>
    <row r="81" spans="3:75" x14ac:dyDescent="0.2">
      <c r="D81" s="23"/>
      <c r="E81" s="5"/>
      <c r="F81" s="5"/>
      <c r="G81" s="5"/>
      <c r="K81" s="23"/>
      <c r="L81" s="23"/>
      <c r="M81" s="23"/>
      <c r="N81" s="23"/>
      <c r="O81" s="23"/>
      <c r="P81" s="23"/>
      <c r="Q81" s="26"/>
      <c r="R81" s="5"/>
      <c r="S81" s="5"/>
      <c r="T81" s="5"/>
      <c r="U81" s="5"/>
      <c r="V81" s="5"/>
      <c r="W81" s="5"/>
      <c r="X81" s="5"/>
      <c r="Z81" s="5"/>
      <c r="AB81" s="5"/>
      <c r="AP81" s="5"/>
      <c r="BK81" s="23">
        <v>98</v>
      </c>
      <c r="BL81" s="26">
        <f t="shared" ref="BL81:BW139" si="97">BL16/9.804139432</f>
        <v>0</v>
      </c>
      <c r="BM81" s="26">
        <f t="shared" si="97"/>
        <v>0</v>
      </c>
      <c r="BN81" s="26">
        <f t="shared" si="97"/>
        <v>0</v>
      </c>
      <c r="BO81" s="26">
        <f t="shared" si="97"/>
        <v>0</v>
      </c>
      <c r="BP81" s="26">
        <f t="shared" si="97"/>
        <v>0</v>
      </c>
      <c r="BQ81" s="26">
        <f t="shared" si="97"/>
        <v>0</v>
      </c>
      <c r="BR81" s="26">
        <f t="shared" si="97"/>
        <v>0</v>
      </c>
      <c r="BS81" s="26">
        <f t="shared" si="97"/>
        <v>0</v>
      </c>
      <c r="BT81" s="26">
        <f t="shared" si="97"/>
        <v>0</v>
      </c>
      <c r="BU81" s="26">
        <f t="shared" si="97"/>
        <v>0</v>
      </c>
      <c r="BV81" s="26">
        <f t="shared" si="97"/>
        <v>0</v>
      </c>
      <c r="BW81" s="26">
        <f t="shared" si="97"/>
        <v>0</v>
      </c>
    </row>
    <row r="82" spans="3:75" x14ac:dyDescent="0.2">
      <c r="D82" s="23"/>
      <c r="E82" s="5"/>
      <c r="F82" s="5"/>
      <c r="G82" s="5"/>
      <c r="K82" s="23"/>
      <c r="L82" s="23"/>
      <c r="M82" s="23"/>
      <c r="N82" s="23"/>
      <c r="O82" s="23"/>
      <c r="P82" s="23"/>
      <c r="Q82" s="26"/>
      <c r="R82" s="5"/>
      <c r="S82" s="5"/>
      <c r="T82" s="5"/>
      <c r="U82" s="5"/>
      <c r="V82" s="5"/>
      <c r="W82" s="5"/>
      <c r="X82" s="5"/>
      <c r="Z82" s="5"/>
      <c r="AB82" s="5"/>
      <c r="AP82" s="5"/>
      <c r="BK82" s="23">
        <v>96</v>
      </c>
      <c r="BL82" s="26">
        <f t="shared" si="97"/>
        <v>0</v>
      </c>
      <c r="BM82" s="26">
        <f t="shared" si="97"/>
        <v>0</v>
      </c>
      <c r="BN82" s="26">
        <f t="shared" si="97"/>
        <v>0</v>
      </c>
      <c r="BO82" s="26">
        <f t="shared" si="97"/>
        <v>0</v>
      </c>
      <c r="BP82" s="26">
        <f t="shared" si="97"/>
        <v>0</v>
      </c>
      <c r="BQ82" s="26">
        <f t="shared" si="97"/>
        <v>0</v>
      </c>
      <c r="BR82" s="26">
        <f t="shared" si="97"/>
        <v>0</v>
      </c>
      <c r="BS82" s="26">
        <f t="shared" si="97"/>
        <v>0</v>
      </c>
      <c r="BT82" s="26">
        <f t="shared" si="97"/>
        <v>0</v>
      </c>
      <c r="BU82" s="26">
        <f t="shared" si="97"/>
        <v>0</v>
      </c>
      <c r="BV82" s="26">
        <f t="shared" si="97"/>
        <v>0</v>
      </c>
      <c r="BW82" s="26">
        <f t="shared" si="97"/>
        <v>0</v>
      </c>
    </row>
    <row r="83" spans="3:75" x14ac:dyDescent="0.2">
      <c r="D83" s="23"/>
      <c r="E83" s="5"/>
      <c r="F83" s="5"/>
      <c r="G83" s="5"/>
      <c r="K83" s="23"/>
      <c r="L83" s="23"/>
      <c r="M83" s="23"/>
      <c r="N83" s="23"/>
      <c r="O83" s="23"/>
      <c r="P83" s="23"/>
      <c r="Q83" s="26"/>
      <c r="R83" s="5"/>
      <c r="S83" s="5"/>
      <c r="T83" s="5"/>
      <c r="U83" s="5"/>
      <c r="V83" s="5"/>
      <c r="W83" s="5"/>
      <c r="X83" s="5"/>
      <c r="Z83" s="5"/>
      <c r="AB83" s="5"/>
      <c r="AP83" s="5"/>
      <c r="BK83" s="23">
        <v>94</v>
      </c>
      <c r="BL83" s="26">
        <f t="shared" si="97"/>
        <v>0</v>
      </c>
      <c r="BM83" s="26">
        <f t="shared" si="97"/>
        <v>0</v>
      </c>
      <c r="BN83" s="26">
        <f t="shared" si="97"/>
        <v>0</v>
      </c>
      <c r="BO83" s="26">
        <f t="shared" si="97"/>
        <v>0</v>
      </c>
      <c r="BP83" s="26">
        <f t="shared" si="97"/>
        <v>0</v>
      </c>
      <c r="BQ83" s="26">
        <f t="shared" si="97"/>
        <v>0</v>
      </c>
      <c r="BR83" s="26">
        <f t="shared" si="97"/>
        <v>0</v>
      </c>
      <c r="BS83" s="26">
        <f t="shared" si="97"/>
        <v>0</v>
      </c>
      <c r="BT83" s="26">
        <f t="shared" si="97"/>
        <v>0</v>
      </c>
      <c r="BU83" s="26">
        <f t="shared" si="97"/>
        <v>0</v>
      </c>
      <c r="BV83" s="26">
        <f t="shared" si="97"/>
        <v>0</v>
      </c>
      <c r="BW83" s="26">
        <f t="shared" si="97"/>
        <v>0</v>
      </c>
    </row>
    <row r="84" spans="3:75" x14ac:dyDescent="0.2">
      <c r="D84" s="23"/>
      <c r="F84" s="5"/>
      <c r="G84" s="5"/>
      <c r="K84" s="23"/>
      <c r="L84" s="23"/>
      <c r="M84" s="23"/>
      <c r="N84" s="23"/>
      <c r="O84" s="23"/>
      <c r="P84" s="23"/>
      <c r="Q84" s="26"/>
      <c r="R84" s="5"/>
      <c r="S84" s="5"/>
      <c r="T84" s="5"/>
      <c r="U84" s="5"/>
      <c r="V84" s="5"/>
      <c r="W84" s="5"/>
      <c r="X84" s="5"/>
      <c r="Z84" s="5"/>
      <c r="AB84" s="5"/>
      <c r="AP84" s="5"/>
      <c r="BK84" s="23">
        <v>92</v>
      </c>
      <c r="BL84" s="26">
        <f t="shared" si="97"/>
        <v>0</v>
      </c>
      <c r="BM84" s="26">
        <f t="shared" si="97"/>
        <v>0</v>
      </c>
      <c r="BN84" s="26">
        <f t="shared" si="97"/>
        <v>0</v>
      </c>
      <c r="BO84" s="26">
        <f t="shared" si="97"/>
        <v>0</v>
      </c>
      <c r="BP84" s="26">
        <f t="shared" si="97"/>
        <v>0</v>
      </c>
      <c r="BQ84" s="26">
        <f t="shared" si="97"/>
        <v>0</v>
      </c>
      <c r="BR84" s="26">
        <f t="shared" si="97"/>
        <v>0</v>
      </c>
      <c r="BS84" s="26">
        <f t="shared" si="97"/>
        <v>0</v>
      </c>
      <c r="BT84" s="26">
        <f t="shared" si="97"/>
        <v>0</v>
      </c>
      <c r="BU84" s="26">
        <f t="shared" si="97"/>
        <v>0</v>
      </c>
      <c r="BV84" s="26">
        <f t="shared" si="97"/>
        <v>0</v>
      </c>
      <c r="BW84" s="26">
        <f t="shared" si="97"/>
        <v>0</v>
      </c>
    </row>
    <row r="85" spans="3:75" x14ac:dyDescent="0.2">
      <c r="D85" s="23"/>
      <c r="F85" s="5"/>
      <c r="G85" s="5"/>
      <c r="K85" s="23"/>
      <c r="L85" s="23"/>
      <c r="M85" s="23"/>
      <c r="N85" s="23"/>
      <c r="O85" s="23"/>
      <c r="P85" s="23"/>
      <c r="Q85" s="26"/>
      <c r="R85" s="5"/>
      <c r="S85" s="5"/>
      <c r="T85" s="5"/>
      <c r="U85" s="5"/>
      <c r="V85" s="5"/>
      <c r="W85" s="5"/>
      <c r="X85" s="5"/>
      <c r="Z85" s="5"/>
      <c r="AB85" s="5"/>
      <c r="AP85" s="5"/>
      <c r="BK85" s="23">
        <v>90</v>
      </c>
      <c r="BL85" s="26">
        <f t="shared" si="97"/>
        <v>0</v>
      </c>
      <c r="BM85" s="26">
        <f t="shared" si="97"/>
        <v>0</v>
      </c>
      <c r="BN85" s="26">
        <f t="shared" si="97"/>
        <v>0</v>
      </c>
      <c r="BO85" s="26">
        <f t="shared" si="97"/>
        <v>0</v>
      </c>
      <c r="BP85" s="26">
        <f t="shared" si="97"/>
        <v>0</v>
      </c>
      <c r="BQ85" s="26">
        <f t="shared" si="97"/>
        <v>0</v>
      </c>
      <c r="BR85" s="26">
        <f t="shared" si="97"/>
        <v>0</v>
      </c>
      <c r="BS85" s="26">
        <f t="shared" si="97"/>
        <v>0</v>
      </c>
      <c r="BT85" s="26">
        <f t="shared" si="97"/>
        <v>0</v>
      </c>
      <c r="BU85" s="26">
        <f t="shared" si="97"/>
        <v>0</v>
      </c>
      <c r="BV85" s="26">
        <f t="shared" si="97"/>
        <v>0</v>
      </c>
      <c r="BW85" s="26">
        <f t="shared" si="97"/>
        <v>0</v>
      </c>
    </row>
    <row r="86" spans="3:75" x14ac:dyDescent="0.2">
      <c r="D86" s="23"/>
      <c r="F86" s="5"/>
      <c r="G86" s="5"/>
      <c r="K86" s="23"/>
      <c r="L86" s="23"/>
      <c r="M86" s="23"/>
      <c r="N86" s="23"/>
      <c r="O86" s="23"/>
      <c r="P86" s="23"/>
      <c r="Q86" s="26"/>
      <c r="R86" s="5"/>
      <c r="S86" s="5"/>
      <c r="T86" s="5"/>
      <c r="U86" s="5"/>
      <c r="V86" s="5"/>
      <c r="W86" s="5"/>
      <c r="X86" s="5"/>
      <c r="Z86" s="5"/>
      <c r="AB86" s="5"/>
      <c r="AP86" s="5"/>
      <c r="BK86" s="23">
        <v>88</v>
      </c>
      <c r="BL86" s="26">
        <f t="shared" si="97"/>
        <v>0</v>
      </c>
      <c r="BM86" s="26">
        <f t="shared" si="97"/>
        <v>0</v>
      </c>
      <c r="BN86" s="26">
        <f t="shared" si="97"/>
        <v>0</v>
      </c>
      <c r="BO86" s="26">
        <f t="shared" si="97"/>
        <v>0</v>
      </c>
      <c r="BP86" s="26">
        <f t="shared" si="97"/>
        <v>0</v>
      </c>
      <c r="BQ86" s="26">
        <f t="shared" si="97"/>
        <v>0</v>
      </c>
      <c r="BR86" s="26">
        <f t="shared" si="97"/>
        <v>0</v>
      </c>
      <c r="BS86" s="26">
        <f t="shared" si="97"/>
        <v>0</v>
      </c>
      <c r="BT86" s="26">
        <f t="shared" si="97"/>
        <v>0</v>
      </c>
      <c r="BU86" s="26">
        <f t="shared" si="97"/>
        <v>0</v>
      </c>
      <c r="BV86" s="26">
        <f t="shared" si="97"/>
        <v>0</v>
      </c>
      <c r="BW86" s="26">
        <f t="shared" si="97"/>
        <v>0</v>
      </c>
    </row>
    <row r="87" spans="3:75" x14ac:dyDescent="0.2">
      <c r="C87" s="5"/>
      <c r="D87" s="23"/>
      <c r="F87" s="5"/>
      <c r="G87" s="5"/>
      <c r="K87" s="23"/>
      <c r="L87" s="23"/>
      <c r="M87" s="23"/>
      <c r="N87" s="23"/>
      <c r="O87" s="23"/>
      <c r="P87" s="23"/>
      <c r="Q87" s="26"/>
      <c r="R87" s="5"/>
      <c r="S87" s="5"/>
      <c r="T87" s="5"/>
      <c r="U87" s="5"/>
      <c r="V87" s="5"/>
      <c r="W87" s="5"/>
      <c r="X87" s="5"/>
      <c r="Z87" s="5"/>
      <c r="AB87" s="5"/>
      <c r="AP87" s="5"/>
      <c r="BK87" s="23">
        <v>86</v>
      </c>
      <c r="BL87" s="26">
        <f t="shared" si="97"/>
        <v>0</v>
      </c>
      <c r="BM87" s="26">
        <f t="shared" si="97"/>
        <v>0</v>
      </c>
      <c r="BN87" s="26">
        <f t="shared" si="97"/>
        <v>0</v>
      </c>
      <c r="BO87" s="26">
        <f t="shared" si="97"/>
        <v>0</v>
      </c>
      <c r="BP87" s="26">
        <f t="shared" si="97"/>
        <v>0</v>
      </c>
      <c r="BQ87" s="26">
        <f t="shared" si="97"/>
        <v>0</v>
      </c>
      <c r="BR87" s="26">
        <f t="shared" si="97"/>
        <v>0</v>
      </c>
      <c r="BS87" s="26">
        <f t="shared" si="97"/>
        <v>0</v>
      </c>
      <c r="BT87" s="26">
        <f t="shared" si="97"/>
        <v>0</v>
      </c>
      <c r="BU87" s="26">
        <f t="shared" si="97"/>
        <v>0</v>
      </c>
      <c r="BV87" s="26">
        <f t="shared" si="97"/>
        <v>0</v>
      </c>
      <c r="BW87" s="26">
        <f t="shared" si="97"/>
        <v>0</v>
      </c>
    </row>
    <row r="88" spans="3:75" x14ac:dyDescent="0.2">
      <c r="C88" s="5"/>
      <c r="D88" s="23"/>
      <c r="F88" s="5"/>
      <c r="G88" s="5"/>
      <c r="K88" s="23"/>
      <c r="L88" s="23"/>
      <c r="M88" s="23"/>
      <c r="N88" s="23"/>
      <c r="O88" s="23"/>
      <c r="P88" s="23"/>
      <c r="Q88" s="26"/>
      <c r="R88" s="5"/>
      <c r="S88" s="5"/>
      <c r="T88" s="5"/>
      <c r="U88" s="5"/>
      <c r="V88" s="5"/>
      <c r="W88" s="5"/>
      <c r="X88" s="5"/>
      <c r="Z88" s="5"/>
      <c r="AB88" s="5"/>
      <c r="AP88" s="5"/>
      <c r="BK88" s="23">
        <v>84</v>
      </c>
      <c r="BL88" s="26">
        <f t="shared" si="97"/>
        <v>0</v>
      </c>
      <c r="BM88" s="26">
        <f t="shared" si="97"/>
        <v>0</v>
      </c>
      <c r="BN88" s="26">
        <f t="shared" si="97"/>
        <v>0</v>
      </c>
      <c r="BO88" s="26">
        <f t="shared" si="97"/>
        <v>0</v>
      </c>
      <c r="BP88" s="26">
        <f t="shared" si="97"/>
        <v>0</v>
      </c>
      <c r="BQ88" s="26">
        <f t="shared" si="97"/>
        <v>0</v>
      </c>
      <c r="BR88" s="26">
        <f t="shared" si="97"/>
        <v>0</v>
      </c>
      <c r="BS88" s="26">
        <f t="shared" si="97"/>
        <v>0</v>
      </c>
      <c r="BT88" s="26">
        <f t="shared" si="97"/>
        <v>0</v>
      </c>
      <c r="BU88" s="26">
        <f t="shared" si="97"/>
        <v>0</v>
      </c>
      <c r="BV88" s="26">
        <f t="shared" si="97"/>
        <v>0</v>
      </c>
      <c r="BW88" s="26">
        <f t="shared" si="97"/>
        <v>0</v>
      </c>
    </row>
    <row r="89" spans="3:75" x14ac:dyDescent="0.2">
      <c r="C89" s="5"/>
      <c r="D89" s="23"/>
      <c r="F89" s="5"/>
      <c r="G89" s="5"/>
      <c r="K89" s="23"/>
      <c r="L89" s="23"/>
      <c r="M89" s="23"/>
      <c r="N89" s="23"/>
      <c r="O89" s="23"/>
      <c r="P89" s="23"/>
      <c r="Q89" s="26"/>
      <c r="R89" s="5"/>
      <c r="S89" s="5"/>
      <c r="T89" s="5"/>
      <c r="U89" s="5"/>
      <c r="V89" s="5"/>
      <c r="W89" s="5"/>
      <c r="X89" s="5"/>
      <c r="Z89" s="5"/>
      <c r="AB89" s="5"/>
      <c r="AP89" s="5"/>
      <c r="BK89" s="23">
        <v>82</v>
      </c>
      <c r="BL89" s="26">
        <f t="shared" si="97"/>
        <v>0</v>
      </c>
      <c r="BM89" s="26">
        <f t="shared" si="97"/>
        <v>0</v>
      </c>
      <c r="BN89" s="26">
        <f t="shared" si="97"/>
        <v>0</v>
      </c>
      <c r="BO89" s="26">
        <f t="shared" si="97"/>
        <v>0</v>
      </c>
      <c r="BP89" s="26">
        <f t="shared" si="97"/>
        <v>0</v>
      </c>
      <c r="BQ89" s="26">
        <f t="shared" si="97"/>
        <v>0</v>
      </c>
      <c r="BR89" s="26">
        <f t="shared" si="97"/>
        <v>0</v>
      </c>
      <c r="BS89" s="26">
        <f t="shared" si="97"/>
        <v>0</v>
      </c>
      <c r="BT89" s="26">
        <f t="shared" si="97"/>
        <v>0</v>
      </c>
      <c r="BU89" s="26">
        <f t="shared" si="97"/>
        <v>0</v>
      </c>
      <c r="BV89" s="26">
        <f t="shared" si="97"/>
        <v>0</v>
      </c>
      <c r="BW89" s="26">
        <f t="shared" si="97"/>
        <v>0</v>
      </c>
    </row>
    <row r="90" spans="3:75" x14ac:dyDescent="0.2">
      <c r="C90" s="5"/>
      <c r="F90" s="5"/>
      <c r="G90" s="5"/>
      <c r="K90" s="23"/>
      <c r="L90" s="23"/>
      <c r="M90" s="23"/>
      <c r="N90" s="23"/>
      <c r="O90" s="23"/>
      <c r="P90" s="23"/>
      <c r="Q90" s="26"/>
      <c r="R90" s="5"/>
      <c r="S90" s="5"/>
      <c r="T90" s="5"/>
      <c r="U90" s="5"/>
      <c r="V90" s="5"/>
      <c r="W90" s="5"/>
      <c r="X90" s="5"/>
      <c r="Z90" s="5"/>
      <c r="AB90" s="5"/>
      <c r="AP90" s="5"/>
      <c r="BK90" s="23">
        <v>80</v>
      </c>
      <c r="BL90" s="26">
        <f t="shared" si="97"/>
        <v>0</v>
      </c>
      <c r="BM90" s="26">
        <f t="shared" si="97"/>
        <v>0</v>
      </c>
      <c r="BN90" s="26">
        <f t="shared" si="97"/>
        <v>0</v>
      </c>
      <c r="BO90" s="26">
        <f t="shared" si="97"/>
        <v>0</v>
      </c>
      <c r="BP90" s="26">
        <f t="shared" si="97"/>
        <v>0</v>
      </c>
      <c r="BQ90" s="26">
        <f t="shared" si="97"/>
        <v>0</v>
      </c>
      <c r="BR90" s="26">
        <f t="shared" si="97"/>
        <v>0</v>
      </c>
      <c r="BS90" s="26">
        <f t="shared" si="97"/>
        <v>0</v>
      </c>
      <c r="BT90" s="26">
        <f t="shared" si="97"/>
        <v>0</v>
      </c>
      <c r="BU90" s="26">
        <f t="shared" si="97"/>
        <v>0</v>
      </c>
      <c r="BV90" s="26">
        <f t="shared" si="97"/>
        <v>0</v>
      </c>
      <c r="BW90" s="26">
        <f t="shared" si="97"/>
        <v>0</v>
      </c>
    </row>
    <row r="91" spans="3:75" x14ac:dyDescent="0.2">
      <c r="C91" s="5"/>
      <c r="D91" s="23"/>
      <c r="F91" s="5"/>
      <c r="G91" s="5"/>
      <c r="K91" s="23"/>
      <c r="L91" s="23"/>
      <c r="M91" s="23"/>
      <c r="N91" s="23"/>
      <c r="O91" s="23"/>
      <c r="P91" s="23"/>
      <c r="Q91" s="26"/>
      <c r="R91" s="5"/>
      <c r="S91" s="5"/>
      <c r="T91" s="5"/>
      <c r="U91" s="5"/>
      <c r="V91" s="5"/>
      <c r="W91" s="5"/>
      <c r="X91" s="5"/>
      <c r="Z91" s="5"/>
      <c r="AB91" s="5"/>
      <c r="AP91" s="5"/>
      <c r="BK91" s="23">
        <v>78</v>
      </c>
      <c r="BL91" s="26">
        <f t="shared" si="97"/>
        <v>0</v>
      </c>
      <c r="BM91" s="26">
        <f t="shared" si="97"/>
        <v>0</v>
      </c>
      <c r="BN91" s="26">
        <f t="shared" si="97"/>
        <v>0</v>
      </c>
      <c r="BO91" s="26">
        <f t="shared" si="97"/>
        <v>0</v>
      </c>
      <c r="BP91" s="26">
        <f t="shared" si="97"/>
        <v>0</v>
      </c>
      <c r="BQ91" s="26">
        <f t="shared" si="97"/>
        <v>0</v>
      </c>
      <c r="BR91" s="26">
        <f t="shared" si="97"/>
        <v>0</v>
      </c>
      <c r="BS91" s="26">
        <f t="shared" si="97"/>
        <v>0</v>
      </c>
      <c r="BT91" s="26">
        <f t="shared" si="97"/>
        <v>0</v>
      </c>
      <c r="BU91" s="26">
        <f t="shared" si="97"/>
        <v>0</v>
      </c>
      <c r="BV91" s="26">
        <f t="shared" si="97"/>
        <v>0</v>
      </c>
      <c r="BW91" s="26">
        <f t="shared" si="97"/>
        <v>0</v>
      </c>
    </row>
    <row r="92" spans="3:75" x14ac:dyDescent="0.2">
      <c r="C92" s="5"/>
      <c r="E92" s="5"/>
      <c r="G92" s="5"/>
      <c r="H92" s="5"/>
      <c r="I92" s="5"/>
      <c r="J92" s="5"/>
      <c r="K92" s="5"/>
      <c r="L92" s="5"/>
      <c r="M92" s="5"/>
      <c r="N92" s="5"/>
      <c r="P92" s="5"/>
      <c r="Q92" s="5"/>
      <c r="R92" s="5"/>
      <c r="S92" s="5"/>
      <c r="T92" s="26"/>
      <c r="U92" s="5"/>
      <c r="V92" s="5"/>
      <c r="W92" s="5"/>
      <c r="X92" s="5"/>
      <c r="Z92" s="5"/>
      <c r="AB92" s="5"/>
      <c r="AP92" s="5"/>
      <c r="BK92" s="23">
        <v>76</v>
      </c>
      <c r="BL92" s="26">
        <f t="shared" si="97"/>
        <v>0</v>
      </c>
      <c r="BM92" s="26">
        <f t="shared" si="97"/>
        <v>0</v>
      </c>
      <c r="BN92" s="26">
        <f t="shared" si="97"/>
        <v>0</v>
      </c>
      <c r="BO92" s="26">
        <f t="shared" si="97"/>
        <v>0</v>
      </c>
      <c r="BP92" s="26">
        <f t="shared" si="97"/>
        <v>0</v>
      </c>
      <c r="BQ92" s="26">
        <f t="shared" si="97"/>
        <v>0</v>
      </c>
      <c r="BR92" s="26">
        <f t="shared" si="97"/>
        <v>0</v>
      </c>
      <c r="BS92" s="26">
        <f t="shared" si="97"/>
        <v>0</v>
      </c>
      <c r="BT92" s="26">
        <f t="shared" si="97"/>
        <v>0</v>
      </c>
      <c r="BU92" s="26">
        <f t="shared" si="97"/>
        <v>0</v>
      </c>
      <c r="BV92" s="26">
        <f t="shared" si="97"/>
        <v>0</v>
      </c>
      <c r="BW92" s="26">
        <f t="shared" si="97"/>
        <v>0</v>
      </c>
    </row>
    <row r="93" spans="3:75" x14ac:dyDescent="0.2">
      <c r="C93" s="5"/>
      <c r="G93" s="5"/>
      <c r="H93" s="5"/>
      <c r="I93" s="5"/>
      <c r="J93" s="5"/>
      <c r="K93" s="5"/>
      <c r="L93" s="5"/>
      <c r="M93" s="5"/>
      <c r="N93" s="5"/>
      <c r="P93" s="5"/>
      <c r="Q93" s="5"/>
      <c r="R93" s="5"/>
      <c r="S93" s="5"/>
      <c r="T93" s="26"/>
      <c r="U93" s="5"/>
      <c r="V93" s="5"/>
      <c r="W93" s="5"/>
      <c r="X93" s="5"/>
      <c r="Z93" s="5"/>
      <c r="AB93" s="5"/>
      <c r="AP93" s="5"/>
      <c r="BK93" s="23">
        <v>74</v>
      </c>
      <c r="BL93" s="26">
        <f t="shared" si="97"/>
        <v>0</v>
      </c>
      <c r="BM93" s="26">
        <f t="shared" si="97"/>
        <v>0</v>
      </c>
      <c r="BN93" s="26">
        <f t="shared" si="97"/>
        <v>0</v>
      </c>
      <c r="BO93" s="26">
        <f t="shared" si="97"/>
        <v>0</v>
      </c>
      <c r="BP93" s="26">
        <f t="shared" si="97"/>
        <v>0</v>
      </c>
      <c r="BQ93" s="26">
        <f t="shared" si="97"/>
        <v>0</v>
      </c>
      <c r="BR93" s="26">
        <f t="shared" si="97"/>
        <v>0</v>
      </c>
      <c r="BS93" s="26">
        <f t="shared" si="97"/>
        <v>0</v>
      </c>
      <c r="BT93" s="26">
        <f t="shared" si="97"/>
        <v>0</v>
      </c>
      <c r="BU93" s="26">
        <f t="shared" si="97"/>
        <v>0</v>
      </c>
      <c r="BV93" s="26">
        <f t="shared" si="97"/>
        <v>0</v>
      </c>
      <c r="BW93" s="26">
        <f t="shared" si="97"/>
        <v>0</v>
      </c>
    </row>
    <row r="94" spans="3:75" x14ac:dyDescent="0.2">
      <c r="C94" s="5"/>
      <c r="G94" s="5"/>
      <c r="H94" s="5"/>
      <c r="I94" s="5"/>
      <c r="J94" s="5"/>
      <c r="K94" s="5"/>
      <c r="L94" s="5"/>
      <c r="M94" s="5"/>
      <c r="N94" s="5"/>
      <c r="P94" s="5"/>
      <c r="Q94" s="5"/>
      <c r="R94" s="5"/>
      <c r="S94" s="5"/>
      <c r="T94" s="26"/>
      <c r="U94" s="5"/>
      <c r="V94" s="5"/>
      <c r="W94" s="5"/>
      <c r="X94" s="5"/>
      <c r="Z94" s="5"/>
      <c r="AB94" s="5"/>
      <c r="AP94" s="5"/>
      <c r="BK94" s="23">
        <v>72</v>
      </c>
      <c r="BL94" s="26">
        <f t="shared" si="97"/>
        <v>0</v>
      </c>
      <c r="BM94" s="26">
        <f t="shared" si="97"/>
        <v>0</v>
      </c>
      <c r="BN94" s="26">
        <f t="shared" si="97"/>
        <v>0</v>
      </c>
      <c r="BO94" s="26">
        <f t="shared" si="97"/>
        <v>0</v>
      </c>
      <c r="BP94" s="26">
        <f t="shared" si="97"/>
        <v>0</v>
      </c>
      <c r="BQ94" s="26">
        <f t="shared" si="97"/>
        <v>0</v>
      </c>
      <c r="BR94" s="26">
        <f t="shared" si="97"/>
        <v>0</v>
      </c>
      <c r="BS94" s="26">
        <f t="shared" si="97"/>
        <v>0</v>
      </c>
      <c r="BT94" s="26">
        <f t="shared" si="97"/>
        <v>0</v>
      </c>
      <c r="BU94" s="26">
        <f t="shared" si="97"/>
        <v>0</v>
      </c>
      <c r="BV94" s="26">
        <f t="shared" si="97"/>
        <v>0</v>
      </c>
      <c r="BW94" s="26">
        <f t="shared" si="97"/>
        <v>0</v>
      </c>
    </row>
    <row r="95" spans="3:75" x14ac:dyDescent="0.2">
      <c r="C95" s="5"/>
      <c r="G95" s="5"/>
      <c r="H95" s="5"/>
      <c r="I95" s="5"/>
      <c r="J95" s="5"/>
      <c r="K95" s="5"/>
      <c r="L95" s="5"/>
      <c r="M95" s="5"/>
      <c r="N95" s="5"/>
      <c r="P95" s="5"/>
      <c r="Q95" s="5"/>
      <c r="R95" s="5"/>
      <c r="S95" s="5"/>
      <c r="T95" s="26"/>
      <c r="U95" s="5"/>
      <c r="V95" s="5"/>
      <c r="W95" s="5"/>
      <c r="X95" s="5"/>
      <c r="Z95" s="5"/>
      <c r="AB95" s="5"/>
      <c r="AP95" s="5"/>
      <c r="BK95" s="23">
        <v>70</v>
      </c>
      <c r="BL95" s="26">
        <f t="shared" si="97"/>
        <v>0</v>
      </c>
      <c r="BM95" s="26">
        <f t="shared" si="97"/>
        <v>0</v>
      </c>
      <c r="BN95" s="26">
        <f t="shared" si="97"/>
        <v>0</v>
      </c>
      <c r="BO95" s="26">
        <f t="shared" si="97"/>
        <v>0</v>
      </c>
      <c r="BP95" s="26">
        <f t="shared" si="97"/>
        <v>0</v>
      </c>
      <c r="BQ95" s="26">
        <f t="shared" si="97"/>
        <v>0</v>
      </c>
      <c r="BR95" s="26">
        <f t="shared" si="97"/>
        <v>0</v>
      </c>
      <c r="BS95" s="26">
        <f t="shared" si="97"/>
        <v>0</v>
      </c>
      <c r="BT95" s="26">
        <f t="shared" si="97"/>
        <v>0</v>
      </c>
      <c r="BU95" s="26">
        <f t="shared" si="97"/>
        <v>0</v>
      </c>
      <c r="BV95" s="26">
        <f t="shared" si="97"/>
        <v>0</v>
      </c>
      <c r="BW95" s="26">
        <f t="shared" si="97"/>
        <v>0</v>
      </c>
    </row>
    <row r="96" spans="3:75" x14ac:dyDescent="0.2">
      <c r="C96" s="5"/>
      <c r="G96" s="5"/>
      <c r="H96" s="5"/>
      <c r="I96" s="5"/>
      <c r="J96" s="5"/>
      <c r="K96" s="5"/>
      <c r="L96" s="5"/>
      <c r="M96" s="5"/>
      <c r="N96" s="5"/>
      <c r="P96" s="5"/>
      <c r="Q96" s="5"/>
      <c r="R96" s="5"/>
      <c r="S96" s="5"/>
      <c r="T96" s="26"/>
      <c r="U96" s="5"/>
      <c r="V96" s="5"/>
      <c r="W96" s="5"/>
      <c r="X96" s="5"/>
      <c r="Z96" s="5"/>
      <c r="AB96" s="5"/>
      <c r="AP96" s="5"/>
      <c r="BK96" s="23">
        <v>68</v>
      </c>
      <c r="BL96" s="26">
        <f t="shared" si="97"/>
        <v>0</v>
      </c>
      <c r="BM96" s="26">
        <f t="shared" si="97"/>
        <v>0</v>
      </c>
      <c r="BN96" s="26">
        <f t="shared" si="97"/>
        <v>0</v>
      </c>
      <c r="BO96" s="26">
        <f t="shared" si="97"/>
        <v>0</v>
      </c>
      <c r="BP96" s="26">
        <f t="shared" si="97"/>
        <v>0</v>
      </c>
      <c r="BQ96" s="26">
        <f t="shared" si="97"/>
        <v>0</v>
      </c>
      <c r="BR96" s="26">
        <f t="shared" si="97"/>
        <v>0</v>
      </c>
      <c r="BS96" s="26">
        <f t="shared" si="97"/>
        <v>0</v>
      </c>
      <c r="BT96" s="26">
        <f t="shared" si="97"/>
        <v>0</v>
      </c>
      <c r="BU96" s="26">
        <f t="shared" si="97"/>
        <v>0</v>
      </c>
      <c r="BV96" s="26">
        <f t="shared" si="97"/>
        <v>0</v>
      </c>
      <c r="BW96" s="26">
        <f t="shared" si="97"/>
        <v>0</v>
      </c>
    </row>
    <row r="97" spans="7:75" x14ac:dyDescent="0.2">
      <c r="G97" s="5"/>
      <c r="H97" s="5"/>
      <c r="I97" s="5"/>
      <c r="J97" s="5"/>
      <c r="K97" s="5"/>
      <c r="L97" s="5"/>
      <c r="M97" s="5"/>
      <c r="N97" s="5"/>
      <c r="P97" s="5"/>
      <c r="Q97" s="5"/>
      <c r="R97" s="5"/>
      <c r="S97" s="5"/>
      <c r="T97" s="26"/>
      <c r="U97" s="5"/>
      <c r="V97" s="5"/>
      <c r="W97" s="5"/>
      <c r="X97" s="5"/>
      <c r="Z97" s="5"/>
      <c r="AB97" s="5"/>
      <c r="AP97" s="5"/>
      <c r="BK97" s="23">
        <v>66</v>
      </c>
      <c r="BL97" s="26">
        <f t="shared" si="97"/>
        <v>0</v>
      </c>
      <c r="BM97" s="26">
        <f t="shared" si="97"/>
        <v>0</v>
      </c>
      <c r="BN97" s="26">
        <f t="shared" si="97"/>
        <v>0</v>
      </c>
      <c r="BO97" s="26">
        <f t="shared" si="97"/>
        <v>0</v>
      </c>
      <c r="BP97" s="26">
        <f t="shared" si="97"/>
        <v>0</v>
      </c>
      <c r="BQ97" s="26">
        <f t="shared" si="97"/>
        <v>0</v>
      </c>
      <c r="BR97" s="26">
        <f t="shared" si="97"/>
        <v>0</v>
      </c>
      <c r="BS97" s="26">
        <f t="shared" si="97"/>
        <v>0</v>
      </c>
      <c r="BT97" s="26">
        <f t="shared" si="97"/>
        <v>0</v>
      </c>
      <c r="BU97" s="26">
        <f t="shared" si="97"/>
        <v>0</v>
      </c>
      <c r="BV97" s="26">
        <f t="shared" si="97"/>
        <v>0</v>
      </c>
      <c r="BW97" s="26">
        <f t="shared" si="97"/>
        <v>0</v>
      </c>
    </row>
    <row r="98" spans="7:75" x14ac:dyDescent="0.2">
      <c r="AP98" s="5"/>
      <c r="BK98" s="23">
        <v>64</v>
      </c>
      <c r="BL98" s="26">
        <f t="shared" si="97"/>
        <v>0</v>
      </c>
      <c r="BM98" s="26">
        <f t="shared" si="97"/>
        <v>0</v>
      </c>
      <c r="BN98" s="26">
        <f t="shared" si="97"/>
        <v>0</v>
      </c>
      <c r="BO98" s="26">
        <f t="shared" si="97"/>
        <v>0</v>
      </c>
      <c r="BP98" s="26">
        <f t="shared" si="97"/>
        <v>0</v>
      </c>
      <c r="BQ98" s="26">
        <f t="shared" si="97"/>
        <v>0</v>
      </c>
      <c r="BR98" s="26">
        <f t="shared" si="97"/>
        <v>0</v>
      </c>
      <c r="BS98" s="26">
        <f t="shared" si="97"/>
        <v>0</v>
      </c>
      <c r="BT98" s="26">
        <f t="shared" si="97"/>
        <v>0</v>
      </c>
      <c r="BU98" s="26">
        <f t="shared" si="97"/>
        <v>0</v>
      </c>
      <c r="BV98" s="26">
        <f t="shared" ref="BM98:BW113" si="98">BV33/9.804139432</f>
        <v>0</v>
      </c>
      <c r="BW98" s="26">
        <f t="shared" si="98"/>
        <v>0</v>
      </c>
    </row>
    <row r="99" spans="7:75" x14ac:dyDescent="0.2">
      <c r="AP99" s="5"/>
      <c r="BK99" s="23">
        <v>62</v>
      </c>
      <c r="BL99" s="26">
        <f t="shared" si="97"/>
        <v>0</v>
      </c>
      <c r="BM99" s="26">
        <f t="shared" si="98"/>
        <v>0</v>
      </c>
      <c r="BN99" s="26">
        <f t="shared" si="98"/>
        <v>0</v>
      </c>
      <c r="BO99" s="26">
        <f t="shared" si="98"/>
        <v>0</v>
      </c>
      <c r="BP99" s="26">
        <f t="shared" si="98"/>
        <v>0</v>
      </c>
      <c r="BQ99" s="26">
        <f t="shared" si="98"/>
        <v>0</v>
      </c>
      <c r="BR99" s="26">
        <f t="shared" si="98"/>
        <v>0</v>
      </c>
      <c r="BS99" s="26">
        <f t="shared" si="98"/>
        <v>0</v>
      </c>
      <c r="BT99" s="26">
        <f t="shared" si="98"/>
        <v>0</v>
      </c>
      <c r="BU99" s="26">
        <f t="shared" si="98"/>
        <v>0</v>
      </c>
      <c r="BV99" s="26">
        <f t="shared" si="98"/>
        <v>0</v>
      </c>
      <c r="BW99" s="26">
        <f t="shared" si="98"/>
        <v>0</v>
      </c>
    </row>
    <row r="100" spans="7:75" x14ac:dyDescent="0.2">
      <c r="AP100" s="5"/>
      <c r="BK100" s="23">
        <v>60</v>
      </c>
      <c r="BL100" s="26">
        <f t="shared" si="97"/>
        <v>0</v>
      </c>
      <c r="BM100" s="26">
        <f t="shared" si="98"/>
        <v>0</v>
      </c>
      <c r="BN100" s="26">
        <f t="shared" si="98"/>
        <v>0</v>
      </c>
      <c r="BO100" s="26">
        <f t="shared" si="98"/>
        <v>0</v>
      </c>
      <c r="BP100" s="26">
        <f t="shared" si="98"/>
        <v>0</v>
      </c>
      <c r="BQ100" s="26">
        <f t="shared" si="98"/>
        <v>0</v>
      </c>
      <c r="BR100" s="26">
        <f t="shared" si="98"/>
        <v>0</v>
      </c>
      <c r="BS100" s="26">
        <f t="shared" si="98"/>
        <v>0</v>
      </c>
      <c r="BT100" s="26">
        <f t="shared" si="98"/>
        <v>0</v>
      </c>
      <c r="BU100" s="26">
        <f t="shared" si="98"/>
        <v>0</v>
      </c>
      <c r="BV100" s="26">
        <f t="shared" si="98"/>
        <v>0</v>
      </c>
      <c r="BW100" s="26">
        <f t="shared" si="98"/>
        <v>0</v>
      </c>
    </row>
    <row r="101" spans="7:75" x14ac:dyDescent="0.2">
      <c r="AP101" s="5"/>
      <c r="BK101" s="23">
        <v>58</v>
      </c>
      <c r="BL101" s="26">
        <f t="shared" si="97"/>
        <v>0</v>
      </c>
      <c r="BM101" s="26">
        <f t="shared" si="98"/>
        <v>0</v>
      </c>
      <c r="BN101" s="26">
        <f t="shared" si="98"/>
        <v>0</v>
      </c>
      <c r="BO101" s="26">
        <f t="shared" si="98"/>
        <v>0</v>
      </c>
      <c r="BP101" s="26">
        <f t="shared" si="98"/>
        <v>0</v>
      </c>
      <c r="BQ101" s="26">
        <f t="shared" si="98"/>
        <v>0</v>
      </c>
      <c r="BR101" s="26">
        <f t="shared" si="98"/>
        <v>0</v>
      </c>
      <c r="BS101" s="26">
        <f t="shared" si="98"/>
        <v>0</v>
      </c>
      <c r="BT101" s="26">
        <f t="shared" si="98"/>
        <v>0</v>
      </c>
      <c r="BU101" s="26">
        <f t="shared" si="98"/>
        <v>0</v>
      </c>
      <c r="BV101" s="26">
        <f t="shared" si="98"/>
        <v>0</v>
      </c>
      <c r="BW101" s="26">
        <f t="shared" si="98"/>
        <v>0</v>
      </c>
    </row>
    <row r="102" spans="7:75" x14ac:dyDescent="0.2">
      <c r="AP102" s="5"/>
      <c r="BK102" s="23">
        <v>56</v>
      </c>
      <c r="BL102" s="26">
        <f t="shared" si="97"/>
        <v>0</v>
      </c>
      <c r="BM102" s="26">
        <f t="shared" si="98"/>
        <v>0</v>
      </c>
      <c r="BN102" s="26">
        <f t="shared" si="98"/>
        <v>0</v>
      </c>
      <c r="BO102" s="26">
        <f t="shared" si="98"/>
        <v>0</v>
      </c>
      <c r="BP102" s="26">
        <f t="shared" si="98"/>
        <v>0</v>
      </c>
      <c r="BQ102" s="26">
        <f t="shared" si="98"/>
        <v>0</v>
      </c>
      <c r="BR102" s="26">
        <f t="shared" si="98"/>
        <v>0</v>
      </c>
      <c r="BS102" s="26">
        <f t="shared" si="98"/>
        <v>0</v>
      </c>
      <c r="BT102" s="26">
        <f t="shared" si="98"/>
        <v>0</v>
      </c>
      <c r="BU102" s="26">
        <f t="shared" si="98"/>
        <v>0</v>
      </c>
      <c r="BV102" s="26">
        <f t="shared" si="98"/>
        <v>0</v>
      </c>
      <c r="BW102" s="26">
        <f t="shared" si="98"/>
        <v>0</v>
      </c>
    </row>
    <row r="103" spans="7:75" x14ac:dyDescent="0.2">
      <c r="AP103" s="5"/>
      <c r="BK103" s="23">
        <f t="shared" ref="BK103:BK108" si="99">BK102-2</f>
        <v>54</v>
      </c>
      <c r="BL103" s="26">
        <f t="shared" si="97"/>
        <v>0</v>
      </c>
      <c r="BM103" s="26">
        <f t="shared" si="98"/>
        <v>0</v>
      </c>
      <c r="BN103" s="26">
        <f t="shared" si="98"/>
        <v>0</v>
      </c>
      <c r="BO103" s="26">
        <f t="shared" si="98"/>
        <v>0</v>
      </c>
      <c r="BP103" s="26">
        <f t="shared" si="98"/>
        <v>0</v>
      </c>
      <c r="BQ103" s="26">
        <f t="shared" si="98"/>
        <v>0</v>
      </c>
      <c r="BR103" s="26">
        <f t="shared" si="98"/>
        <v>0</v>
      </c>
      <c r="BS103" s="26">
        <f t="shared" si="98"/>
        <v>0</v>
      </c>
      <c r="BT103" s="26">
        <f t="shared" si="98"/>
        <v>0.41523540177104562</v>
      </c>
      <c r="BU103" s="26">
        <f t="shared" si="98"/>
        <v>0</v>
      </c>
      <c r="BV103" s="26">
        <f t="shared" si="98"/>
        <v>0.26164938103487634</v>
      </c>
      <c r="BW103" s="26">
        <f t="shared" si="98"/>
        <v>0</v>
      </c>
    </row>
    <row r="104" spans="7:75" x14ac:dyDescent="0.2">
      <c r="BK104" s="23">
        <f t="shared" si="99"/>
        <v>52</v>
      </c>
      <c r="BL104" s="26">
        <f t="shared" si="97"/>
        <v>0</v>
      </c>
      <c r="BM104" s="26">
        <f t="shared" si="98"/>
        <v>0</v>
      </c>
      <c r="BN104" s="26">
        <f t="shared" si="98"/>
        <v>0</v>
      </c>
      <c r="BO104" s="26">
        <f t="shared" si="98"/>
        <v>0</v>
      </c>
      <c r="BP104" s="26">
        <f t="shared" si="98"/>
        <v>0</v>
      </c>
      <c r="BQ104" s="26">
        <f t="shared" si="98"/>
        <v>0</v>
      </c>
      <c r="BR104" s="26">
        <f t="shared" si="98"/>
        <v>0</v>
      </c>
      <c r="BS104" s="26">
        <f t="shared" si="98"/>
        <v>0</v>
      </c>
      <c r="BT104" s="26">
        <f t="shared" si="98"/>
        <v>0.52232437387968356</v>
      </c>
      <c r="BU104" s="26">
        <f t="shared" si="98"/>
        <v>0</v>
      </c>
      <c r="BV104" s="26">
        <f t="shared" si="98"/>
        <v>0.37410616542478276</v>
      </c>
      <c r="BW104" s="26">
        <f t="shared" si="98"/>
        <v>0.36993852109480896</v>
      </c>
    </row>
    <row r="105" spans="7:75" x14ac:dyDescent="0.2">
      <c r="AP105" s="5"/>
      <c r="BK105" s="23">
        <f t="shared" si="99"/>
        <v>50</v>
      </c>
      <c r="BL105" s="26">
        <f t="shared" si="97"/>
        <v>0</v>
      </c>
      <c r="BM105" s="26">
        <f t="shared" si="98"/>
        <v>0</v>
      </c>
      <c r="BN105" s="26">
        <f t="shared" si="98"/>
        <v>0</v>
      </c>
      <c r="BO105" s="26">
        <f t="shared" si="98"/>
        <v>0</v>
      </c>
      <c r="BP105" s="26">
        <f t="shared" si="98"/>
        <v>0.64059376654199285</v>
      </c>
      <c r="BQ105" s="26">
        <f t="shared" si="98"/>
        <v>0</v>
      </c>
      <c r="BR105" s="26">
        <f t="shared" si="98"/>
        <v>0</v>
      </c>
      <c r="BS105" s="26">
        <f t="shared" si="98"/>
        <v>0</v>
      </c>
      <c r="BT105" s="26">
        <f t="shared" si="98"/>
        <v>0.66297152815806815</v>
      </c>
      <c r="BU105" s="26">
        <f t="shared" si="98"/>
        <v>0</v>
      </c>
      <c r="BV105" s="26">
        <f t="shared" si="98"/>
        <v>0.54245132335658153</v>
      </c>
      <c r="BW105" s="26">
        <f t="shared" si="98"/>
        <v>0.59930674125195449</v>
      </c>
    </row>
    <row r="106" spans="7:75" x14ac:dyDescent="0.2">
      <c r="BK106" s="23">
        <f t="shared" si="99"/>
        <v>48</v>
      </c>
      <c r="BL106" s="26">
        <f t="shared" si="97"/>
        <v>0</v>
      </c>
      <c r="BM106" s="26">
        <f t="shared" si="98"/>
        <v>0</v>
      </c>
      <c r="BN106" s="26">
        <f t="shared" si="98"/>
        <v>0</v>
      </c>
      <c r="BO106" s="26">
        <f t="shared" si="98"/>
        <v>0</v>
      </c>
      <c r="BP106" s="26">
        <f t="shared" si="98"/>
        <v>0.75524211610421921</v>
      </c>
      <c r="BQ106" s="26">
        <f t="shared" si="98"/>
        <v>0</v>
      </c>
      <c r="BR106" s="26">
        <f t="shared" si="98"/>
        <v>0</v>
      </c>
      <c r="BS106" s="26">
        <f t="shared" si="98"/>
        <v>0.38975959063497639</v>
      </c>
      <c r="BT106" s="26">
        <f t="shared" si="98"/>
        <v>0.84972291791273824</v>
      </c>
      <c r="BU106" s="26">
        <f t="shared" si="98"/>
        <v>0</v>
      </c>
      <c r="BV106" s="26">
        <f t="shared" si="98"/>
        <v>0.79857339553775564</v>
      </c>
      <c r="BW106" s="26">
        <f t="shared" si="98"/>
        <v>0.99019999343533505</v>
      </c>
    </row>
    <row r="107" spans="7:75" x14ac:dyDescent="0.2">
      <c r="I107" s="5"/>
      <c r="J107" s="5"/>
      <c r="K107" s="5"/>
      <c r="L107" s="5"/>
      <c r="M107" s="5"/>
      <c r="N107" s="5"/>
      <c r="W107" s="5"/>
      <c r="X107" s="5"/>
      <c r="Y107" s="5"/>
      <c r="Z107" s="5"/>
      <c r="AA107" s="5"/>
      <c r="AB107" s="5"/>
      <c r="AC107" s="5"/>
      <c r="BK107" s="23">
        <f>BK106-2</f>
        <v>46</v>
      </c>
      <c r="BL107" s="26">
        <f t="shared" si="97"/>
        <v>0</v>
      </c>
      <c r="BM107" s="26">
        <f t="shared" si="98"/>
        <v>0</v>
      </c>
      <c r="BN107" s="26">
        <f t="shared" si="98"/>
        <v>0</v>
      </c>
      <c r="BO107" s="26">
        <f t="shared" si="98"/>
        <v>0.24538328931928291</v>
      </c>
      <c r="BP107" s="26">
        <f t="shared" si="98"/>
        <v>0.89667135111424812</v>
      </c>
      <c r="BQ107" s="26">
        <f t="shared" si="98"/>
        <v>1.2776975815080398</v>
      </c>
      <c r="BR107" s="26">
        <f t="shared" si="98"/>
        <v>0</v>
      </c>
      <c r="BS107" s="26">
        <f t="shared" si="98"/>
        <v>0.52388485477291369</v>
      </c>
      <c r="BT107" s="26">
        <f t="shared" si="98"/>
        <v>1.1006459243517843</v>
      </c>
      <c r="BU107" s="26">
        <f t="shared" si="98"/>
        <v>0</v>
      </c>
      <c r="BV107" s="26">
        <f t="shared" si="98"/>
        <v>1.1951378406596882</v>
      </c>
      <c r="BW107" s="26">
        <f t="shared" si="98"/>
        <v>1.671395213732995</v>
      </c>
    </row>
    <row r="108" spans="7:75" x14ac:dyDescent="0.2">
      <c r="I108" s="5"/>
      <c r="J108" s="5"/>
      <c r="K108" s="5"/>
      <c r="L108" s="5"/>
      <c r="M108" s="5"/>
      <c r="N108" s="5"/>
      <c r="W108" s="5"/>
      <c r="X108" s="5"/>
      <c r="Y108" s="5"/>
      <c r="Z108" s="5"/>
      <c r="AA108" s="5"/>
      <c r="AB108" s="5"/>
      <c r="AC108" s="5"/>
      <c r="BK108" s="23">
        <f t="shared" si="99"/>
        <v>44</v>
      </c>
      <c r="BL108" s="26">
        <f t="shared" si="97"/>
        <v>5.2554419243568806E-3</v>
      </c>
      <c r="BM108" s="26">
        <f t="shared" si="98"/>
        <v>9.5789901681192762E-3</v>
      </c>
      <c r="BN108" s="26">
        <f t="shared" si="98"/>
        <v>5.3623025257269606E-2</v>
      </c>
      <c r="BO108" s="26">
        <f t="shared" si="98"/>
        <v>0.30885046990419301</v>
      </c>
      <c r="BP108" s="26">
        <f t="shared" si="98"/>
        <v>1.0727404577278399</v>
      </c>
      <c r="BQ108" s="26">
        <f t="shared" si="98"/>
        <v>1.4439841053507099</v>
      </c>
      <c r="BR108" s="26">
        <f t="shared" si="98"/>
        <v>0</v>
      </c>
      <c r="BS108" s="26">
        <f t="shared" si="98"/>
        <v>0.71348544484320264</v>
      </c>
      <c r="BT108" s="26">
        <f t="shared" si="98"/>
        <v>1.442161086990968</v>
      </c>
      <c r="BU108" s="26">
        <f t="shared" si="98"/>
        <v>0.44619580519012819</v>
      </c>
      <c r="BV108" s="26">
        <f t="shared" si="98"/>
        <v>1.8209835741711495</v>
      </c>
      <c r="BW108" s="26">
        <f t="shared" si="98"/>
        <v>2.8876421205719898</v>
      </c>
    </row>
    <row r="109" spans="7:75" x14ac:dyDescent="0.2">
      <c r="I109" s="5"/>
      <c r="J109" s="5"/>
      <c r="K109" s="5"/>
      <c r="L109" s="5"/>
      <c r="M109" s="5"/>
      <c r="N109" s="5"/>
      <c r="W109" s="5"/>
      <c r="X109" s="5"/>
      <c r="Y109" s="5"/>
      <c r="Z109" s="5"/>
      <c r="AA109" s="5"/>
      <c r="AB109" s="5"/>
      <c r="AC109" s="5"/>
      <c r="BK109" s="23">
        <v>42</v>
      </c>
      <c r="BL109" s="26">
        <f t="shared" si="97"/>
        <v>6.4395357049690186E-3</v>
      </c>
      <c r="BM109" s="26">
        <f t="shared" si="98"/>
        <v>1.1783873304059646E-2</v>
      </c>
      <c r="BN109" s="26">
        <f t="shared" si="98"/>
        <v>6.6916798086872606E-2</v>
      </c>
      <c r="BO109" s="26">
        <f t="shared" si="98"/>
        <v>0.39291612496161066</v>
      </c>
      <c r="BP109" s="26">
        <f t="shared" si="98"/>
        <v>1.2941325543494742</v>
      </c>
      <c r="BQ109" s="26">
        <f t="shared" si="98"/>
        <v>1.6412282702382093</v>
      </c>
      <c r="BR109" s="26">
        <f t="shared" si="98"/>
        <v>0.16642756778228451</v>
      </c>
      <c r="BS109" s="26">
        <f t="shared" si="98"/>
        <v>0.98577112836544822</v>
      </c>
      <c r="BT109" s="26">
        <f t="shared" si="98"/>
        <v>1.9135540428329101</v>
      </c>
      <c r="BU109" s="26">
        <f t="shared" si="98"/>
        <v>0.71804672106653022</v>
      </c>
      <c r="BV109" s="26">
        <f t="shared" si="98"/>
        <v>2.8294594850079555</v>
      </c>
      <c r="BW109" s="59">
        <f t="shared" si="98"/>
        <v>5.1174820096192342</v>
      </c>
    </row>
    <row r="110" spans="7:75" x14ac:dyDescent="0.2">
      <c r="I110" s="5"/>
      <c r="J110" s="5"/>
      <c r="K110" s="5"/>
      <c r="L110" s="5"/>
      <c r="M110" s="5"/>
      <c r="N110" s="5"/>
      <c r="W110" s="5"/>
      <c r="X110" s="5"/>
      <c r="Y110" s="5"/>
      <c r="Z110" s="5"/>
      <c r="AA110" s="5"/>
      <c r="AB110" s="5"/>
      <c r="AC110" s="5"/>
      <c r="BK110" s="23">
        <f>BK109-2</f>
        <v>40</v>
      </c>
      <c r="BL110" s="26">
        <f t="shared" si="97"/>
        <v>7.9690433195725215E-3</v>
      </c>
      <c r="BM110" s="26">
        <f t="shared" si="98"/>
        <v>1.4643564407131904E-2</v>
      </c>
      <c r="BN110" s="26">
        <f t="shared" si="98"/>
        <v>8.4413655060054382E-2</v>
      </c>
      <c r="BO110" s="26">
        <f t="shared" si="98"/>
        <v>0.50577049690130493</v>
      </c>
      <c r="BP110" s="26">
        <f t="shared" si="98"/>
        <v>1.575575572704736</v>
      </c>
      <c r="BQ110" s="26">
        <f t="shared" si="98"/>
        <v>1.8771074468209135</v>
      </c>
      <c r="BR110" s="26">
        <f t="shared" si="98"/>
        <v>0.24098678990273145</v>
      </c>
      <c r="BS110" s="26">
        <f t="shared" si="98"/>
        <v>1.3836239312873484</v>
      </c>
      <c r="BT110" s="26">
        <f t="shared" si="98"/>
        <v>2.5743143185121968</v>
      </c>
      <c r="BU110" s="26">
        <f t="shared" si="98"/>
        <v>1.1826689818976521</v>
      </c>
      <c r="BV110" s="59">
        <f t="shared" si="98"/>
        <v>4.4920130621412078</v>
      </c>
      <c r="BW110" s="26">
        <f t="shared" si="98"/>
        <v>9.3260247275448016</v>
      </c>
    </row>
    <row r="111" spans="7:75" x14ac:dyDescent="0.2">
      <c r="I111" s="5"/>
      <c r="J111" s="5"/>
      <c r="K111" s="5"/>
      <c r="L111" s="5"/>
      <c r="M111" s="5"/>
      <c r="N111" s="5"/>
      <c r="W111" s="5"/>
      <c r="X111" s="5"/>
      <c r="Y111" s="5"/>
      <c r="Z111" s="5"/>
      <c r="AA111" s="5"/>
      <c r="AB111" s="5"/>
      <c r="AC111" s="5"/>
      <c r="BK111" s="23">
        <f>BK110-2</f>
        <v>38</v>
      </c>
      <c r="BL111" s="26">
        <f t="shared" si="97"/>
        <v>9.9702509132179595E-3</v>
      </c>
      <c r="BM111" s="26">
        <f t="shared" si="98"/>
        <v>1.8401215815330607E-2</v>
      </c>
      <c r="BN111" s="26">
        <f t="shared" si="98"/>
        <v>0.10776200912247105</v>
      </c>
      <c r="BO111" s="26">
        <f t="shared" si="98"/>
        <v>0.65952733679403708</v>
      </c>
      <c r="BP111" s="26">
        <f t="shared" si="98"/>
        <v>1.9376894714572179</v>
      </c>
      <c r="BQ111" s="26">
        <f t="shared" si="98"/>
        <v>2.1617294162016423</v>
      </c>
      <c r="BR111" s="26">
        <f t="shared" si="98"/>
        <v>0.35563888969177293</v>
      </c>
      <c r="BS111" s="26">
        <f t="shared" si="98"/>
        <v>1.976123745459178</v>
      </c>
      <c r="BT111" s="59">
        <f t="shared" si="98"/>
        <v>3.5163446543045929</v>
      </c>
      <c r="BU111" s="26">
        <f t="shared" si="98"/>
        <v>1.9984432678654955</v>
      </c>
      <c r="BV111" s="26">
        <f t="shared" si="98"/>
        <v>7.3025943709077081</v>
      </c>
      <c r="BW111" s="26">
        <f t="shared" si="98"/>
        <v>17.527044346547179</v>
      </c>
    </row>
    <row r="112" spans="7:75" x14ac:dyDescent="0.2">
      <c r="I112" s="5"/>
      <c r="J112" s="5"/>
      <c r="K112" s="5"/>
      <c r="L112" s="5"/>
      <c r="M112" s="5"/>
      <c r="N112" s="5"/>
      <c r="W112" s="5"/>
      <c r="X112" s="5"/>
      <c r="Y112" s="5"/>
      <c r="Z112" s="5"/>
      <c r="AA112" s="5"/>
      <c r="AB112" s="5"/>
      <c r="AC112" s="5"/>
      <c r="BK112" s="23">
        <f>BK111-2</f>
        <v>36</v>
      </c>
      <c r="BL112" s="26">
        <f t="shared" si="97"/>
        <v>1.2626062636129089E-2</v>
      </c>
      <c r="BM112" s="26">
        <f t="shared" si="98"/>
        <v>2.3410512902865166E-2</v>
      </c>
      <c r="BN112" s="26">
        <f t="shared" si="98"/>
        <v>0.13939717392882361</v>
      </c>
      <c r="BO112" s="26">
        <f t="shared" si="98"/>
        <v>0.87246172433293823</v>
      </c>
      <c r="BP112" s="26">
        <f t="shared" si="98"/>
        <v>2.4098383366776059</v>
      </c>
      <c r="BQ112" s="26">
        <f t="shared" si="98"/>
        <v>2.5085876423108422</v>
      </c>
      <c r="BR112" s="26">
        <f t="shared" si="98"/>
        <v>0.53600099122038947</v>
      </c>
      <c r="BS112" s="26">
        <f t="shared" si="98"/>
        <v>2.8772760873930414</v>
      </c>
      <c r="BT112" s="26">
        <f t="shared" si="98"/>
        <v>4.8847833673957783</v>
      </c>
      <c r="BU112" s="59">
        <f t="shared" si="98"/>
        <v>3.4740922675719501</v>
      </c>
      <c r="BV112" s="26">
        <f t="shared" si="98"/>
        <v>12.187822537629238</v>
      </c>
      <c r="BW112" s="26">
        <f t="shared" si="98"/>
        <v>34.083117097338061</v>
      </c>
    </row>
    <row r="113" spans="9:75" x14ac:dyDescent="0.2">
      <c r="I113" s="5"/>
      <c r="J113" s="5"/>
      <c r="K113" s="5"/>
      <c r="L113" s="5"/>
      <c r="M113" s="5"/>
      <c r="N113" s="5"/>
      <c r="W113" s="5"/>
      <c r="X113" s="5"/>
      <c r="Y113" s="5"/>
      <c r="Z113" s="5"/>
      <c r="AA113" s="5"/>
      <c r="AB113" s="5"/>
      <c r="AC113" s="5"/>
      <c r="BK113" s="23">
        <v>34</v>
      </c>
      <c r="BL113" s="26">
        <f t="shared" si="97"/>
        <v>1.6206661957360546E-2</v>
      </c>
      <c r="BM113" s="26">
        <f t="shared" si="98"/>
        <v>3.0196291825528725E-2</v>
      </c>
      <c r="BN113" s="26">
        <f t="shared" si="98"/>
        <v>0.18299260750833601</v>
      </c>
      <c r="BO113" s="26">
        <f t="shared" si="98"/>
        <v>1.1727549574282725</v>
      </c>
      <c r="BP113" s="26">
        <f t="shared" si="98"/>
        <v>3.0346328007587871</v>
      </c>
      <c r="BQ113" s="26">
        <f t="shared" si="98"/>
        <v>2.9359740118571134</v>
      </c>
      <c r="BR113" s="26">
        <f t="shared" si="98"/>
        <v>0.82700416530739995</v>
      </c>
      <c r="BS113" s="59">
        <f t="shared" si="98"/>
        <v>4.2803346795047927</v>
      </c>
      <c r="BT113" s="26">
        <f t="shared" si="98"/>
        <v>6.9145013704952198</v>
      </c>
      <c r="BU113" s="26">
        <f t="shared" si="98"/>
        <v>6.233342271206511</v>
      </c>
      <c r="BV113" s="26">
        <f t="shared" si="98"/>
        <v>20.945617558197547</v>
      </c>
      <c r="BW113" s="26">
        <f t="shared" si="98"/>
        <v>68.84672406281004</v>
      </c>
    </row>
    <row r="114" spans="9:75" x14ac:dyDescent="0.2">
      <c r="I114" s="5"/>
      <c r="J114" s="5"/>
      <c r="K114" s="5"/>
      <c r="L114" s="5"/>
      <c r="M114" s="5"/>
      <c r="N114" s="5"/>
      <c r="W114" s="5"/>
      <c r="X114" s="5"/>
      <c r="Y114" s="5"/>
      <c r="Z114" s="5"/>
      <c r="AA114" s="5"/>
      <c r="AB114" s="5"/>
      <c r="AC114" s="5"/>
      <c r="BK114" s="23">
        <v>32</v>
      </c>
      <c r="BL114" s="26">
        <f t="shared" si="97"/>
        <v>2.1120022140327023E-2</v>
      </c>
      <c r="BM114" s="26">
        <f t="shared" ref="BM114:BW129" si="100">BM49/9.804139432</f>
        <v>3.9554859191688371E-2</v>
      </c>
      <c r="BN114" s="26">
        <f t="shared" si="100"/>
        <v>0.24421918815665578</v>
      </c>
      <c r="BO114" s="26">
        <f t="shared" si="100"/>
        <v>1.6049381999222265</v>
      </c>
      <c r="BP114" s="59">
        <f t="shared" si="100"/>
        <v>3.8752147069809619</v>
      </c>
      <c r="BQ114" s="59">
        <f t="shared" si="100"/>
        <v>3.469112497317123</v>
      </c>
      <c r="BR114" s="26">
        <f t="shared" si="100"/>
        <v>1.3099999149155677</v>
      </c>
      <c r="BS114" s="26">
        <f t="shared" si="100"/>
        <v>6.522805906956795</v>
      </c>
      <c r="BT114" s="26">
        <f t="shared" si="100"/>
        <v>9.9960464801693014</v>
      </c>
      <c r="BU114" s="26">
        <f t="shared" si="100"/>
        <v>11.587677556580489</v>
      </c>
      <c r="BV114" s="26">
        <f t="shared" si="100"/>
        <v>37.19814199288642</v>
      </c>
      <c r="BW114" s="26">
        <f t="shared" si="100"/>
        <v>145.12557799214247</v>
      </c>
    </row>
    <row r="115" spans="9:75" x14ac:dyDescent="0.2">
      <c r="I115" s="5"/>
      <c r="J115" s="5"/>
      <c r="K115" s="5"/>
      <c r="L115" s="5"/>
      <c r="M115" s="5"/>
      <c r="N115" s="5"/>
      <c r="W115" s="5"/>
      <c r="X115" s="5"/>
      <c r="Y115" s="5"/>
      <c r="Z115" s="5"/>
      <c r="AA115" s="5"/>
      <c r="AB115" s="5"/>
      <c r="AC115" s="5"/>
      <c r="BK115" s="23">
        <f t="shared" ref="BK115:BK120" si="101">BK114-2</f>
        <v>30</v>
      </c>
      <c r="BL115" s="26">
        <f t="shared" si="97"/>
        <v>2.7997520172001678E-2</v>
      </c>
      <c r="BM115" s="26">
        <f t="shared" si="100"/>
        <v>5.272486028314452E-2</v>
      </c>
      <c r="BN115" s="26">
        <f t="shared" si="100"/>
        <v>0.33206134270432985</v>
      </c>
      <c r="BO115" s="26">
        <f t="shared" si="100"/>
        <v>2.2413292482696008</v>
      </c>
      <c r="BP115" s="26">
        <f t="shared" si="100"/>
        <v>5.0273711389695581</v>
      </c>
      <c r="BQ115" s="26">
        <f t="shared" si="100"/>
        <v>4.1434580371537324</v>
      </c>
      <c r="BR115" s="26">
        <f t="shared" si="100"/>
        <v>2.1376248402202145</v>
      </c>
      <c r="BS115" s="26">
        <f t="shared" si="100"/>
        <v>10.214163158761773</v>
      </c>
      <c r="BT115" s="26">
        <f t="shared" si="100"/>
        <v>14.798903854925289</v>
      </c>
      <c r="BU115" s="26">
        <f t="shared" si="100"/>
        <v>22.421059649145597</v>
      </c>
      <c r="BV115" s="26">
        <f t="shared" si="100"/>
        <v>68.557077338173315</v>
      </c>
      <c r="BW115" s="60">
        <f t="shared" si="100"/>
        <v>321.00585230143025</v>
      </c>
    </row>
    <row r="116" spans="9:75" x14ac:dyDescent="0.2">
      <c r="I116" s="5"/>
      <c r="J116" s="5"/>
      <c r="K116" s="5"/>
      <c r="L116" s="5"/>
      <c r="M116" s="5"/>
      <c r="N116" s="5"/>
      <c r="W116" s="5"/>
      <c r="X116" s="5"/>
      <c r="Y116" s="5"/>
      <c r="Z116" s="5"/>
      <c r="AA116" s="5"/>
      <c r="AB116" s="5"/>
      <c r="AC116" s="5"/>
      <c r="BK116" s="23">
        <f t="shared" si="101"/>
        <v>28</v>
      </c>
      <c r="BL116" s="26">
        <f t="shared" si="97"/>
        <v>3.7843767338056174E-2</v>
      </c>
      <c r="BM116" s="26">
        <f t="shared" si="100"/>
        <v>7.1687859702565332E-2</v>
      </c>
      <c r="BN116" s="26">
        <f t="shared" si="100"/>
        <v>0.46117587505652119</v>
      </c>
      <c r="BO116" s="26">
        <f t="shared" si="100"/>
        <v>3.2030517071939437</v>
      </c>
      <c r="BP116" s="26">
        <f t="shared" si="100"/>
        <v>6.6403096443655825</v>
      </c>
      <c r="BQ116" s="26">
        <f t="shared" si="100"/>
        <v>5.0099328664061273</v>
      </c>
      <c r="BR116" s="59">
        <f t="shared" si="100"/>
        <v>3.6080221232975407</v>
      </c>
      <c r="BS116" s="26">
        <f t="shared" si="100"/>
        <v>16.497332954743172</v>
      </c>
      <c r="BT116" s="26">
        <f t="shared" si="100"/>
        <v>22.510838240611001</v>
      </c>
      <c r="BU116" s="26">
        <f t="shared" si="100"/>
        <v>45.404686777861606</v>
      </c>
      <c r="BV116" s="26">
        <f t="shared" si="100"/>
        <v>131.79832470573305</v>
      </c>
      <c r="BW116" s="26">
        <f t="shared" si="100"/>
        <v>750.02781199158119</v>
      </c>
    </row>
    <row r="117" spans="9:75" x14ac:dyDescent="0.2">
      <c r="I117" s="5"/>
      <c r="J117" s="5"/>
      <c r="K117" s="5"/>
      <c r="L117" s="5"/>
      <c r="M117" s="5"/>
      <c r="N117" s="5"/>
      <c r="W117" s="5"/>
      <c r="X117" s="5"/>
      <c r="Y117" s="5"/>
      <c r="Z117" s="5"/>
      <c r="AA117" s="5"/>
      <c r="AB117" s="5"/>
      <c r="AC117" s="5"/>
      <c r="BK117" s="23">
        <f t="shared" si="101"/>
        <v>26</v>
      </c>
      <c r="BL117" s="26">
        <f t="shared" si="97"/>
        <v>5.2308487235018748E-2</v>
      </c>
      <c r="BM117" s="26">
        <f t="shared" si="100"/>
        <v>9.971677972979609E-2</v>
      </c>
      <c r="BN117" s="26">
        <f t="shared" si="100"/>
        <v>0.6562823426013159</v>
      </c>
      <c r="BO117" s="59">
        <f t="shared" si="100"/>
        <v>4.700220075179419</v>
      </c>
      <c r="BP117" s="26">
        <f t="shared" si="100"/>
        <v>8.9535504755197515</v>
      </c>
      <c r="BQ117" s="26">
        <f t="shared" si="100"/>
        <v>6.1434889250455367</v>
      </c>
      <c r="BR117" s="26">
        <f t="shared" si="100"/>
        <v>6.3308439983014422</v>
      </c>
      <c r="BS117" s="26">
        <f t="shared" si="100"/>
        <v>27.609678843606069</v>
      </c>
      <c r="BT117" s="26">
        <f t="shared" si="100"/>
        <v>35.323131965555916</v>
      </c>
      <c r="BU117" s="26">
        <f t="shared" si="100"/>
        <v>96.886863335623545</v>
      </c>
      <c r="BV117" s="60">
        <f t="shared" si="100"/>
        <v>265.95769497777565</v>
      </c>
      <c r="BW117" s="26">
        <f t="shared" si="100"/>
        <v>1866.2378223743933</v>
      </c>
    </row>
    <row r="118" spans="9:75" x14ac:dyDescent="0.2">
      <c r="I118" s="5"/>
      <c r="J118" s="5"/>
      <c r="K118" s="5"/>
      <c r="L118" s="5"/>
      <c r="M118" s="5"/>
      <c r="N118" s="5"/>
      <c r="W118" s="5"/>
      <c r="X118" s="5"/>
      <c r="Y118" s="5"/>
      <c r="Z118" s="5"/>
      <c r="AA118" s="5"/>
      <c r="AB118" s="5"/>
      <c r="AC118" s="5"/>
      <c r="BK118" s="23">
        <f t="shared" si="101"/>
        <v>24</v>
      </c>
      <c r="BL118" s="26">
        <f t="shared" si="97"/>
        <v>7.42006564896735E-2</v>
      </c>
      <c r="BM118" s="26">
        <f t="shared" si="100"/>
        <v>0.14241917926659334</v>
      </c>
      <c r="BN118" s="26">
        <f t="shared" si="100"/>
        <v>0.96069470603738893</v>
      </c>
      <c r="BO118" s="26">
        <f t="shared" si="100"/>
        <v>7.1123067699474776</v>
      </c>
      <c r="BP118" s="26">
        <f t="shared" si="100"/>
        <v>12.365095595980918</v>
      </c>
      <c r="BQ118" s="26">
        <f t="shared" si="100"/>
        <v>7.6575915156818688</v>
      </c>
      <c r="BR118" s="26">
        <f t="shared" si="100"/>
        <v>11.62009071094791</v>
      </c>
      <c r="BS118" s="26">
        <f t="shared" si="100"/>
        <v>48.152537897058892</v>
      </c>
      <c r="BT118" s="26">
        <f t="shared" si="100"/>
        <v>57.464051582825007</v>
      </c>
      <c r="BU118" s="60">
        <f t="shared" si="100"/>
        <v>219.67939775868757</v>
      </c>
      <c r="BV118" s="26">
        <f t="shared" si="100"/>
        <v>567.71782765632918</v>
      </c>
      <c r="BW118" s="26">
        <f t="shared" si="100"/>
        <v>4995.2859031684893</v>
      </c>
    </row>
    <row r="119" spans="9:75" x14ac:dyDescent="0.2">
      <c r="I119" s="5"/>
      <c r="J119" s="5"/>
      <c r="K119" s="5"/>
      <c r="L119" s="5"/>
      <c r="M119" s="5"/>
      <c r="N119" s="5"/>
      <c r="W119" s="5"/>
      <c r="X119" s="5"/>
      <c r="Y119" s="5"/>
      <c r="Z119" s="5"/>
      <c r="AA119" s="5"/>
      <c r="AB119" s="5"/>
      <c r="AC119" s="5"/>
      <c r="BK119" s="23">
        <f t="shared" si="101"/>
        <v>22</v>
      </c>
      <c r="BL119" s="26">
        <f t="shared" si="97"/>
        <v>0.10850816723591153</v>
      </c>
      <c r="BM119" s="26">
        <f t="shared" si="100"/>
        <v>0.20981953163074324</v>
      </c>
      <c r="BN119" s="26">
        <f t="shared" si="100"/>
        <v>1.4537454036323127</v>
      </c>
      <c r="BO119" s="26">
        <f t="shared" si="100"/>
        <v>11.157439232361988</v>
      </c>
      <c r="BP119" s="26">
        <f t="shared" si="100"/>
        <v>17.563292653624508</v>
      </c>
      <c r="BQ119" s="26">
        <f t="shared" si="100"/>
        <v>9.7296931121637726</v>
      </c>
      <c r="BR119" s="26">
        <f t="shared" si="100"/>
        <v>22.486393980914876</v>
      </c>
      <c r="BS119" s="26">
        <f t="shared" si="100"/>
        <v>88.146990471333822</v>
      </c>
      <c r="BT119" s="26">
        <f t="shared" si="100"/>
        <v>97.528755958660042</v>
      </c>
      <c r="BU119" s="26">
        <f t="shared" si="100"/>
        <v>534.89235556670087</v>
      </c>
      <c r="BV119" s="26">
        <f t="shared" si="100"/>
        <v>1294.5645881805815</v>
      </c>
      <c r="BW119" s="26">
        <f t="shared" si="100"/>
        <v>14567.35818412303</v>
      </c>
    </row>
    <row r="120" spans="9:75" x14ac:dyDescent="0.2">
      <c r="I120" s="5"/>
      <c r="J120" s="5"/>
      <c r="K120" s="5"/>
      <c r="L120" s="5"/>
      <c r="M120" s="5"/>
      <c r="N120" s="5"/>
      <c r="W120" s="5"/>
      <c r="X120" s="5"/>
      <c r="Y120" s="5"/>
      <c r="Z120" s="5"/>
      <c r="AA120" s="5"/>
      <c r="AB120" s="5"/>
      <c r="AC120" s="5"/>
      <c r="BK120" s="23">
        <f t="shared" si="101"/>
        <v>20</v>
      </c>
      <c r="BL120" s="26">
        <f t="shared" si="97"/>
        <v>0.16453540875845848</v>
      </c>
      <c r="BM120" s="26">
        <f t="shared" si="100"/>
        <v>0.32075466947809689</v>
      </c>
      <c r="BN120" s="26">
        <f t="shared" si="100"/>
        <v>2.2884938411922415</v>
      </c>
      <c r="BO120" s="26">
        <f t="shared" si="100"/>
        <v>18.271312931621427</v>
      </c>
      <c r="BP120" s="26">
        <f t="shared" si="100"/>
        <v>25.795890032830233</v>
      </c>
      <c r="BQ120" s="26">
        <f t="shared" si="100"/>
        <v>12.648116643700142</v>
      </c>
      <c r="BR120" s="26">
        <f t="shared" si="100"/>
        <v>46.342068309946661</v>
      </c>
      <c r="BS120" s="60">
        <f t="shared" si="100"/>
        <v>170.93871552474079</v>
      </c>
      <c r="BT120" s="60">
        <f t="shared" si="100"/>
        <v>174.092669117089</v>
      </c>
      <c r="BU120" s="26">
        <f t="shared" si="100"/>
        <v>1417.7645558844933</v>
      </c>
      <c r="BV120" s="26">
        <f t="shared" si="100"/>
        <v>3193.4395907659432</v>
      </c>
      <c r="BW120" s="26">
        <f t="shared" si="100"/>
        <v>47047.222947843424</v>
      </c>
    </row>
    <row r="121" spans="9:75" x14ac:dyDescent="0.2">
      <c r="I121" s="5"/>
      <c r="W121" s="44"/>
      <c r="X121" s="44"/>
      <c r="BK121" s="23">
        <v>19</v>
      </c>
      <c r="BL121" s="26">
        <f t="shared" si="97"/>
        <v>0.20585398317532422</v>
      </c>
      <c r="BM121" s="26">
        <f t="shared" si="100"/>
        <v>0.40306278804407025</v>
      </c>
      <c r="BN121" s="26">
        <f t="shared" si="100"/>
        <v>2.9214786874923231</v>
      </c>
      <c r="BO121" s="26">
        <f t="shared" si="100"/>
        <v>23.825886308813757</v>
      </c>
      <c r="BP121" s="26">
        <f t="shared" si="100"/>
        <v>31.72454904062571</v>
      </c>
      <c r="BQ121" s="26">
        <f t="shared" si="100"/>
        <v>14.565924744767546</v>
      </c>
      <c r="BR121" s="26">
        <f t="shared" si="100"/>
        <v>68.389813924746278</v>
      </c>
      <c r="BS121" s="26">
        <f t="shared" si="100"/>
        <v>244.13863270812294</v>
      </c>
      <c r="BT121" s="26">
        <f t="shared" si="100"/>
        <v>237.79917704738293</v>
      </c>
      <c r="BU121" s="26">
        <f t="shared" si="100"/>
        <v>2395.7016506676932</v>
      </c>
      <c r="BV121" s="26">
        <f t="shared" si="100"/>
        <v>5191.5240799066287</v>
      </c>
      <c r="BW121" s="26">
        <f t="shared" si="100"/>
        <v>88419.10536150074</v>
      </c>
    </row>
    <row r="122" spans="9:75" x14ac:dyDescent="0.2">
      <c r="BK122" s="23">
        <v>18</v>
      </c>
      <c r="BL122" s="26">
        <f t="shared" si="97"/>
        <v>0.26068805169411929</v>
      </c>
      <c r="BM122" s="26">
        <f t="shared" si="100"/>
        <v>0.51278712748475985</v>
      </c>
      <c r="BN122" s="59">
        <f t="shared" si="100"/>
        <v>3.7791228657112881</v>
      </c>
      <c r="BO122" s="26">
        <f t="shared" si="100"/>
        <v>31.518289982936352</v>
      </c>
      <c r="BP122" s="26">
        <f t="shared" si="100"/>
        <v>39.45474010054582</v>
      </c>
      <c r="BQ122" s="26">
        <f t="shared" si="100"/>
        <v>16.903086269583881</v>
      </c>
      <c r="BR122" s="26">
        <f t="shared" si="100"/>
        <v>103.07367702337615</v>
      </c>
      <c r="BS122" s="26">
        <f t="shared" si="100"/>
        <v>355.47078036688987</v>
      </c>
      <c r="BT122" s="26">
        <f t="shared" si="100"/>
        <v>330.34232392421171</v>
      </c>
      <c r="BU122" s="26">
        <f t="shared" si="100"/>
        <v>4164.6859402136188</v>
      </c>
      <c r="BV122" s="26">
        <f t="shared" si="100"/>
        <v>8664.5061976605502</v>
      </c>
      <c r="BW122" s="26">
        <f t="shared" si="100"/>
        <v>171939.92678358051</v>
      </c>
    </row>
    <row r="123" spans="9:75" x14ac:dyDescent="0.2">
      <c r="BK123" s="23">
        <v>17</v>
      </c>
      <c r="BL123" s="26">
        <f t="shared" si="97"/>
        <v>0.33461604396291805</v>
      </c>
      <c r="BM123" s="26">
        <f t="shared" si="100"/>
        <v>0.66142377188196155</v>
      </c>
      <c r="BN123" s="26">
        <f t="shared" si="100"/>
        <v>4.9610155485934806</v>
      </c>
      <c r="BO123" s="26">
        <f t="shared" si="100"/>
        <v>42.366593050728589</v>
      </c>
      <c r="BP123" s="26">
        <f t="shared" si="100"/>
        <v>49.684099813765826</v>
      </c>
      <c r="BQ123" s="26">
        <f t="shared" si="100"/>
        <v>19.78285357491518</v>
      </c>
      <c r="BR123" s="60">
        <f t="shared" si="100"/>
        <v>159.03396006376511</v>
      </c>
      <c r="BS123" s="26">
        <f t="shared" si="100"/>
        <v>528.81053556929214</v>
      </c>
      <c r="BT123" s="26">
        <f t="shared" si="100"/>
        <v>467.60568068431832</v>
      </c>
      <c r="BU123" s="26">
        <f t="shared" si="100"/>
        <v>7472.4304704711903</v>
      </c>
      <c r="BV123" s="26">
        <f t="shared" si="100"/>
        <v>14890.554287815574</v>
      </c>
      <c r="BW123" s="26">
        <f t="shared" si="100"/>
        <v>347312.73729577678</v>
      </c>
    </row>
    <row r="124" spans="9:75" x14ac:dyDescent="0.2">
      <c r="BK124" s="23">
        <v>16</v>
      </c>
      <c r="BL124" s="26">
        <f t="shared" si="97"/>
        <v>0.4360613108114979</v>
      </c>
      <c r="BM124" s="26">
        <f t="shared" si="100"/>
        <v>0.86641513183112018</v>
      </c>
      <c r="BN124" s="26">
        <f t="shared" si="100"/>
        <v>6.6208969105752207</v>
      </c>
      <c r="BO124" s="26">
        <f t="shared" si="100"/>
        <v>57.979514950660544</v>
      </c>
      <c r="BP124" s="26">
        <f t="shared" si="100"/>
        <v>63.446409151470597</v>
      </c>
      <c r="BQ124" s="26">
        <f t="shared" si="100"/>
        <v>23.375188026927621</v>
      </c>
      <c r="BR124" s="26">
        <f t="shared" si="100"/>
        <v>251.91466124572605</v>
      </c>
      <c r="BS124" s="26">
        <f t="shared" si="100"/>
        <v>805.85485560008374</v>
      </c>
      <c r="BT124" s="26">
        <f t="shared" si="100"/>
        <v>676.00075089389804</v>
      </c>
      <c r="BU124" s="26">
        <f t="shared" si="100"/>
        <v>13891.121502466049</v>
      </c>
      <c r="BV124" s="26">
        <f t="shared" si="100"/>
        <v>26444.718147456413</v>
      </c>
      <c r="BW124" s="26">
        <f t="shared" si="100"/>
        <v>732118.52023777273</v>
      </c>
    </row>
    <row r="125" spans="9:75" x14ac:dyDescent="0.2">
      <c r="BK125" s="23">
        <v>15</v>
      </c>
      <c r="BL125" s="26">
        <f t="shared" si="97"/>
        <v>0.57805977969895039</v>
      </c>
      <c r="BM125" s="26">
        <f t="shared" si="100"/>
        <v>1.1548926656929415</v>
      </c>
      <c r="BN125" s="26">
        <f t="shared" si="100"/>
        <v>9.002338983381966</v>
      </c>
      <c r="BO125" s="26">
        <f t="shared" si="100"/>
        <v>80.969586658039006</v>
      </c>
      <c r="BP125" s="26">
        <f t="shared" si="100"/>
        <v>82.309928702725813</v>
      </c>
      <c r="BQ125" s="26">
        <f t="shared" si="100"/>
        <v>27.918988149002399</v>
      </c>
      <c r="BR125" s="26">
        <f t="shared" si="100"/>
        <v>411.06799425191662</v>
      </c>
      <c r="BS125" s="26">
        <f t="shared" si="100"/>
        <v>1261.9006444145239</v>
      </c>
      <c r="BT125" s="26">
        <f t="shared" si="100"/>
        <v>1000.8026811582655</v>
      </c>
      <c r="BU125" s="26">
        <f t="shared" si="100"/>
        <v>26878.005733206552</v>
      </c>
      <c r="BV125" s="26">
        <f t="shared" si="100"/>
        <v>48738.256538943919</v>
      </c>
      <c r="BW125" s="26">
        <f t="shared" si="100"/>
        <v>1619386.0022890803</v>
      </c>
    </row>
    <row r="126" spans="9:75" x14ac:dyDescent="0.2">
      <c r="BK126" s="23">
        <v>14</v>
      </c>
      <c r="BL126" s="26">
        <f t="shared" si="97"/>
        <v>0.78135347973752589</v>
      </c>
      <c r="BM126" s="26">
        <f t="shared" si="100"/>
        <v>1.5702608398601092</v>
      </c>
      <c r="BN126" s="26">
        <f t="shared" si="100"/>
        <v>12.50269460577737</v>
      </c>
      <c r="BO126" s="26">
        <f t="shared" si="100"/>
        <v>115.71248310619652</v>
      </c>
      <c r="BP126" s="26">
        <f t="shared" si="100"/>
        <v>108.71753810954579</v>
      </c>
      <c r="BQ126" s="26">
        <f t="shared" si="100"/>
        <v>33.757372482182262</v>
      </c>
      <c r="BR126" s="26">
        <f t="shared" si="100"/>
        <v>693.82727480266033</v>
      </c>
      <c r="BS126" s="26">
        <f t="shared" si="100"/>
        <v>2038.1498477291932</v>
      </c>
      <c r="BT126" s="26">
        <f t="shared" si="100"/>
        <v>1522.3362140315287</v>
      </c>
      <c r="BU126" s="26">
        <f t="shared" si="100"/>
        <v>54430.408313744418</v>
      </c>
      <c r="BV126" s="26">
        <f t="shared" si="100"/>
        <v>93697.409666767126</v>
      </c>
      <c r="BW126" s="26">
        <f t="shared" si="100"/>
        <v>3783683.4791602357</v>
      </c>
    </row>
    <row r="127" spans="9:75" x14ac:dyDescent="0.2">
      <c r="BK127" s="23">
        <v>13</v>
      </c>
      <c r="BL127" s="26">
        <f t="shared" si="97"/>
        <v>1.0800039582683691</v>
      </c>
      <c r="BM127" s="26">
        <f t="shared" si="100"/>
        <v>2.1842101987186506</v>
      </c>
      <c r="BN127" s="26">
        <f t="shared" si="100"/>
        <v>17.792122590330152</v>
      </c>
      <c r="BO127" s="60">
        <f t="shared" si="100"/>
        <v>169.79873750494914</v>
      </c>
      <c r="BP127" s="26">
        <f t="shared" si="100"/>
        <v>146.59074910219189</v>
      </c>
      <c r="BQ127" s="26">
        <f t="shared" si="100"/>
        <v>41.39537385292217</v>
      </c>
      <c r="BR127" s="26">
        <f t="shared" si="100"/>
        <v>1217.4294082564397</v>
      </c>
      <c r="BS127" s="26">
        <f t="shared" si="100"/>
        <v>3411.0157614760697</v>
      </c>
      <c r="BT127" s="26">
        <f t="shared" si="100"/>
        <v>2388.7907864385606</v>
      </c>
      <c r="BU127" s="26">
        <f t="shared" si="100"/>
        <v>116146.41363779292</v>
      </c>
      <c r="BV127" s="26">
        <f t="shared" si="100"/>
        <v>189073.32210784749</v>
      </c>
      <c r="BW127" s="26">
        <f t="shared" si="100"/>
        <v>9414655.1685222406</v>
      </c>
    </row>
    <row r="128" spans="9:75" x14ac:dyDescent="0.2">
      <c r="BK128" s="23">
        <v>12</v>
      </c>
      <c r="BL128" s="26">
        <f t="shared" si="97"/>
        <v>1.532007652121695</v>
      </c>
      <c r="BM128" s="26">
        <f t="shared" si="100"/>
        <v>3.1195694916156822</v>
      </c>
      <c r="BN128" s="26">
        <f t="shared" si="100"/>
        <v>26.044884757903784</v>
      </c>
      <c r="BO128" s="26">
        <f t="shared" si="100"/>
        <v>256.93705634387447</v>
      </c>
      <c r="BP128" s="60">
        <f t="shared" si="100"/>
        <v>202.4457929947433</v>
      </c>
      <c r="BQ128" s="26">
        <f t="shared" si="100"/>
        <v>51.597531544710371</v>
      </c>
      <c r="BR128" s="26">
        <f t="shared" si="100"/>
        <v>2234.5583245947842</v>
      </c>
      <c r="BS128" s="26">
        <f t="shared" si="100"/>
        <v>5948.9669058566014</v>
      </c>
      <c r="BT128" s="26">
        <f t="shared" si="100"/>
        <v>3886.1105834651294</v>
      </c>
      <c r="BU128" s="26">
        <f t="shared" si="100"/>
        <v>263348.12916170014</v>
      </c>
      <c r="BV128" s="26">
        <f t="shared" si="100"/>
        <v>403599.13520758302</v>
      </c>
      <c r="BW128" s="26">
        <f t="shared" si="100"/>
        <v>25199839.850355819</v>
      </c>
    </row>
    <row r="129" spans="63:75" x14ac:dyDescent="0.2">
      <c r="BK129" s="23">
        <v>11</v>
      </c>
      <c r="BL129" s="26">
        <f t="shared" si="97"/>
        <v>2.2403486759750209</v>
      </c>
      <c r="BM129" s="59">
        <f t="shared" si="100"/>
        <v>4.5959161749915598</v>
      </c>
      <c r="BN129" s="26">
        <f t="shared" si="100"/>
        <v>39.41172077559289</v>
      </c>
      <c r="BO129" s="26">
        <f t="shared" si="100"/>
        <v>403.07029567566281</v>
      </c>
      <c r="BP129" s="26">
        <f t="shared" si="100"/>
        <v>287.55254508646556</v>
      </c>
      <c r="BQ129" s="26">
        <f t="shared" si="100"/>
        <v>65.559536082216624</v>
      </c>
      <c r="BR129" s="26">
        <f t="shared" si="100"/>
        <v>4324.162358976323</v>
      </c>
      <c r="BS129" s="26">
        <f t="shared" si="100"/>
        <v>10890.049664378143</v>
      </c>
      <c r="BT129" s="26">
        <f t="shared" si="100"/>
        <v>6595.5587934286086</v>
      </c>
      <c r="BU129" s="26">
        <f t="shared" si="100"/>
        <v>641220.35374532477</v>
      </c>
      <c r="BV129" s="26">
        <f t="shared" si="100"/>
        <v>920325.42014222674</v>
      </c>
      <c r="BW129" s="26">
        <f t="shared" si="100"/>
        <v>73488304.853546739</v>
      </c>
    </row>
    <row r="130" spans="63:75" x14ac:dyDescent="0.2">
      <c r="BK130" s="23">
        <v>10</v>
      </c>
      <c r="BL130" s="59">
        <f t="shared" si="97"/>
        <v>3.3971330873333958</v>
      </c>
      <c r="BM130" s="26">
        <f t="shared" ref="BM130:BW139" si="102">BM65/9.804139432</f>
        <v>7.0258548486934949</v>
      </c>
      <c r="BN130" s="26">
        <f t="shared" si="102"/>
        <v>62.042143033007136</v>
      </c>
      <c r="BO130" s="26">
        <f t="shared" si="102"/>
        <v>660.06395843682787</v>
      </c>
      <c r="BP130" s="26">
        <f t="shared" si="102"/>
        <v>422.33959075892005</v>
      </c>
      <c r="BQ130" s="26">
        <f t="shared" si="102"/>
        <v>85.224132962436116</v>
      </c>
      <c r="BR130" s="26">
        <f t="shared" si="102"/>
        <v>8911.6390824184909</v>
      </c>
      <c r="BS130" s="26">
        <f t="shared" si="102"/>
        <v>21118.487332075398</v>
      </c>
      <c r="BT130" s="26">
        <f t="shared" si="102"/>
        <v>11773.332115026513</v>
      </c>
      <c r="BU130" s="26">
        <f t="shared" si="102"/>
        <v>1699593.3491864458</v>
      </c>
      <c r="BV130" s="26">
        <f t="shared" si="102"/>
        <v>2270264.1953160809</v>
      </c>
      <c r="BW130" s="26">
        <f t="shared" si="102"/>
        <v>237340265.73686799</v>
      </c>
    </row>
    <row r="131" spans="63:75" x14ac:dyDescent="0.2">
      <c r="BK131" s="23">
        <v>9</v>
      </c>
      <c r="BL131" s="26">
        <f t="shared" si="97"/>
        <v>5.3823794681340731</v>
      </c>
      <c r="BM131" s="26">
        <f t="shared" si="102"/>
        <v>11.232160491532399</v>
      </c>
      <c r="BN131" s="26">
        <f t="shared" si="102"/>
        <v>102.4537960965707</v>
      </c>
      <c r="BO131" s="26">
        <f t="shared" si="102"/>
        <v>1138.6202692249879</v>
      </c>
      <c r="BP131" s="26">
        <f t="shared" si="102"/>
        <v>645.96719734643193</v>
      </c>
      <c r="BQ131" s="26">
        <f t="shared" si="102"/>
        <v>113.89449609733531</v>
      </c>
      <c r="BR131" s="26">
        <f t="shared" si="102"/>
        <v>19821.200089443348</v>
      </c>
      <c r="BS131" s="26">
        <f t="shared" si="102"/>
        <v>43916.354168547747</v>
      </c>
      <c r="BT131" s="26">
        <f t="shared" si="102"/>
        <v>22339.998065017036</v>
      </c>
      <c r="BU131" s="26">
        <f t="shared" si="102"/>
        <v>4992558.5288888179</v>
      </c>
      <c r="BV131" s="26">
        <f t="shared" si="102"/>
        <v>6159727.6640279563</v>
      </c>
      <c r="BW131" s="26">
        <f t="shared" si="102"/>
        <v>867389515.39887571</v>
      </c>
    </row>
    <row r="132" spans="63:75" x14ac:dyDescent="0.2">
      <c r="BK132" s="23">
        <v>8</v>
      </c>
      <c r="BL132" s="26">
        <f t="shared" si="97"/>
        <v>9.0032797088581606</v>
      </c>
      <c r="BM132" s="26">
        <f t="shared" si="102"/>
        <v>18.978077434887549</v>
      </c>
      <c r="BN132" s="60">
        <f t="shared" si="102"/>
        <v>179.49562534924766</v>
      </c>
      <c r="BO132" s="26">
        <f t="shared" si="102"/>
        <v>2094.5505279123959</v>
      </c>
      <c r="BP132" s="26">
        <f t="shared" si="102"/>
        <v>1038.7674331861451</v>
      </c>
      <c r="BQ132" s="60">
        <f t="shared" si="102"/>
        <v>157.50409239157969</v>
      </c>
      <c r="BR132" s="26">
        <f t="shared" si="102"/>
        <v>48443.511963616518</v>
      </c>
      <c r="BS132" s="26">
        <f t="shared" si="102"/>
        <v>99558.695683650789</v>
      </c>
      <c r="BT132" s="26">
        <f t="shared" si="102"/>
        <v>45715.775343350921</v>
      </c>
      <c r="BU132" s="26">
        <f t="shared" si="102"/>
        <v>16652453.060940817</v>
      </c>
      <c r="BV132" s="26">
        <f t="shared" si="102"/>
        <v>18799947.535878085</v>
      </c>
      <c r="BW132" s="26">
        <f t="shared" si="102"/>
        <v>3693336041.0400267</v>
      </c>
    </row>
    <row r="133" spans="63:75" x14ac:dyDescent="0.2">
      <c r="BK133" s="23">
        <v>7</v>
      </c>
      <c r="BL133" s="26">
        <f t="shared" si="97"/>
        <v>16.1324652179647</v>
      </c>
      <c r="BM133" s="26">
        <f t="shared" si="102"/>
        <v>34.395211622002648</v>
      </c>
      <c r="BN133" s="26">
        <f t="shared" si="102"/>
        <v>338.95392378488145</v>
      </c>
      <c r="BO133" s="26">
        <f t="shared" si="102"/>
        <v>4180.1943804184311</v>
      </c>
      <c r="BP133" s="26">
        <f t="shared" si="102"/>
        <v>1779.96264114424</v>
      </c>
      <c r="BQ133" s="26">
        <f t="shared" si="102"/>
        <v>227.46017307777993</v>
      </c>
      <c r="BR133" s="26">
        <f t="shared" si="102"/>
        <v>133423.87347118452</v>
      </c>
      <c r="BS133" s="26">
        <f t="shared" si="102"/>
        <v>251801.59806401804</v>
      </c>
      <c r="BT133" s="26">
        <f t="shared" si="102"/>
        <v>102950.74416069087</v>
      </c>
      <c r="BU133" s="26">
        <f t="shared" si="102"/>
        <v>65250298.139827035</v>
      </c>
      <c r="BV133" s="26">
        <f t="shared" si="102"/>
        <v>66610896.594196767</v>
      </c>
      <c r="BW133" s="26">
        <f t="shared" si="102"/>
        <v>19087639740.259132</v>
      </c>
    </row>
    <row r="134" spans="63:75" x14ac:dyDescent="0.2">
      <c r="BK134" s="23">
        <v>6</v>
      </c>
      <c r="BL134" s="26">
        <f t="shared" si="97"/>
        <v>31.631087340663527</v>
      </c>
      <c r="BM134" s="26">
        <f t="shared" si="102"/>
        <v>68.331483604484319</v>
      </c>
      <c r="BN134" s="26">
        <f t="shared" si="102"/>
        <v>706.08906012446437</v>
      </c>
      <c r="BO134" s="26">
        <f t="shared" si="102"/>
        <v>9282.0308597491476</v>
      </c>
      <c r="BP134" s="26">
        <f t="shared" si="102"/>
        <v>3314.515345485222</v>
      </c>
      <c r="BQ134" s="26">
        <f t="shared" si="102"/>
        <v>347.66874885599316</v>
      </c>
      <c r="BR134" s="26">
        <f t="shared" si="102"/>
        <v>429708.42743176396</v>
      </c>
      <c r="BS134" s="26">
        <f t="shared" si="102"/>
        <v>734960.37369068048</v>
      </c>
      <c r="BT134" s="26">
        <f t="shared" si="102"/>
        <v>262805.26783171383</v>
      </c>
      <c r="BU134" s="26">
        <f t="shared" si="102"/>
        <v>315697502.08960921</v>
      </c>
      <c r="BV134" s="26">
        <f t="shared" si="102"/>
        <v>286924690.40961093</v>
      </c>
      <c r="BW134" s="26">
        <f t="shared" si="102"/>
        <v>127126242780.37531</v>
      </c>
    </row>
    <row r="135" spans="63:75" x14ac:dyDescent="0.2">
      <c r="BK135" s="23">
        <v>5</v>
      </c>
      <c r="BL135" s="26">
        <f t="shared" si="97"/>
        <v>70.139997828656334</v>
      </c>
      <c r="BM135" s="60">
        <f t="shared" si="102"/>
        <v>153.89530083920019</v>
      </c>
      <c r="BN135" s="26">
        <f t="shared" si="102"/>
        <v>1681.9916413333142</v>
      </c>
      <c r="BO135" s="26">
        <f t="shared" si="102"/>
        <v>23845.272140967616</v>
      </c>
      <c r="BP135" s="26">
        <f t="shared" si="102"/>
        <v>6914.695701346277</v>
      </c>
      <c r="BQ135" s="26">
        <f t="shared" si="102"/>
        <v>574.24777489039593</v>
      </c>
      <c r="BR135" s="26">
        <f t="shared" si="102"/>
        <v>1713719.6079408326</v>
      </c>
      <c r="BS135" s="26">
        <f t="shared" si="102"/>
        <v>2609066.6811549705</v>
      </c>
      <c r="BT135" s="26">
        <f t="shared" si="102"/>
        <v>796192.91147457494</v>
      </c>
      <c r="BU135" s="26">
        <f t="shared" si="102"/>
        <v>2037445174.2424212</v>
      </c>
      <c r="BV135" s="26">
        <f t="shared" si="102"/>
        <v>1613964933.4334164</v>
      </c>
      <c r="BW135" s="26">
        <f t="shared" si="102"/>
        <v>1197316190213.7139</v>
      </c>
    </row>
    <row r="136" spans="63:75" x14ac:dyDescent="0.2">
      <c r="BK136" s="23">
        <v>4</v>
      </c>
      <c r="BL136" s="60">
        <f t="shared" si="97"/>
        <v>185.88910207394571</v>
      </c>
      <c r="BM136" s="26">
        <f t="shared" si="102"/>
        <v>415.69844511301898</v>
      </c>
      <c r="BN136" s="26">
        <f t="shared" si="102"/>
        <v>4866.2107195863709</v>
      </c>
      <c r="BO136" s="26">
        <f t="shared" si="102"/>
        <v>75667.102729497725</v>
      </c>
      <c r="BP136" s="26">
        <f t="shared" si="102"/>
        <v>17007.074075257115</v>
      </c>
      <c r="BQ136" s="26">
        <f t="shared" si="102"/>
        <v>1061.2765592096039</v>
      </c>
      <c r="BR136" s="26">
        <f t="shared" si="102"/>
        <v>9315749.3881625663</v>
      </c>
      <c r="BS136" s="26">
        <f t="shared" si="102"/>
        <v>12299899.687082998</v>
      </c>
      <c r="BT136" s="26">
        <f t="shared" si="102"/>
        <v>3091612.1209630938</v>
      </c>
      <c r="BU136" s="26">
        <f t="shared" si="102"/>
        <v>19962692925.665302</v>
      </c>
      <c r="BV136" s="26">
        <f t="shared" si="102"/>
        <v>13365165224.336636</v>
      </c>
      <c r="BW136" s="26">
        <f t="shared" si="102"/>
        <v>18631861829714.426</v>
      </c>
    </row>
    <row r="137" spans="63:75" x14ac:dyDescent="0.2">
      <c r="BK137" s="23">
        <v>3</v>
      </c>
      <c r="BL137" s="26">
        <f t="shared" si="97"/>
        <v>653.08138961776388</v>
      </c>
      <c r="BM137" s="26">
        <f t="shared" si="102"/>
        <v>1496.7423114436372</v>
      </c>
      <c r="BN137" s="26">
        <f t="shared" si="102"/>
        <v>19142.406098616051</v>
      </c>
      <c r="BO137" s="26">
        <f t="shared" si="102"/>
        <v>335319.8565722956</v>
      </c>
      <c r="BP137" s="26">
        <f t="shared" si="102"/>
        <v>54266.437513681813</v>
      </c>
      <c r="BQ137" s="26">
        <f t="shared" si="102"/>
        <v>2342.6228990499694</v>
      </c>
      <c r="BR137" s="26">
        <f t="shared" si="102"/>
        <v>82633480.886816114</v>
      </c>
      <c r="BS137" s="26">
        <f t="shared" si="102"/>
        <v>90800093.435343653</v>
      </c>
      <c r="BT137" s="26">
        <f t="shared" si="102"/>
        <v>17772682.304504592</v>
      </c>
      <c r="BU137" s="26">
        <f t="shared" si="102"/>
        <v>378453088475.98926</v>
      </c>
      <c r="BV137" s="26">
        <f t="shared" si="102"/>
        <v>203979074247.29367</v>
      </c>
      <c r="BW137" s="26">
        <f t="shared" si="102"/>
        <v>641316837703101.88</v>
      </c>
    </row>
    <row r="138" spans="63:75" x14ac:dyDescent="0.2">
      <c r="BK138" s="23">
        <v>2</v>
      </c>
      <c r="BL138" s="26">
        <f t="shared" si="97"/>
        <v>3838.0189650067268</v>
      </c>
      <c r="BM138" s="26">
        <f t="shared" si="102"/>
        <v>9105.5165025153037</v>
      </c>
      <c r="BN138" s="26">
        <f t="shared" si="102"/>
        <v>131925.2584643375</v>
      </c>
      <c r="BO138" s="26">
        <f t="shared" si="102"/>
        <v>2733527.0069530876</v>
      </c>
      <c r="BP138" s="26">
        <f t="shared" si="102"/>
        <v>278445.93444185483</v>
      </c>
      <c r="BQ138" s="26">
        <f t="shared" si="102"/>
        <v>7150.9756859370927</v>
      </c>
      <c r="BR138" s="26">
        <f t="shared" si="102"/>
        <v>1791430537.2457244</v>
      </c>
      <c r="BS138" s="26">
        <f t="shared" si="102"/>
        <v>1519581300.9947701</v>
      </c>
      <c r="BT138" s="26">
        <f t="shared" si="102"/>
        <v>209075870.08422244</v>
      </c>
      <c r="BU138" s="26">
        <f t="shared" si="102"/>
        <v>23930955240410.438</v>
      </c>
      <c r="BV138" s="26">
        <f t="shared" si="102"/>
        <v>9501496806463.0234</v>
      </c>
      <c r="BW138" s="26">
        <f t="shared" si="102"/>
        <v>9.399260489273464E+16</v>
      </c>
    </row>
    <row r="139" spans="63:75" x14ac:dyDescent="0.2">
      <c r="BK139" s="23">
        <v>1</v>
      </c>
      <c r="BL139" s="26">
        <f t="shared" si="97"/>
        <v>79242.889504579784</v>
      </c>
      <c r="BM139" s="26">
        <f t="shared" si="102"/>
        <v>199448.49867080199</v>
      </c>
      <c r="BN139" s="26">
        <f t="shared" si="102"/>
        <v>3576555.7276076055</v>
      </c>
      <c r="BO139" s="26">
        <f t="shared" si="102"/>
        <v>98750574.928898275</v>
      </c>
      <c r="BP139" s="26">
        <f t="shared" si="102"/>
        <v>4558816.999568182</v>
      </c>
      <c r="BQ139" s="26">
        <f t="shared" si="102"/>
        <v>48183.909101834717</v>
      </c>
      <c r="BR139" s="26">
        <f t="shared" si="102"/>
        <v>344494386447.7959</v>
      </c>
      <c r="BS139" s="26">
        <f t="shared" si="102"/>
        <v>187735460375.98477</v>
      </c>
      <c r="BT139" s="26">
        <f t="shared" si="102"/>
        <v>14139134451.917385</v>
      </c>
      <c r="BU139" s="26">
        <f t="shared" si="102"/>
        <v>2.8688044285960852E+16</v>
      </c>
      <c r="BV139" s="26">
        <f t="shared" si="102"/>
        <v>6754756865918749</v>
      </c>
      <c r="BW139" s="26">
        <f t="shared" si="102"/>
        <v>4.741667716981491E+20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121"/>
  <sheetViews>
    <sheetView topLeftCell="A13" zoomScale="75" workbookViewId="0">
      <selection activeCell="E9" sqref="E9"/>
    </sheetView>
  </sheetViews>
  <sheetFormatPr defaultColWidth="8.7109375" defaultRowHeight="15" x14ac:dyDescent="0.2"/>
  <cols>
    <col min="1" max="1" width="17.42578125" style="1" customWidth="1"/>
    <col min="2" max="2" width="16.28515625" style="1" customWidth="1"/>
    <col min="3" max="4" width="14.28515625" style="1" customWidth="1"/>
    <col min="5" max="5" width="13.85546875" style="1" customWidth="1"/>
    <col min="6" max="7" width="8.7109375" style="1" customWidth="1"/>
    <col min="8" max="8" width="12.140625" style="1" customWidth="1"/>
    <col min="9" max="9" width="12.5703125" style="1" customWidth="1"/>
    <col min="10" max="10" width="10.28515625" style="1" customWidth="1"/>
    <col min="11" max="11" width="11.140625" style="1" customWidth="1"/>
    <col min="12" max="12" width="12" style="1" customWidth="1"/>
    <col min="13" max="13" width="11.5703125" style="1" customWidth="1"/>
    <col min="14" max="14" width="14.42578125" style="1" customWidth="1"/>
    <col min="15" max="15" width="14.7109375" style="1" bestFit="1" customWidth="1"/>
    <col min="16" max="16" width="10.28515625" style="1" bestFit="1" customWidth="1"/>
    <col min="17" max="17" width="11" style="1" customWidth="1"/>
    <col min="18" max="18" width="11.7109375" style="1" customWidth="1"/>
    <col min="19" max="19" width="10.85546875" style="1" customWidth="1"/>
    <col min="20" max="22" width="9.28515625" style="1" bestFit="1" customWidth="1"/>
    <col min="23" max="24" width="12.42578125" style="1" customWidth="1"/>
    <col min="25" max="25" width="9.28515625" style="1" bestFit="1" customWidth="1"/>
    <col min="26" max="26" width="11" style="1" customWidth="1"/>
    <col min="27" max="28" width="12" style="1" customWidth="1"/>
    <col min="29" max="29" width="13.5703125" style="1" customWidth="1"/>
    <col min="30" max="30" width="11.42578125" style="1" customWidth="1"/>
    <col min="31" max="31" width="10.7109375" style="1" customWidth="1"/>
    <col min="32" max="32" width="9.28515625" style="1" bestFit="1" customWidth="1"/>
    <col min="33" max="33" width="11.140625" style="1" customWidth="1"/>
    <col min="34" max="34" width="11" style="1" customWidth="1"/>
    <col min="35" max="35" width="12.28515625" style="1" customWidth="1"/>
    <col min="36" max="36" width="9.42578125" style="1" customWidth="1"/>
    <col min="37" max="37" width="12.42578125" style="1" customWidth="1"/>
    <col min="38" max="39" width="13.7109375" style="1" customWidth="1"/>
    <col min="40" max="40" width="13.28515625" style="1" customWidth="1"/>
    <col min="41" max="42" width="8.7109375" style="1" customWidth="1"/>
    <col min="43" max="43" width="10.28515625" style="1" customWidth="1"/>
    <col min="44" max="44" width="11.85546875" style="1" customWidth="1"/>
    <col min="45" max="45" width="13.140625" style="1" customWidth="1"/>
    <col min="46" max="48" width="8.7109375" style="1" customWidth="1"/>
    <col min="49" max="49" width="13.5703125" style="1" customWidth="1"/>
    <col min="50" max="50" width="11.85546875" style="1" customWidth="1"/>
    <col min="51" max="51" width="13.28515625" style="1" customWidth="1"/>
    <col min="52" max="52" width="13.7109375" style="1" customWidth="1"/>
    <col min="53" max="53" width="14" style="1" customWidth="1"/>
    <col min="54" max="54" width="10.85546875" style="1" customWidth="1"/>
    <col min="55" max="55" width="11.7109375" style="1" customWidth="1"/>
    <col min="56" max="56" width="15" style="1" customWidth="1"/>
    <col min="57" max="57" width="18.7109375" style="1" customWidth="1"/>
    <col min="58" max="58" width="17.42578125" style="1" customWidth="1"/>
    <col min="59" max="59" width="15.28515625" style="1" customWidth="1"/>
    <col min="60" max="60" width="15" style="1" customWidth="1"/>
    <col min="61" max="61" width="15.28515625" style="1" customWidth="1"/>
    <col min="62" max="63" width="11.42578125" style="1" customWidth="1"/>
    <col min="64" max="64" width="12" style="1" customWidth="1"/>
    <col min="65" max="65" width="12.7109375" style="1" customWidth="1"/>
    <col min="66" max="67" width="8.7109375" style="1" customWidth="1"/>
    <col min="68" max="68" width="16.28515625" style="1" customWidth="1"/>
    <col min="69" max="78" width="8.7109375" style="1" customWidth="1"/>
    <col min="79" max="79" width="12.42578125" style="1" customWidth="1"/>
    <col min="80" max="80" width="12.85546875" style="1" customWidth="1"/>
    <col min="81" max="81" width="11.7109375" style="1" customWidth="1"/>
    <col min="82" max="82" width="12.85546875" style="1" customWidth="1"/>
    <col min="83" max="83" width="13.140625" style="1" customWidth="1"/>
    <col min="84" max="16384" width="8.7109375" style="1"/>
  </cols>
  <sheetData>
    <row r="1" spans="1:83" ht="20.25" x14ac:dyDescent="0.3"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83" ht="15.75" x14ac:dyDescent="0.25">
      <c r="C2" s="46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83" ht="15.75" x14ac:dyDescent="0.25">
      <c r="C3" s="4"/>
      <c r="D3" s="46" t="s">
        <v>2</v>
      </c>
      <c r="E3" s="4"/>
      <c r="F3" s="4"/>
      <c r="G3" s="4"/>
      <c r="H3" s="4"/>
      <c r="I3" s="4"/>
      <c r="J3" s="4"/>
      <c r="K3" s="4"/>
      <c r="L3" s="4"/>
      <c r="M3" s="4"/>
    </row>
    <row r="4" spans="1:83" ht="15.75" x14ac:dyDescent="0.25">
      <c r="C4" s="4"/>
      <c r="D4" s="46" t="s">
        <v>152</v>
      </c>
      <c r="E4" s="4"/>
      <c r="F4" s="4"/>
      <c r="G4" s="4"/>
      <c r="H4" s="4"/>
      <c r="I4" s="4"/>
      <c r="J4" s="4"/>
      <c r="K4" s="4"/>
      <c r="L4" s="4"/>
      <c r="M4" s="4"/>
      <c r="BF4" s="1" t="s">
        <v>3</v>
      </c>
      <c r="BG4" s="5">
        <v>0.53391248858368001</v>
      </c>
      <c r="BH4" s="5">
        <v>0.48212498731520004</v>
      </c>
      <c r="BI4" s="5">
        <v>0.43033748604671995</v>
      </c>
      <c r="BJ4" s="5">
        <v>0.37854998477824009</v>
      </c>
    </row>
    <row r="5" spans="1:83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BF5" s="1">
        <v>33</v>
      </c>
      <c r="BG5" s="5">
        <v>0.33154577257650691</v>
      </c>
      <c r="BH5" s="5">
        <v>0.32087754731520002</v>
      </c>
      <c r="BI5" s="5">
        <v>0.31020932205389312</v>
      </c>
      <c r="BJ5" s="5">
        <v>0.29954109679258628</v>
      </c>
    </row>
    <row r="7" spans="1:83" ht="15.75" x14ac:dyDescent="0.25">
      <c r="D7" s="7" t="s">
        <v>4</v>
      </c>
      <c r="E7" s="8"/>
      <c r="F7" s="8"/>
      <c r="G7" s="8"/>
      <c r="H7" s="8"/>
      <c r="I7" s="8"/>
      <c r="J7" s="8"/>
      <c r="K7" s="8"/>
      <c r="L7" s="8"/>
      <c r="M7" s="8"/>
      <c r="Z7" s="9"/>
    </row>
    <row r="9" spans="1:83" ht="15.75" x14ac:dyDescent="0.25">
      <c r="F9" s="10"/>
    </row>
    <row r="10" spans="1:83" ht="18" x14ac:dyDescent="0.25">
      <c r="F10" s="11" t="s">
        <v>5</v>
      </c>
      <c r="G10" s="5"/>
      <c r="H10" s="5"/>
      <c r="I10" s="5"/>
      <c r="J10" s="5"/>
      <c r="W10" s="10"/>
      <c r="X10" s="10"/>
      <c r="BE10" s="45" t="s">
        <v>6</v>
      </c>
      <c r="BF10" s="14"/>
      <c r="BG10" s="14"/>
      <c r="BH10" s="14"/>
      <c r="BJ10" s="45" t="s">
        <v>118</v>
      </c>
      <c r="BK10" s="14"/>
      <c r="BL10" s="13"/>
      <c r="BM10" s="14"/>
      <c r="CA10" s="14"/>
      <c r="CB10" s="45" t="s">
        <v>7</v>
      </c>
      <c r="CC10" s="14"/>
      <c r="CD10" s="14"/>
      <c r="CE10" s="14"/>
    </row>
    <row r="11" spans="1:83" ht="15.75" x14ac:dyDescent="0.25">
      <c r="F11" s="5"/>
      <c r="G11" s="5"/>
      <c r="H11" s="5"/>
      <c r="I11" s="5"/>
      <c r="J11" s="5"/>
      <c r="BD11" s="15" t="s">
        <v>8</v>
      </c>
      <c r="BJ11" s="14"/>
      <c r="BK11" s="14"/>
      <c r="BL11" s="14"/>
      <c r="BM11" s="14"/>
      <c r="CA11" s="1" t="s">
        <v>8</v>
      </c>
    </row>
    <row r="12" spans="1:83" x14ac:dyDescent="0.2">
      <c r="BD12" s="1" t="s">
        <v>9</v>
      </c>
      <c r="BE12" s="1">
        <v>3</v>
      </c>
      <c r="BF12" s="1">
        <v>5</v>
      </c>
      <c r="BG12" s="1">
        <v>8</v>
      </c>
      <c r="BH12" s="1">
        <v>11</v>
      </c>
      <c r="BI12" s="1" t="s">
        <v>9</v>
      </c>
      <c r="BJ12" s="1">
        <v>3</v>
      </c>
      <c r="BK12" s="1">
        <v>5</v>
      </c>
      <c r="BL12" s="1">
        <v>8</v>
      </c>
      <c r="BM12" s="1">
        <v>11</v>
      </c>
      <c r="CA12" s="1" t="s">
        <v>9</v>
      </c>
      <c r="CB12" s="1">
        <v>3</v>
      </c>
      <c r="CC12" s="1">
        <v>5</v>
      </c>
      <c r="CD12" s="1">
        <v>8</v>
      </c>
      <c r="CE12" s="1">
        <v>11</v>
      </c>
    </row>
    <row r="13" spans="1:83" ht="15.75" x14ac:dyDescent="0.25">
      <c r="B13" s="48" t="s">
        <v>71</v>
      </c>
      <c r="C13" s="49"/>
      <c r="D13" s="49"/>
      <c r="F13" s="16"/>
      <c r="G13" s="17" t="s">
        <v>10</v>
      </c>
      <c r="H13" s="16"/>
      <c r="I13" s="16"/>
      <c r="J13" s="16"/>
      <c r="K13" s="16"/>
      <c r="L13" s="6"/>
      <c r="M13" s="18"/>
      <c r="N13" s="18"/>
      <c r="O13" s="19" t="s">
        <v>11</v>
      </c>
      <c r="P13" s="18"/>
      <c r="Q13" s="18"/>
      <c r="R13" s="18"/>
      <c r="S13" s="19"/>
      <c r="T13" s="18"/>
      <c r="U13" s="18"/>
      <c r="W13" s="20"/>
      <c r="X13" s="20"/>
      <c r="Y13" s="21" t="s">
        <v>12</v>
      </c>
      <c r="Z13" s="20"/>
      <c r="AA13" s="20"/>
      <c r="AB13" s="20"/>
      <c r="AC13" s="20"/>
      <c r="AD13" s="21" t="s">
        <v>12</v>
      </c>
      <c r="AE13" s="20"/>
      <c r="AF13" s="20"/>
      <c r="AG13" s="20"/>
      <c r="AH13" s="21" t="s">
        <v>12</v>
      </c>
      <c r="AI13" s="20"/>
      <c r="AJ13" s="20"/>
      <c r="AK13" s="20"/>
      <c r="AL13" s="20"/>
      <c r="AM13" s="20"/>
      <c r="AN13" s="14"/>
      <c r="AO13" s="14"/>
      <c r="AP13" s="14"/>
      <c r="AQ13" s="14"/>
      <c r="AR13" s="14"/>
      <c r="AS13" s="14"/>
      <c r="AT13" s="6"/>
      <c r="AU13" s="6"/>
      <c r="AV13" s="8"/>
      <c r="AW13" s="7" t="s">
        <v>134</v>
      </c>
      <c r="AX13" s="8"/>
      <c r="AY13" s="8"/>
      <c r="AZ13" s="8"/>
      <c r="BA13" s="8"/>
      <c r="BB13" s="8"/>
      <c r="BC13" s="6"/>
      <c r="BD13" s="6"/>
      <c r="BE13" s="6"/>
      <c r="BF13" s="6"/>
      <c r="BG13" s="6"/>
      <c r="BH13" s="6"/>
      <c r="BI13" s="6"/>
      <c r="BJ13" s="6"/>
      <c r="BK13" s="6"/>
    </row>
    <row r="14" spans="1:83" ht="15.75" x14ac:dyDescent="0.25">
      <c r="A14" s="10"/>
      <c r="B14" s="10"/>
      <c r="C14" s="10"/>
      <c r="D14" s="10"/>
      <c r="E14" s="10"/>
      <c r="F14" s="10"/>
      <c r="G14" s="10"/>
      <c r="H14" s="10" t="s">
        <v>120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5" t="s">
        <v>150</v>
      </c>
      <c r="T14" s="10"/>
      <c r="U14" s="10"/>
      <c r="V14" s="10"/>
      <c r="W14" s="10"/>
      <c r="X14" s="10"/>
      <c r="Y14" s="10"/>
      <c r="Z14" s="10"/>
      <c r="AA14" s="10"/>
      <c r="AB14" s="10" t="s">
        <v>13</v>
      </c>
      <c r="AC14" s="10" t="s">
        <v>14</v>
      </c>
      <c r="AD14" s="10"/>
      <c r="AE14" s="10"/>
      <c r="AF14" s="10" t="s">
        <v>15</v>
      </c>
      <c r="AG14" s="10" t="s">
        <v>15</v>
      </c>
      <c r="AH14" s="10" t="s">
        <v>16</v>
      </c>
      <c r="AI14" s="10" t="s">
        <v>16</v>
      </c>
      <c r="AJ14" s="10" t="s">
        <v>17</v>
      </c>
      <c r="AK14" s="10" t="s">
        <v>18</v>
      </c>
      <c r="AL14" s="10"/>
      <c r="AM14" s="10" t="s">
        <v>19</v>
      </c>
      <c r="AN14" s="10"/>
      <c r="AO14" s="10" t="s">
        <v>20</v>
      </c>
      <c r="AP14" s="10" t="s">
        <v>20</v>
      </c>
      <c r="AQ14" s="10"/>
      <c r="AR14" s="10"/>
      <c r="BO14" s="14" t="s">
        <v>21</v>
      </c>
      <c r="BP14" s="14"/>
      <c r="BQ14" s="14"/>
      <c r="BR14" s="14"/>
      <c r="BS14" s="14"/>
    </row>
    <row r="15" spans="1:83" ht="15.75" x14ac:dyDescent="0.25">
      <c r="B15" s="10"/>
      <c r="C15" s="10" t="s">
        <v>22</v>
      </c>
      <c r="D15" s="10">
        <v>2149</v>
      </c>
      <c r="E15" s="10"/>
      <c r="F15" s="10" t="s">
        <v>102</v>
      </c>
      <c r="G15" s="10" t="s">
        <v>68</v>
      </c>
      <c r="H15" s="11" t="s">
        <v>132</v>
      </c>
      <c r="I15" s="11" t="s">
        <v>15</v>
      </c>
      <c r="J15" s="11" t="s">
        <v>23</v>
      </c>
      <c r="K15" s="11" t="s">
        <v>24</v>
      </c>
      <c r="L15" s="11"/>
      <c r="M15" s="11" t="s">
        <v>25</v>
      </c>
      <c r="N15" s="11" t="s">
        <v>26</v>
      </c>
      <c r="O15" s="11" t="s">
        <v>27</v>
      </c>
      <c r="P15" s="10" t="s">
        <v>28</v>
      </c>
      <c r="Q15" s="10"/>
      <c r="R15" s="10" t="s">
        <v>29</v>
      </c>
      <c r="S15" s="55" t="s">
        <v>151</v>
      </c>
      <c r="T15" s="10" t="s">
        <v>23</v>
      </c>
      <c r="U15" s="10" t="s">
        <v>31</v>
      </c>
      <c r="V15" s="10"/>
      <c r="W15" s="10" t="s">
        <v>32</v>
      </c>
      <c r="X15" s="10" t="s">
        <v>32</v>
      </c>
      <c r="Y15" s="10" t="s">
        <v>32</v>
      </c>
      <c r="Z15" s="10" t="s">
        <v>33</v>
      </c>
      <c r="AA15" s="10" t="s">
        <v>34</v>
      </c>
      <c r="AB15" s="10" t="s">
        <v>34</v>
      </c>
      <c r="AC15" s="10" t="s">
        <v>35</v>
      </c>
      <c r="AD15" s="10" t="s">
        <v>14</v>
      </c>
      <c r="AE15" s="10" t="s">
        <v>36</v>
      </c>
      <c r="AF15" s="10" t="s">
        <v>37</v>
      </c>
      <c r="AG15" s="10" t="s">
        <v>38</v>
      </c>
      <c r="AH15" s="10" t="s">
        <v>39</v>
      </c>
      <c r="AI15" s="10" t="s">
        <v>40</v>
      </c>
      <c r="AJ15" s="10" t="s">
        <v>41</v>
      </c>
      <c r="AK15" s="10" t="s">
        <v>17</v>
      </c>
      <c r="AL15" s="10" t="s">
        <v>42</v>
      </c>
      <c r="AM15" s="10" t="s">
        <v>43</v>
      </c>
      <c r="AN15" s="10" t="s">
        <v>44</v>
      </c>
      <c r="AO15" s="51" t="s">
        <v>45</v>
      </c>
      <c r="AP15" s="51" t="s">
        <v>46</v>
      </c>
      <c r="AQ15" s="10" t="s">
        <v>47</v>
      </c>
      <c r="AR15" s="10" t="s">
        <v>47</v>
      </c>
      <c r="BD15" s="23">
        <v>64</v>
      </c>
      <c r="BE15" s="23"/>
      <c r="BF15" s="23"/>
      <c r="BG15" s="23"/>
      <c r="BH15" s="23"/>
      <c r="BI15" s="23">
        <v>64</v>
      </c>
      <c r="BJ15" s="24"/>
      <c r="BK15" s="24"/>
      <c r="BL15" s="24"/>
      <c r="BM15" s="24"/>
      <c r="BO15" s="1" t="s">
        <v>48</v>
      </c>
      <c r="BP15" s="1">
        <v>4.4005789427145254</v>
      </c>
      <c r="BQ15" s="1">
        <v>4.4670908195427241</v>
      </c>
      <c r="BR15" s="1">
        <v>4.5365549433168368</v>
      </c>
      <c r="BS15" s="1">
        <v>4.6091786931243579</v>
      </c>
      <c r="CA15" s="1">
        <v>64</v>
      </c>
      <c r="CB15" s="23"/>
      <c r="CC15" s="23"/>
      <c r="CD15" s="23"/>
      <c r="CE15" s="23"/>
    </row>
    <row r="16" spans="1:83" ht="18" x14ac:dyDescent="0.25">
      <c r="B16" s="10" t="s">
        <v>49</v>
      </c>
      <c r="C16" s="10" t="s">
        <v>50</v>
      </c>
      <c r="D16" s="10" t="s">
        <v>51</v>
      </c>
      <c r="E16" s="10"/>
      <c r="F16" s="52" t="s">
        <v>131</v>
      </c>
      <c r="G16" s="52" t="s">
        <v>131</v>
      </c>
      <c r="H16" s="52" t="s">
        <v>52</v>
      </c>
      <c r="I16" s="11" t="s">
        <v>53</v>
      </c>
      <c r="J16" s="11" t="s">
        <v>54</v>
      </c>
      <c r="K16" s="11" t="s">
        <v>55</v>
      </c>
      <c r="L16" s="11"/>
      <c r="M16" s="10" t="s">
        <v>56</v>
      </c>
      <c r="N16" s="10" t="s">
        <v>57</v>
      </c>
      <c r="O16" s="10" t="s">
        <v>14</v>
      </c>
      <c r="P16" s="10" t="s">
        <v>58</v>
      </c>
      <c r="Q16" s="10" t="s">
        <v>59</v>
      </c>
      <c r="R16" s="10"/>
      <c r="S16" s="10">
        <v>10</v>
      </c>
      <c r="T16" s="10" t="s">
        <v>60</v>
      </c>
      <c r="U16" s="10" t="s">
        <v>15</v>
      </c>
      <c r="V16" s="10"/>
      <c r="W16" s="10" t="s">
        <v>61</v>
      </c>
      <c r="X16" s="10" t="s">
        <v>61</v>
      </c>
      <c r="Y16" s="10" t="s">
        <v>17</v>
      </c>
      <c r="Z16" s="10" t="s">
        <v>17</v>
      </c>
      <c r="AA16" s="10" t="s">
        <v>62</v>
      </c>
      <c r="AB16" s="10" t="s">
        <v>62</v>
      </c>
      <c r="AC16" s="10" t="s">
        <v>62</v>
      </c>
      <c r="AD16" s="10" t="s">
        <v>36</v>
      </c>
      <c r="AE16" s="10" t="s">
        <v>14</v>
      </c>
      <c r="AF16" s="10"/>
      <c r="AG16" s="10"/>
      <c r="AH16" s="10" t="s">
        <v>63</v>
      </c>
      <c r="AI16" s="10" t="s">
        <v>64</v>
      </c>
      <c r="AJ16" s="10"/>
      <c r="AK16" s="10" t="s">
        <v>38</v>
      </c>
      <c r="AL16" s="10"/>
      <c r="AM16" s="10" t="s">
        <v>44</v>
      </c>
      <c r="AN16" s="10" t="s">
        <v>65</v>
      </c>
      <c r="AO16" s="10"/>
      <c r="AP16" s="10"/>
      <c r="AQ16" s="10" t="s">
        <v>66</v>
      </c>
      <c r="AR16" s="10" t="s">
        <v>67</v>
      </c>
      <c r="BD16" s="23">
        <v>62</v>
      </c>
      <c r="BE16" s="23"/>
      <c r="BF16" s="23"/>
      <c r="BG16" s="23"/>
      <c r="BH16" s="23"/>
      <c r="BI16" s="23">
        <v>62</v>
      </c>
      <c r="BO16" s="1" t="s">
        <v>3</v>
      </c>
      <c r="BP16" s="5">
        <v>0.53391248858368001</v>
      </c>
      <c r="BQ16" s="5">
        <v>0.48212498731520004</v>
      </c>
      <c r="BR16" s="5">
        <v>0.43033748604671995</v>
      </c>
      <c r="BS16" s="5">
        <v>0.37854998477824009</v>
      </c>
      <c r="BU16" s="45" t="s">
        <v>69</v>
      </c>
      <c r="BV16" s="14"/>
      <c r="BW16" s="14"/>
      <c r="CA16" s="1">
        <v>62</v>
      </c>
      <c r="CB16" s="23"/>
      <c r="CC16" s="23"/>
      <c r="CD16" s="23"/>
      <c r="CE16" s="23"/>
    </row>
    <row r="17" spans="2:83" ht="15.75" x14ac:dyDescent="0.25">
      <c r="B17" s="10"/>
      <c r="C17" s="10"/>
      <c r="D17" s="10" t="s">
        <v>70</v>
      </c>
      <c r="E17" s="10"/>
      <c r="F17" s="10"/>
      <c r="G17" s="10"/>
      <c r="H17" s="10"/>
      <c r="I17" s="53" t="s">
        <v>119</v>
      </c>
      <c r="J17" s="11"/>
      <c r="K17" s="11"/>
      <c r="L17" s="11"/>
      <c r="M17" s="10" t="s">
        <v>52</v>
      </c>
      <c r="N17" s="10" t="s">
        <v>52</v>
      </c>
      <c r="O17" s="10" t="s">
        <v>52</v>
      </c>
      <c r="P17" s="10" t="s">
        <v>52</v>
      </c>
      <c r="Q17" s="10" t="s">
        <v>65</v>
      </c>
      <c r="R17" s="10" t="s">
        <v>72</v>
      </c>
      <c r="S17" s="10" t="s">
        <v>52</v>
      </c>
      <c r="T17" s="10"/>
      <c r="U17" s="10" t="s">
        <v>72</v>
      </c>
      <c r="V17" s="10"/>
      <c r="W17" s="10" t="s">
        <v>73</v>
      </c>
      <c r="X17" s="10" t="s">
        <v>74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 t="s">
        <v>75</v>
      </c>
      <c r="AR17" s="10" t="s">
        <v>76</v>
      </c>
      <c r="BD17" s="23">
        <v>60</v>
      </c>
      <c r="BE17" s="23"/>
      <c r="BF17" s="23"/>
      <c r="BG17" s="23"/>
      <c r="BH17" s="23"/>
      <c r="BI17" s="23">
        <v>60</v>
      </c>
      <c r="BO17" s="1" t="s">
        <v>77</v>
      </c>
      <c r="BP17" s="1">
        <v>0.9</v>
      </c>
      <c r="BQ17" s="1">
        <v>1</v>
      </c>
      <c r="BR17" s="1">
        <v>1.1000000000000001</v>
      </c>
      <c r="BS17" s="1">
        <v>1.2</v>
      </c>
      <c r="BU17" s="1" t="s">
        <v>78</v>
      </c>
      <c r="CA17" s="1">
        <v>60</v>
      </c>
      <c r="CB17" s="23"/>
      <c r="CC17" s="23"/>
      <c r="CD17" s="23"/>
      <c r="CE17" s="23"/>
    </row>
    <row r="18" spans="2:83" x14ac:dyDescent="0.2">
      <c r="B18" s="1">
        <v>1</v>
      </c>
      <c r="C18" s="1" t="s">
        <v>102</v>
      </c>
      <c r="D18" s="1">
        <v>66</v>
      </c>
      <c r="F18" s="5">
        <v>0.84627272727272718</v>
      </c>
      <c r="G18" s="5">
        <v>4.3015151515151513E-2</v>
      </c>
      <c r="H18" s="5">
        <v>2.08</v>
      </c>
      <c r="I18" s="5">
        <v>1</v>
      </c>
      <c r="J18" s="5">
        <v>0</v>
      </c>
      <c r="K18" s="5">
        <v>0</v>
      </c>
      <c r="L18" s="5"/>
      <c r="M18" s="5">
        <f t="shared" ref="M18:M28" si="0">X18</f>
        <v>4.1823697243966951E-2</v>
      </c>
      <c r="N18" s="5">
        <f t="shared" ref="N18:N28" si="1">AJ18</f>
        <v>0.1002115172030591</v>
      </c>
      <c r="O18" s="5">
        <f t="shared" ref="O18:O28" si="2">AH18</f>
        <v>0.45331093699999581</v>
      </c>
      <c r="P18" s="5">
        <f t="shared" ref="P18:P28" si="3">(N18-M18)*(1-T18)</f>
        <v>5.8387819959092147E-2</v>
      </c>
      <c r="Q18" s="5">
        <f t="shared" ref="Q18:Q28" si="4">AN18</f>
        <v>107.83391229127439</v>
      </c>
      <c r="R18" s="5">
        <f t="shared" ref="R18:R28" si="5">AG18</f>
        <v>1.4487260169500111</v>
      </c>
      <c r="S18" s="5">
        <f t="shared" ref="S18:S28" si="6">N18-(S$16-33)*(O18-N18)/(33-AR18)</f>
        <v>0.34486239523748685</v>
      </c>
      <c r="T18" s="5">
        <f t="shared" ref="T18:T28" si="7">((R18/2.65)*J18)/(1-J18*(1-R18/2.65))</f>
        <v>0</v>
      </c>
      <c r="U18" s="5">
        <f t="shared" ref="U18:U28" si="8">T18*2.65+(1-T18)*R18</f>
        <v>1.4487260169500111</v>
      </c>
      <c r="W18" s="5">
        <f t="shared" ref="W18:W28" si="9">-0.024*F18+0.487*G18+0.006*H18+0.005*F18*H18-0.013*G18*H18+0.068*F18*G18+0.031</f>
        <v>5.4231313371900833E-2</v>
      </c>
      <c r="X18" s="5">
        <f t="shared" ref="X18:X28" si="10">W18+0.14*W18-0.02</f>
        <v>4.1823697243966951E-2</v>
      </c>
      <c r="Y18" s="25">
        <f t="shared" ref="Y18:Y28" si="11">-0.251*F18+0.195*G18+0.011*H18+0.006*F18*H18-0.027*G18*H18+0.452*F18*G18+0.299</f>
        <v>0.14245320514049589</v>
      </c>
      <c r="Z18" s="25">
        <f t="shared" ref="Z18:Z28" si="12">Y18+(1.283*Y18*Y18-0.374*Y18-0.015)</f>
        <v>0.1002115172030591</v>
      </c>
      <c r="AA18" s="5">
        <f t="shared" ref="AA18:AA28" si="13">0.278*F18+0.034*G18+0.022*H18-0.018*F18*H18-0.027*G18*H18-0.584*F18*G18+0.078</f>
        <v>0.30512706255647387</v>
      </c>
      <c r="AB18" s="5">
        <f t="shared" ref="AB18:AB28" si="14">AA18+(0.636*AA18-0.107)</f>
        <v>0.39218787434239127</v>
      </c>
      <c r="AC18" s="5">
        <f t="shared" ref="AC18:AC28" si="15">AB18+Z18</f>
        <v>0.49239939154545037</v>
      </c>
      <c r="AD18" s="25">
        <f t="shared" ref="AD18:AD28" si="16">-0.097*F18+0.043</f>
        <v>-3.9088454545454537E-2</v>
      </c>
      <c r="AE18" s="5">
        <f t="shared" ref="AE18:AE28" si="17">AC18+AD18</f>
        <v>0.45331093699999581</v>
      </c>
      <c r="AF18" s="5">
        <f t="shared" ref="AF18:AF28" si="18">(1-AE18)*2.65</f>
        <v>1.4487260169500111</v>
      </c>
      <c r="AG18" s="5">
        <f t="shared" ref="AG18:AG28" si="19">AF18*(I18)</f>
        <v>1.4487260169500111</v>
      </c>
      <c r="AH18" s="5">
        <f t="shared" ref="AH18:AH28" si="20">1-(AG18/2.65)</f>
        <v>0.45331093699999581</v>
      </c>
      <c r="AI18" s="25">
        <f t="shared" ref="AI18:AI28" si="21">(1-AG18/2.65)-(1-AF18/2.65)</f>
        <v>0</v>
      </c>
      <c r="AJ18" s="25">
        <f t="shared" ref="AJ18:AJ28" si="22">Z18+0.2*AI18</f>
        <v>0.1002115172030591</v>
      </c>
      <c r="AK18" s="25">
        <f t="shared" ref="AK18:AK28" si="23">AH18-AJ18</f>
        <v>0.35309941979693671</v>
      </c>
      <c r="AL18" s="25">
        <f t="shared" ref="AL18:AL28" si="24" xml:space="preserve"> (LN(AJ18)-LN(X18))/(LN(1500)-LN(33))</f>
        <v>0.22894570943894135</v>
      </c>
      <c r="AM18" s="25">
        <f t="shared" ref="AM18:AM28" si="25">(1-J18)/(1-J18*(1-1.5*(R18/2.65)))</f>
        <v>1</v>
      </c>
      <c r="AN18" s="26">
        <f t="shared" ref="AN18:AN28" si="26">1930*(AK18)^(3-AL18)*AM18</f>
        <v>107.83391229127439</v>
      </c>
      <c r="AO18" s="5">
        <f t="shared" ref="AO18:AO28" si="27">(LN(1500)-LN(33))/(LN(AJ18)-LN(X18))</f>
        <v>4.3678477419411736</v>
      </c>
      <c r="AP18" s="25">
        <f t="shared" ref="AP18:AP28" si="28">EXP(LN(33)+(AO18*LN(AJ18)))</f>
        <v>1.4278227531202489E-3</v>
      </c>
      <c r="AQ18" s="26">
        <f t="shared" ref="AQ18:AQ28" si="29">-21.674*$F18-27.932*$G18-81.975*$AK18+71.121*$F18*$AK18+8.294*$G18*$AK18+14.05*$F18*$G18+27.161</f>
        <v>0.56175510268807116</v>
      </c>
      <c r="AR18" s="26">
        <f t="shared" ref="AR18:AR28" si="30">AQ18+(0.02*AQ18^2-0.113*AQ18-0.7)</f>
        <v>-0.19541184800775913</v>
      </c>
      <c r="AS18" s="5"/>
      <c r="AV18" s="1" t="s">
        <v>79</v>
      </c>
      <c r="AX18" s="1">
        <v>3</v>
      </c>
      <c r="AY18" s="1">
        <v>5</v>
      </c>
      <c r="AZ18" s="1">
        <v>8</v>
      </c>
      <c r="BA18" s="1">
        <v>11</v>
      </c>
      <c r="BD18" s="23">
        <v>58</v>
      </c>
      <c r="BE18" s="23"/>
      <c r="BF18" s="23"/>
      <c r="BG18" s="23"/>
      <c r="BH18" s="23"/>
      <c r="BI18" s="23">
        <v>58</v>
      </c>
      <c r="BO18" s="1" t="s">
        <v>80</v>
      </c>
      <c r="BQ18" s="1" t="s">
        <v>81</v>
      </c>
      <c r="CA18" s="1">
        <v>58</v>
      </c>
      <c r="CB18" s="23"/>
      <c r="CC18" s="23"/>
      <c r="CD18" s="23"/>
      <c r="CE18" s="23"/>
    </row>
    <row r="19" spans="2:83" x14ac:dyDescent="0.2">
      <c r="B19" s="1">
        <v>2</v>
      </c>
      <c r="C19" s="1" t="s">
        <v>121</v>
      </c>
      <c r="D19" s="1">
        <v>32</v>
      </c>
      <c r="F19" s="5">
        <v>0.80243750000000003</v>
      </c>
      <c r="G19" s="5">
        <v>5.1656249999999994E-2</v>
      </c>
      <c r="H19" s="5">
        <v>2.3279387499999999</v>
      </c>
      <c r="I19" s="5">
        <v>1</v>
      </c>
      <c r="J19" s="5">
        <v>0</v>
      </c>
      <c r="K19" s="5">
        <v>0</v>
      </c>
      <c r="L19" s="5"/>
      <c r="M19" s="5">
        <f t="shared" si="0"/>
        <v>5.0065803805396089E-2</v>
      </c>
      <c r="N19" s="5">
        <f t="shared" si="1"/>
        <v>0.11796917189514419</v>
      </c>
      <c r="O19" s="5">
        <f t="shared" si="2"/>
        <v>0.45543162362524348</v>
      </c>
      <c r="P19" s="5">
        <f t="shared" si="3"/>
        <v>6.7903368089748103E-2</v>
      </c>
      <c r="Q19" s="5">
        <f t="shared" si="4"/>
        <v>94.662043986412698</v>
      </c>
      <c r="R19" s="5">
        <f t="shared" si="5"/>
        <v>1.4431061973931048</v>
      </c>
      <c r="S19" s="5">
        <f t="shared" si="6"/>
        <v>0.35234459415940755</v>
      </c>
      <c r="T19" s="5">
        <f t="shared" si="7"/>
        <v>0</v>
      </c>
      <c r="U19" s="5">
        <f t="shared" si="8"/>
        <v>1.4431061973931048</v>
      </c>
      <c r="W19" s="5">
        <f t="shared" si="9"/>
        <v>6.1461231408242181E-2</v>
      </c>
      <c r="X19" s="5">
        <f t="shared" si="10"/>
        <v>5.0065803805396089E-2</v>
      </c>
      <c r="Y19" s="25">
        <f t="shared" si="11"/>
        <v>0.15996562705417966</v>
      </c>
      <c r="Z19" s="25">
        <f t="shared" si="12"/>
        <v>0.11796917189514419</v>
      </c>
      <c r="AA19" s="5">
        <f t="shared" si="13"/>
        <v>0.29296998119199225</v>
      </c>
      <c r="AB19" s="5">
        <f t="shared" si="14"/>
        <v>0.37229888923009929</v>
      </c>
      <c r="AC19" s="5">
        <f t="shared" si="15"/>
        <v>0.49026806112524346</v>
      </c>
      <c r="AD19" s="25">
        <f t="shared" si="16"/>
        <v>-3.4836437500000011E-2</v>
      </c>
      <c r="AE19" s="5">
        <f t="shared" si="17"/>
        <v>0.45543162362524348</v>
      </c>
      <c r="AF19" s="5">
        <f t="shared" si="18"/>
        <v>1.4431061973931048</v>
      </c>
      <c r="AG19" s="5">
        <f t="shared" si="19"/>
        <v>1.4431061973931048</v>
      </c>
      <c r="AH19" s="5">
        <f t="shared" si="20"/>
        <v>0.45543162362524348</v>
      </c>
      <c r="AI19" s="25">
        <f t="shared" si="21"/>
        <v>0</v>
      </c>
      <c r="AJ19" s="25">
        <f t="shared" si="22"/>
        <v>0.11796917189514419</v>
      </c>
      <c r="AK19" s="25">
        <f t="shared" si="23"/>
        <v>0.33746245173009926</v>
      </c>
      <c r="AL19" s="25">
        <f t="shared" si="24"/>
        <v>0.22456107076895934</v>
      </c>
      <c r="AM19" s="25">
        <f t="shared" si="25"/>
        <v>1</v>
      </c>
      <c r="AN19" s="26">
        <f t="shared" si="26"/>
        <v>94.662043986412698</v>
      </c>
      <c r="AO19" s="5">
        <f t="shared" si="27"/>
        <v>4.4531315983474906</v>
      </c>
      <c r="AP19" s="25">
        <f t="shared" si="28"/>
        <v>2.426481887704965E-3</v>
      </c>
      <c r="AQ19" s="26">
        <f t="shared" si="29"/>
        <v>0.64862471338382832</v>
      </c>
      <c r="AR19" s="26">
        <f t="shared" si="30"/>
        <v>-0.11625559885229919</v>
      </c>
      <c r="AS19" s="5"/>
      <c r="BB19" s="5"/>
      <c r="BD19" s="23">
        <v>56</v>
      </c>
      <c r="BE19" s="23"/>
      <c r="BF19" s="23"/>
      <c r="BG19" s="23"/>
      <c r="BH19" s="23"/>
      <c r="BI19" s="23">
        <v>56</v>
      </c>
      <c r="BU19" s="1" t="s">
        <v>82</v>
      </c>
      <c r="BV19" s="1" t="s">
        <v>60</v>
      </c>
      <c r="BW19" s="1" t="s">
        <v>83</v>
      </c>
      <c r="BX19" s="1" t="s">
        <v>84</v>
      </c>
      <c r="CA19" s="1">
        <v>56</v>
      </c>
      <c r="CB19" s="23"/>
      <c r="CC19" s="23"/>
      <c r="CD19" s="23"/>
      <c r="CE19" s="23"/>
    </row>
    <row r="20" spans="2:83" x14ac:dyDescent="0.2">
      <c r="B20" s="1">
        <v>3</v>
      </c>
      <c r="C20" s="1" t="s">
        <v>122</v>
      </c>
      <c r="D20" s="1">
        <v>277</v>
      </c>
      <c r="F20" s="5">
        <v>0.63445487364620923</v>
      </c>
      <c r="G20" s="5">
        <v>0.10299277978339348</v>
      </c>
      <c r="H20" s="5">
        <v>2.5199651985559579</v>
      </c>
      <c r="I20" s="5">
        <v>1</v>
      </c>
      <c r="J20" s="5">
        <v>0</v>
      </c>
      <c r="K20" s="5">
        <v>0</v>
      </c>
      <c r="L20" s="5"/>
      <c r="M20" s="5">
        <f t="shared" si="0"/>
        <v>8.272972350748331E-2</v>
      </c>
      <c r="N20" s="5">
        <f t="shared" si="1"/>
        <v>0.18443153450887401</v>
      </c>
      <c r="O20" s="5">
        <f t="shared" si="2"/>
        <v>0.45050262847422984</v>
      </c>
      <c r="P20" s="5">
        <f t="shared" si="3"/>
        <v>0.1017018110013907</v>
      </c>
      <c r="Q20" s="5">
        <f t="shared" si="4"/>
        <v>48.009750860294815</v>
      </c>
      <c r="R20" s="5">
        <f t="shared" si="5"/>
        <v>1.4561680345432908</v>
      </c>
      <c r="S20" s="5">
        <f t="shared" si="6"/>
        <v>0.37585961208202656</v>
      </c>
      <c r="T20" s="5">
        <f t="shared" si="7"/>
        <v>0</v>
      </c>
      <c r="U20" s="5">
        <f t="shared" si="8"/>
        <v>1.4561680345432908</v>
      </c>
      <c r="W20" s="5">
        <f t="shared" si="9"/>
        <v>9.0113792550423955E-2</v>
      </c>
      <c r="X20" s="5">
        <f t="shared" si="10"/>
        <v>8.272972350748331E-2</v>
      </c>
      <c r="Y20" s="25">
        <f t="shared" si="11"/>
        <v>0.21967593973604715</v>
      </c>
      <c r="Z20" s="25">
        <f t="shared" si="12"/>
        <v>0.18443153450887401</v>
      </c>
      <c r="AA20" s="5">
        <f t="shared" si="13"/>
        <v>0.23937238185149029</v>
      </c>
      <c r="AB20" s="5">
        <f t="shared" si="14"/>
        <v>0.28461321670903811</v>
      </c>
      <c r="AC20" s="5">
        <f t="shared" si="15"/>
        <v>0.46904475121791211</v>
      </c>
      <c r="AD20" s="25">
        <f t="shared" si="16"/>
        <v>-1.8542122743682297E-2</v>
      </c>
      <c r="AE20" s="5">
        <f t="shared" si="17"/>
        <v>0.45050262847422984</v>
      </c>
      <c r="AF20" s="5">
        <f t="shared" si="18"/>
        <v>1.4561680345432908</v>
      </c>
      <c r="AG20" s="5">
        <f t="shared" si="19"/>
        <v>1.4561680345432908</v>
      </c>
      <c r="AH20" s="5">
        <f t="shared" si="20"/>
        <v>0.45050262847422984</v>
      </c>
      <c r="AI20" s="25">
        <f t="shared" si="21"/>
        <v>0</v>
      </c>
      <c r="AJ20" s="25">
        <f t="shared" si="22"/>
        <v>0.18443153450887401</v>
      </c>
      <c r="AK20" s="25">
        <f t="shared" si="23"/>
        <v>0.26607109396535583</v>
      </c>
      <c r="AL20" s="25">
        <f t="shared" si="24"/>
        <v>0.21004969288398839</v>
      </c>
      <c r="AM20" s="25">
        <f t="shared" si="25"/>
        <v>1</v>
      </c>
      <c r="AN20" s="26">
        <f t="shared" si="26"/>
        <v>48.009750860294815</v>
      </c>
      <c r="AO20" s="5">
        <f t="shared" si="27"/>
        <v>4.760778205718708</v>
      </c>
      <c r="AP20" s="25">
        <f t="shared" si="28"/>
        <v>1.0551593798214937E-2</v>
      </c>
      <c r="AQ20" s="26">
        <f t="shared" si="29"/>
        <v>1.8731669232386423</v>
      </c>
      <c r="AR20" s="26">
        <f t="shared" si="30"/>
        <v>1.0316741473589821</v>
      </c>
      <c r="AS20" s="5"/>
      <c r="AV20" s="1" t="s">
        <v>30</v>
      </c>
      <c r="AX20" s="5">
        <f>$S30</f>
        <v>0.46340688873350877</v>
      </c>
      <c r="AY20" s="5">
        <f>$S31</f>
        <v>0.4828378667433999</v>
      </c>
      <c r="AZ20" s="5">
        <f>$S32</f>
        <v>0.46699851192004732</v>
      </c>
      <c r="BA20" s="5">
        <f>$S33</f>
        <v>0.50782942765707106</v>
      </c>
      <c r="BB20" s="5"/>
      <c r="BD20" s="23">
        <f t="shared" ref="BD20:BD25" si="31">BD19-2</f>
        <v>54</v>
      </c>
      <c r="BE20" s="23"/>
      <c r="BF20" s="23"/>
      <c r="BG20" s="23"/>
      <c r="BH20" s="23"/>
      <c r="BI20" s="23">
        <v>54</v>
      </c>
      <c r="BO20" s="1">
        <f t="shared" ref="BO20:BO38" si="32">BI20/100/$BP$16</f>
        <v>1.0114017026132287</v>
      </c>
      <c r="BP20" s="26">
        <v>25.043627272756698</v>
      </c>
      <c r="BQ20" s="26">
        <v>12.141446393783953</v>
      </c>
      <c r="BR20" s="26">
        <v>4.558694484951423</v>
      </c>
      <c r="BS20" s="26">
        <v>0.99723754689836819</v>
      </c>
      <c r="BU20" s="5">
        <v>0</v>
      </c>
      <c r="BV20" s="5">
        <v>0</v>
      </c>
      <c r="BW20" s="5">
        <v>1.3723687836147198</v>
      </c>
      <c r="BX20" s="26">
        <v>12.141446393783953</v>
      </c>
      <c r="CA20" s="1">
        <f t="shared" ref="CA20:CA25" si="33">CA19-2</f>
        <v>54</v>
      </c>
      <c r="CB20" s="23"/>
      <c r="CC20" s="23"/>
      <c r="CD20" s="23"/>
      <c r="CE20" s="23"/>
    </row>
    <row r="21" spans="2:83" x14ac:dyDescent="0.2">
      <c r="B21" s="1">
        <v>4</v>
      </c>
      <c r="C21" s="1" t="s">
        <v>123</v>
      </c>
      <c r="D21" s="1">
        <v>318</v>
      </c>
      <c r="F21" s="5">
        <v>0.41237421383647804</v>
      </c>
      <c r="G21" s="5">
        <v>0.18547798742138361</v>
      </c>
      <c r="H21" s="5">
        <v>3.055654465408804</v>
      </c>
      <c r="I21" s="5">
        <v>1</v>
      </c>
      <c r="J21" s="5">
        <v>0</v>
      </c>
      <c r="K21" s="5">
        <v>0</v>
      </c>
      <c r="L21" s="5"/>
      <c r="M21" s="5">
        <f t="shared" si="0"/>
        <v>0.13264409143084757</v>
      </c>
      <c r="N21" s="5">
        <f t="shared" si="1"/>
        <v>0.27732918565424886</v>
      </c>
      <c r="O21" s="5">
        <f t="shared" si="2"/>
        <v>0.47356583005495534</v>
      </c>
      <c r="P21" s="5">
        <f t="shared" si="3"/>
        <v>0.14468509422340128</v>
      </c>
      <c r="Q21" s="5">
        <f t="shared" si="4"/>
        <v>19.978354234712999</v>
      </c>
      <c r="R21" s="5">
        <f t="shared" si="5"/>
        <v>1.3950505503543682</v>
      </c>
      <c r="S21" s="5">
        <f t="shared" si="6"/>
        <v>0.42909279030703013</v>
      </c>
      <c r="T21" s="5">
        <f t="shared" si="7"/>
        <v>0</v>
      </c>
      <c r="U21" s="5">
        <f t="shared" si="8"/>
        <v>1.3950505503543682</v>
      </c>
      <c r="W21" s="5">
        <f t="shared" si="9"/>
        <v>0.13389832581653294</v>
      </c>
      <c r="X21" s="5">
        <f t="shared" si="10"/>
        <v>0.13264409143084757</v>
      </c>
      <c r="Y21" s="25">
        <f t="shared" si="11"/>
        <v>0.29210431368738893</v>
      </c>
      <c r="Z21" s="25">
        <f t="shared" si="12"/>
        <v>0.27732918565424886</v>
      </c>
      <c r="AA21" s="5">
        <f t="shared" si="13"/>
        <v>0.18351891390149438</v>
      </c>
      <c r="AB21" s="5">
        <f t="shared" si="14"/>
        <v>0.19323694314284481</v>
      </c>
      <c r="AC21" s="5">
        <f t="shared" si="15"/>
        <v>0.4705661287970937</v>
      </c>
      <c r="AD21" s="25">
        <f t="shared" si="16"/>
        <v>2.9997012578616283E-3</v>
      </c>
      <c r="AE21" s="5">
        <f t="shared" si="17"/>
        <v>0.47356583005495534</v>
      </c>
      <c r="AF21" s="5">
        <f t="shared" si="18"/>
        <v>1.3950505503543682</v>
      </c>
      <c r="AG21" s="5">
        <f t="shared" si="19"/>
        <v>1.3950505503543682</v>
      </c>
      <c r="AH21" s="5">
        <f t="shared" si="20"/>
        <v>0.47356583005495534</v>
      </c>
      <c r="AI21" s="25">
        <f t="shared" si="21"/>
        <v>0</v>
      </c>
      <c r="AJ21" s="25">
        <f t="shared" si="22"/>
        <v>0.27732918565424886</v>
      </c>
      <c r="AK21" s="25">
        <f t="shared" si="23"/>
        <v>0.19623664440070648</v>
      </c>
      <c r="AL21" s="25">
        <f t="shared" si="24"/>
        <v>0.19323844709343654</v>
      </c>
      <c r="AM21" s="25">
        <f t="shared" si="25"/>
        <v>1</v>
      </c>
      <c r="AN21" s="26">
        <f t="shared" si="26"/>
        <v>19.978354234712999</v>
      </c>
      <c r="AO21" s="5">
        <f t="shared" si="27"/>
        <v>5.1749536132241341</v>
      </c>
      <c r="AP21" s="25">
        <f t="shared" si="28"/>
        <v>4.325555466964396E-2</v>
      </c>
      <c r="AQ21" s="26">
        <f t="shared" si="29"/>
        <v>4.0877656410835179</v>
      </c>
      <c r="AR21" s="26">
        <f t="shared" si="30"/>
        <v>3.2600446823695393</v>
      </c>
      <c r="AS21" s="5"/>
      <c r="AV21" s="1" t="s">
        <v>26</v>
      </c>
      <c r="AX21" s="5">
        <f>$N30</f>
        <v>0.27500747938508802</v>
      </c>
      <c r="AY21" s="5">
        <f>$N31</f>
        <v>0.33137665900924468</v>
      </c>
      <c r="AZ21" s="5">
        <f>$N32</f>
        <v>0.35196466578015978</v>
      </c>
      <c r="BA21" s="5">
        <f>$N33</f>
        <v>0.43455169849824726</v>
      </c>
      <c r="BB21" s="5"/>
      <c r="BD21" s="23">
        <f t="shared" si="31"/>
        <v>52</v>
      </c>
      <c r="BE21" s="23"/>
      <c r="BF21" s="23"/>
      <c r="BG21" s="23"/>
      <c r="BH21" s="23"/>
      <c r="BI21" s="23">
        <v>52</v>
      </c>
      <c r="BO21" s="1">
        <f t="shared" si="32"/>
        <v>0.97394238029422031</v>
      </c>
      <c r="BP21" s="26">
        <f t="shared" ref="BP21:BS33" si="34">BP$20*$BO21^(3+2*BP$15)</f>
        <v>18.339034689289761</v>
      </c>
      <c r="BQ21" s="26">
        <f t="shared" si="34"/>
        <v>8.8598081743549244</v>
      </c>
      <c r="BR21" s="26">
        <f t="shared" si="34"/>
        <v>3.3143725721800479</v>
      </c>
      <c r="BS21" s="26">
        <f t="shared" si="34"/>
        <v>0.72226063565323995</v>
      </c>
      <c r="BU21" s="5">
        <v>0.05</v>
      </c>
      <c r="BV21" s="5">
        <v>2.6533370684474079E-2</v>
      </c>
      <c r="BW21" s="5">
        <v>1.4062686462771261</v>
      </c>
      <c r="BX21" s="26">
        <v>11.664543073356816</v>
      </c>
      <c r="CA21" s="1">
        <f t="shared" si="33"/>
        <v>52</v>
      </c>
      <c r="CB21" s="23"/>
      <c r="CC21" s="23"/>
      <c r="CD21" s="23"/>
      <c r="CE21" s="23"/>
    </row>
    <row r="22" spans="2:83" x14ac:dyDescent="0.2">
      <c r="B22" s="1">
        <v>5</v>
      </c>
      <c r="C22" s="1" t="s">
        <v>124</v>
      </c>
      <c r="D22" s="1">
        <v>736</v>
      </c>
      <c r="F22" s="5">
        <v>0.15038994565217392</v>
      </c>
      <c r="G22" s="5">
        <v>0.1801073369565219</v>
      </c>
      <c r="H22" s="5">
        <v>3.0452492391304342</v>
      </c>
      <c r="I22" s="5">
        <v>1</v>
      </c>
      <c r="J22" s="5">
        <v>0</v>
      </c>
      <c r="K22" s="5">
        <v>0</v>
      </c>
      <c r="L22" s="5"/>
      <c r="M22" s="5">
        <f t="shared" si="0"/>
        <v>0.1286286654128268</v>
      </c>
      <c r="N22" s="5">
        <f t="shared" si="1"/>
        <v>0.33137665900924468</v>
      </c>
      <c r="O22" s="5">
        <f t="shared" si="2"/>
        <v>0.50482581636070223</v>
      </c>
      <c r="P22" s="5">
        <f t="shared" si="3"/>
        <v>0.20274799359641787</v>
      </c>
      <c r="Q22" s="5">
        <f t="shared" si="4"/>
        <v>15.54946932044418</v>
      </c>
      <c r="R22" s="5">
        <f t="shared" si="5"/>
        <v>1.3122115866441388</v>
      </c>
      <c r="S22" s="5">
        <f t="shared" si="6"/>
        <v>0.4828378667433999</v>
      </c>
      <c r="T22" s="5">
        <f t="shared" si="7"/>
        <v>0</v>
      </c>
      <c r="U22" s="5">
        <f t="shared" si="8"/>
        <v>1.3122115866441388</v>
      </c>
      <c r="W22" s="5">
        <f t="shared" si="9"/>
        <v>0.13037602229195333</v>
      </c>
      <c r="X22" s="5">
        <f t="shared" si="10"/>
        <v>0.1286286654128268</v>
      </c>
      <c r="Y22" s="25">
        <f t="shared" si="11"/>
        <v>0.33005293079394304</v>
      </c>
      <c r="Z22" s="25">
        <f t="shared" si="12"/>
        <v>0.33137665900924468</v>
      </c>
      <c r="AA22" s="5">
        <f t="shared" si="13"/>
        <v>0.15405683501205292</v>
      </c>
      <c r="AB22" s="5">
        <f t="shared" si="14"/>
        <v>0.14503698207971857</v>
      </c>
      <c r="AC22" s="5">
        <f t="shared" si="15"/>
        <v>0.47641364108896322</v>
      </c>
      <c r="AD22" s="25">
        <f t="shared" si="16"/>
        <v>2.8412175271739126E-2</v>
      </c>
      <c r="AE22" s="5">
        <f t="shared" si="17"/>
        <v>0.50482581636070234</v>
      </c>
      <c r="AF22" s="5">
        <f t="shared" si="18"/>
        <v>1.3122115866441388</v>
      </c>
      <c r="AG22" s="5">
        <f t="shared" si="19"/>
        <v>1.3122115866441388</v>
      </c>
      <c r="AH22" s="5">
        <f t="shared" si="20"/>
        <v>0.50482581636070223</v>
      </c>
      <c r="AI22" s="25">
        <f t="shared" si="21"/>
        <v>0</v>
      </c>
      <c r="AJ22" s="25">
        <f t="shared" si="22"/>
        <v>0.33137665900924468</v>
      </c>
      <c r="AK22" s="25">
        <f t="shared" si="23"/>
        <v>0.17344915735145755</v>
      </c>
      <c r="AL22" s="25">
        <f t="shared" si="24"/>
        <v>0.24794267308849663</v>
      </c>
      <c r="AM22" s="25">
        <f t="shared" si="25"/>
        <v>1</v>
      </c>
      <c r="AN22" s="26">
        <f t="shared" si="26"/>
        <v>15.54946932044418</v>
      </c>
      <c r="AO22" s="5">
        <f t="shared" si="27"/>
        <v>4.0331903643027847</v>
      </c>
      <c r="AP22" s="25">
        <f t="shared" si="28"/>
        <v>0.38360204125600778</v>
      </c>
      <c r="AQ22" s="26">
        <f t="shared" si="29"/>
        <v>7.1470505608210146</v>
      </c>
      <c r="AR22" s="26">
        <f t="shared" si="30"/>
        <v>6.6610404818268796</v>
      </c>
      <c r="AS22" s="5"/>
      <c r="AV22" s="1" t="s">
        <v>25</v>
      </c>
      <c r="AX22" s="5">
        <f>$M30</f>
        <v>4.8308799999999999E-2</v>
      </c>
      <c r="AY22" s="5">
        <f>$M31</f>
        <v>0.1286286654128268</v>
      </c>
      <c r="AZ22" s="5">
        <f>$M32</f>
        <v>0.20321717607297188</v>
      </c>
      <c r="BA22" s="5">
        <f>$M33</f>
        <v>0.31862892619568156</v>
      </c>
      <c r="BB22" s="5"/>
      <c r="BD22" s="23">
        <f t="shared" si="31"/>
        <v>50</v>
      </c>
      <c r="BE22" s="23"/>
      <c r="BF22" s="23"/>
      <c r="BG22" s="23"/>
      <c r="BH22" s="23"/>
      <c r="BI22" s="23">
        <v>50</v>
      </c>
      <c r="BO22" s="1">
        <f t="shared" si="32"/>
        <v>0.93648305797521181</v>
      </c>
      <c r="BP22" s="26">
        <f t="shared" si="34"/>
        <v>11.544186800733005</v>
      </c>
      <c r="BQ22" s="26">
        <f t="shared" si="34"/>
        <v>5.5481137151608797</v>
      </c>
      <c r="BR22" s="26">
        <f t="shared" si="34"/>
        <v>2.0642198463781791</v>
      </c>
      <c r="BS22" s="26">
        <f t="shared" si="34"/>
        <v>0.44727489119340375</v>
      </c>
      <c r="BU22" s="5">
        <v>0.1</v>
      </c>
      <c r="BV22" s="5">
        <v>5.4410780977330563E-2</v>
      </c>
      <c r="BW22" s="5">
        <v>1.4418856958992596</v>
      </c>
      <c r="BX22" s="26">
        <v>11.176752886627749</v>
      </c>
      <c r="CA22" s="1">
        <f t="shared" si="33"/>
        <v>50</v>
      </c>
      <c r="CB22" s="23"/>
      <c r="CC22" s="23"/>
      <c r="CD22" s="23"/>
      <c r="CE22" s="23"/>
    </row>
    <row r="23" spans="2:83" x14ac:dyDescent="0.2">
      <c r="B23" s="1">
        <v>6</v>
      </c>
      <c r="C23" s="1" t="s">
        <v>125</v>
      </c>
      <c r="D23" s="1">
        <v>40</v>
      </c>
      <c r="F23" s="5">
        <v>4.9400000000000006E-2</v>
      </c>
      <c r="G23" s="5">
        <v>0.100525</v>
      </c>
      <c r="H23" s="5">
        <v>1.8938139999999997</v>
      </c>
      <c r="I23" s="5">
        <v>1</v>
      </c>
      <c r="J23" s="5">
        <v>0</v>
      </c>
      <c r="K23" s="5">
        <v>0</v>
      </c>
      <c r="L23" s="5"/>
      <c r="M23" s="5">
        <f t="shared" si="0"/>
        <v>8.0848425519492978E-2</v>
      </c>
      <c r="N23" s="5">
        <f t="shared" si="1"/>
        <v>0.32353004947928837</v>
      </c>
      <c r="O23" s="5">
        <f t="shared" si="2"/>
        <v>0.46265868365744733</v>
      </c>
      <c r="P23" s="5">
        <f t="shared" si="3"/>
        <v>0.2426816239597954</v>
      </c>
      <c r="Q23" s="5">
        <f t="shared" si="4"/>
        <v>10.642092236547434</v>
      </c>
      <c r="R23" s="5">
        <f t="shared" si="5"/>
        <v>1.4239544883077646</v>
      </c>
      <c r="S23" s="5">
        <f t="shared" si="6"/>
        <v>0.48834563464136638</v>
      </c>
      <c r="T23" s="5">
        <f t="shared" si="7"/>
        <v>0</v>
      </c>
      <c r="U23" s="5">
        <f t="shared" si="8"/>
        <v>1.4239544883077646</v>
      </c>
      <c r="W23" s="5">
        <f t="shared" si="9"/>
        <v>8.8463531157449982E-2</v>
      </c>
      <c r="X23" s="5">
        <f t="shared" si="10"/>
        <v>8.0848425519492978E-2</v>
      </c>
      <c r="Y23" s="25">
        <f t="shared" si="11"/>
        <v>0.32470071547614998</v>
      </c>
      <c r="Z23" s="25">
        <f t="shared" si="12"/>
        <v>0.32353004947928837</v>
      </c>
      <c r="AA23" s="5">
        <f t="shared" si="13"/>
        <v>0.12709072993775</v>
      </c>
      <c r="AB23" s="5">
        <f t="shared" si="14"/>
        <v>0.100920434178159</v>
      </c>
      <c r="AC23" s="5">
        <f t="shared" si="15"/>
        <v>0.42445048365744736</v>
      </c>
      <c r="AD23" s="25">
        <f t="shared" si="16"/>
        <v>3.8208199999999998E-2</v>
      </c>
      <c r="AE23" s="5">
        <f t="shared" si="17"/>
        <v>0.46265868365744733</v>
      </c>
      <c r="AF23" s="5">
        <f t="shared" si="18"/>
        <v>1.4239544883077646</v>
      </c>
      <c r="AG23" s="5">
        <f t="shared" si="19"/>
        <v>1.4239544883077646</v>
      </c>
      <c r="AH23" s="5">
        <f t="shared" si="20"/>
        <v>0.46265868365744733</v>
      </c>
      <c r="AI23" s="25">
        <f t="shared" si="21"/>
        <v>0</v>
      </c>
      <c r="AJ23" s="25">
        <f t="shared" si="22"/>
        <v>0.32353004947928837</v>
      </c>
      <c r="AK23" s="25">
        <f t="shared" si="23"/>
        <v>0.13912863417815896</v>
      </c>
      <c r="AL23" s="25">
        <f t="shared" si="24"/>
        <v>0.36332727923121849</v>
      </c>
      <c r="AM23" s="25">
        <f t="shared" si="25"/>
        <v>1</v>
      </c>
      <c r="AN23" s="26">
        <f t="shared" si="26"/>
        <v>10.642092236547434</v>
      </c>
      <c r="AO23" s="5">
        <f t="shared" si="27"/>
        <v>2.7523394392954685</v>
      </c>
      <c r="AP23" s="25">
        <f t="shared" si="28"/>
        <v>1.4778577429435278</v>
      </c>
      <c r="AQ23" s="26">
        <f t="shared" si="29"/>
        <v>12.551952202965431</v>
      </c>
      <c r="AR23" s="26">
        <f t="shared" si="30"/>
        <v>13.584611686140914</v>
      </c>
      <c r="AS23" s="5"/>
      <c r="AV23" s="1" t="s">
        <v>85</v>
      </c>
      <c r="AX23" s="5">
        <f>$O30</f>
        <v>0.29524175313664003</v>
      </c>
      <c r="AY23" s="5">
        <f>$O31</f>
        <v>0.50482581636070223</v>
      </c>
      <c r="AZ23" s="5">
        <f>$O32</f>
        <v>0.49675066495624631</v>
      </c>
      <c r="BA23" s="5">
        <f>$O33</f>
        <v>0.53114249045657214</v>
      </c>
      <c r="BB23" s="5"/>
      <c r="BD23" s="23">
        <f t="shared" si="31"/>
        <v>48</v>
      </c>
      <c r="BE23" s="23"/>
      <c r="BF23" s="23"/>
      <c r="BG23" s="23"/>
      <c r="BH23" s="23"/>
      <c r="BI23" s="23">
        <v>48</v>
      </c>
      <c r="BO23" s="1">
        <f t="shared" si="32"/>
        <v>0.8990237356562033</v>
      </c>
      <c r="BP23" s="26">
        <f t="shared" si="34"/>
        <v>7.1308839324565811</v>
      </c>
      <c r="BQ23" s="26">
        <f t="shared" si="34"/>
        <v>3.4085292776126903</v>
      </c>
      <c r="BR23" s="26">
        <f t="shared" si="34"/>
        <v>1.2609985801750192</v>
      </c>
      <c r="BS23" s="26">
        <f t="shared" si="34"/>
        <v>0.27161772540020068</v>
      </c>
      <c r="BU23" s="5">
        <v>0.15</v>
      </c>
      <c r="BV23" s="5">
        <v>8.3737007450988055E-2</v>
      </c>
      <c r="BW23" s="5">
        <v>1.4793537983007889</v>
      </c>
      <c r="BX23" s="26">
        <v>10.677698737280368</v>
      </c>
      <c r="CA23" s="1">
        <f t="shared" si="33"/>
        <v>48</v>
      </c>
      <c r="CB23" s="23"/>
      <c r="CC23" s="23"/>
      <c r="CD23" s="23"/>
      <c r="CE23" s="23"/>
    </row>
    <row r="24" spans="2:83" x14ac:dyDescent="0.2">
      <c r="B24" s="1">
        <v>7</v>
      </c>
      <c r="C24" s="1" t="s">
        <v>126</v>
      </c>
      <c r="D24" s="1">
        <v>39</v>
      </c>
      <c r="F24" s="5">
        <v>0.53223076923076917</v>
      </c>
      <c r="G24" s="5">
        <v>0.26217948717948719</v>
      </c>
      <c r="H24" s="5">
        <v>2.2907097435897432</v>
      </c>
      <c r="I24" s="5">
        <v>1</v>
      </c>
      <c r="J24" s="5">
        <v>0</v>
      </c>
      <c r="K24" s="5">
        <v>0</v>
      </c>
      <c r="L24" s="5"/>
      <c r="M24" s="5">
        <f t="shared" si="0"/>
        <v>0.17086937720990927</v>
      </c>
      <c r="N24" s="5">
        <f t="shared" si="1"/>
        <v>0.28257501414289343</v>
      </c>
      <c r="O24" s="5">
        <f t="shared" si="2"/>
        <v>0.43789899516849484</v>
      </c>
      <c r="P24" s="5">
        <f t="shared" si="3"/>
        <v>0.11170563693298416</v>
      </c>
      <c r="Q24" s="5">
        <f t="shared" si="4"/>
        <v>9.2441720085880394</v>
      </c>
      <c r="R24" s="5">
        <f t="shared" si="5"/>
        <v>1.4895676628034886</v>
      </c>
      <c r="S24" s="5">
        <f t="shared" si="6"/>
        <v>0.40127959224903548</v>
      </c>
      <c r="T24" s="5">
        <f t="shared" si="7"/>
        <v>0</v>
      </c>
      <c r="U24" s="5">
        <f t="shared" si="8"/>
        <v>1.4895676628034886</v>
      </c>
      <c r="W24" s="5">
        <f t="shared" si="9"/>
        <v>0.16742927825430637</v>
      </c>
      <c r="X24" s="5">
        <f t="shared" si="10"/>
        <v>0.17086937720990927</v>
      </c>
      <c r="Y24" s="25">
        <f t="shared" si="11"/>
        <v>0.29590449504047339</v>
      </c>
      <c r="Z24" s="25">
        <f t="shared" si="12"/>
        <v>0.28257501414289343</v>
      </c>
      <c r="AA24" s="5">
        <f t="shared" si="13"/>
        <v>0.16561758291013812</v>
      </c>
      <c r="AB24" s="5">
        <f t="shared" si="14"/>
        <v>0.16395036564098597</v>
      </c>
      <c r="AC24" s="5">
        <f t="shared" si="15"/>
        <v>0.44652537978387941</v>
      </c>
      <c r="AD24" s="25">
        <f t="shared" si="16"/>
        <v>-8.6263846153846122E-3</v>
      </c>
      <c r="AE24" s="5">
        <f t="shared" si="17"/>
        <v>0.43789899516849479</v>
      </c>
      <c r="AF24" s="5">
        <f t="shared" si="18"/>
        <v>1.4895676628034886</v>
      </c>
      <c r="AG24" s="5">
        <f t="shared" si="19"/>
        <v>1.4895676628034886</v>
      </c>
      <c r="AH24" s="5">
        <f t="shared" si="20"/>
        <v>0.43789899516849484</v>
      </c>
      <c r="AI24" s="25">
        <f t="shared" si="21"/>
        <v>0</v>
      </c>
      <c r="AJ24" s="25">
        <f t="shared" si="22"/>
        <v>0.28257501414289343</v>
      </c>
      <c r="AK24" s="25">
        <f t="shared" si="23"/>
        <v>0.15532398102560141</v>
      </c>
      <c r="AL24" s="25">
        <f t="shared" si="24"/>
        <v>0.13180050123611664</v>
      </c>
      <c r="AM24" s="25">
        <f t="shared" si="25"/>
        <v>1</v>
      </c>
      <c r="AN24" s="26">
        <f t="shared" si="26"/>
        <v>9.2441720085880394</v>
      </c>
      <c r="AO24" s="5">
        <f t="shared" si="27"/>
        <v>7.5872245600077806</v>
      </c>
      <c r="AP24" s="25">
        <f t="shared" si="28"/>
        <v>2.2601772984271453E-3</v>
      </c>
      <c r="AQ24" s="26">
        <f t="shared" si="29"/>
        <v>3.747286161552406</v>
      </c>
      <c r="AR24" s="26">
        <f t="shared" si="30"/>
        <v>2.9046858968282274</v>
      </c>
      <c r="AS24" s="5"/>
      <c r="AV24" s="1" t="s">
        <v>86</v>
      </c>
      <c r="AX24" s="25">
        <f>$AP30</f>
        <v>1.941476529475999</v>
      </c>
      <c r="AY24" s="25">
        <f>$AP31</f>
        <v>0.38360204125600778</v>
      </c>
      <c r="AZ24" s="25">
        <f>$AP32</f>
        <v>2.3291034677899374E-2</v>
      </c>
      <c r="BA24" s="25">
        <f>$AP33</f>
        <v>1.1647191365648218E-3</v>
      </c>
      <c r="BB24" s="5"/>
      <c r="BD24" s="23">
        <f t="shared" si="31"/>
        <v>46</v>
      </c>
      <c r="BE24" s="23"/>
      <c r="BF24" s="23"/>
      <c r="BG24" s="23"/>
      <c r="BH24" s="23">
        <f t="shared" ref="BH24:BH41" si="35">$BA$24*(BD24/100)^(-$BA$25)</f>
        <v>16.386591721415723</v>
      </c>
      <c r="BI24" s="23">
        <v>46</v>
      </c>
      <c r="BL24" s="1">
        <f t="shared" ref="BL24:BL32" si="36">AZ$26*(($BI24/100)/AZ$23)^(3+2*AZ$25)</f>
        <v>2.1108489173417109</v>
      </c>
      <c r="BO24" s="1">
        <f t="shared" si="32"/>
        <v>0.86156441333719491</v>
      </c>
      <c r="BP24" s="26">
        <f t="shared" si="34"/>
        <v>4.3153674232388557</v>
      </c>
      <c r="BQ24" s="26">
        <f t="shared" si="34"/>
        <v>2.0510805101370009</v>
      </c>
      <c r="BR24" s="26">
        <f t="shared" si="34"/>
        <v>0.75433178803508183</v>
      </c>
      <c r="BS24" s="26">
        <f t="shared" si="34"/>
        <v>0.16148093356182561</v>
      </c>
      <c r="BU24" s="5">
        <v>0.2</v>
      </c>
      <c r="BV24" s="5">
        <v>0.11462800790875503</v>
      </c>
      <c r="BW24" s="5">
        <v>1.5188211047910039</v>
      </c>
      <c r="BX24" s="26">
        <v>10.166985909890023</v>
      </c>
      <c r="CA24" s="1">
        <f t="shared" si="33"/>
        <v>46</v>
      </c>
      <c r="CB24" s="23"/>
      <c r="CC24" s="23"/>
      <c r="CD24" s="23"/>
      <c r="CE24" s="23"/>
    </row>
    <row r="25" spans="2:83" x14ac:dyDescent="0.2">
      <c r="B25" s="1">
        <v>8</v>
      </c>
      <c r="C25" s="1" t="s">
        <v>127</v>
      </c>
      <c r="D25" s="1">
        <v>130</v>
      </c>
      <c r="F25" s="5">
        <v>0.29117692307692311</v>
      </c>
      <c r="G25" s="5">
        <v>0.3157692307692308</v>
      </c>
      <c r="H25" s="5">
        <v>3.5097987692307693</v>
      </c>
      <c r="I25" s="5">
        <v>1</v>
      </c>
      <c r="J25" s="5">
        <v>0</v>
      </c>
      <c r="K25" s="5">
        <v>0</v>
      </c>
      <c r="L25" s="5"/>
      <c r="M25" s="5">
        <f t="shared" si="0"/>
        <v>0.20321717607297188</v>
      </c>
      <c r="N25" s="5">
        <f t="shared" si="1"/>
        <v>0.35196466578015978</v>
      </c>
      <c r="O25" s="5">
        <f t="shared" si="2"/>
        <v>0.49675066495624631</v>
      </c>
      <c r="P25" s="5">
        <f t="shared" si="3"/>
        <v>0.1487474897071879</v>
      </c>
      <c r="Q25" s="5">
        <f t="shared" si="4"/>
        <v>7.7359772086592011</v>
      </c>
      <c r="R25" s="5">
        <f t="shared" si="5"/>
        <v>1.3336107378659472</v>
      </c>
      <c r="S25" s="5">
        <f t="shared" si="6"/>
        <v>0.46699851192004732</v>
      </c>
      <c r="T25" s="5">
        <f t="shared" si="7"/>
        <v>0</v>
      </c>
      <c r="U25" s="5">
        <f t="shared" si="8"/>
        <v>1.3336107378659472</v>
      </c>
      <c r="W25" s="5">
        <f t="shared" si="9"/>
        <v>0.1958045404148876</v>
      </c>
      <c r="X25" s="5">
        <f t="shared" si="10"/>
        <v>0.20321717607297188</v>
      </c>
      <c r="Y25" s="25">
        <f t="shared" si="11"/>
        <v>0.34386448913781775</v>
      </c>
      <c r="Z25" s="25">
        <f t="shared" si="12"/>
        <v>0.35196466578015978</v>
      </c>
      <c r="AA25" s="5">
        <f t="shared" si="13"/>
        <v>0.14488396131696096</v>
      </c>
      <c r="AB25" s="5">
        <f t="shared" si="14"/>
        <v>0.13003016071454815</v>
      </c>
      <c r="AC25" s="5">
        <f t="shared" si="15"/>
        <v>0.48199482649470793</v>
      </c>
      <c r="AD25" s="25">
        <f t="shared" si="16"/>
        <v>1.4755838461538454E-2</v>
      </c>
      <c r="AE25" s="5">
        <f t="shared" si="17"/>
        <v>0.49675066495624637</v>
      </c>
      <c r="AF25" s="5">
        <f t="shared" si="18"/>
        <v>1.3336107378659472</v>
      </c>
      <c r="AG25" s="5">
        <f t="shared" si="19"/>
        <v>1.3336107378659472</v>
      </c>
      <c r="AH25" s="5">
        <f t="shared" si="20"/>
        <v>0.49675066495624631</v>
      </c>
      <c r="AI25" s="25">
        <f t="shared" si="21"/>
        <v>0</v>
      </c>
      <c r="AJ25" s="25">
        <f t="shared" si="22"/>
        <v>0.35196466578015978</v>
      </c>
      <c r="AK25" s="25">
        <f t="shared" si="23"/>
        <v>0.14478599917608653</v>
      </c>
      <c r="AL25" s="25">
        <f t="shared" si="24"/>
        <v>0.14390801045221607</v>
      </c>
      <c r="AM25" s="25">
        <f t="shared" si="25"/>
        <v>1</v>
      </c>
      <c r="AN25" s="26">
        <f t="shared" si="26"/>
        <v>7.7359772086592011</v>
      </c>
      <c r="AO25" s="5">
        <f t="shared" si="27"/>
        <v>6.9488835045221116</v>
      </c>
      <c r="AP25" s="25">
        <f t="shared" si="28"/>
        <v>2.3291034677899374E-2</v>
      </c>
      <c r="AQ25" s="26">
        <f t="shared" si="29"/>
        <v>4.8304926580320888</v>
      </c>
      <c r="AR25" s="26">
        <f t="shared" si="30"/>
        <v>4.0513201740605016</v>
      </c>
      <c r="AS25" s="5"/>
      <c r="AV25" s="1" t="s">
        <v>87</v>
      </c>
      <c r="AX25" s="5">
        <f>$AO30</f>
        <v>2.1945415807778081</v>
      </c>
      <c r="AY25" s="5">
        <f>$AO31</f>
        <v>4.0331903643027847</v>
      </c>
      <c r="AZ25" s="5">
        <f>$AO32</f>
        <v>6.9488835045221116</v>
      </c>
      <c r="BA25" s="5">
        <f>$AO33</f>
        <v>12.300559692261906</v>
      </c>
      <c r="BB25" s="5"/>
      <c r="BD25" s="23">
        <f t="shared" si="31"/>
        <v>44</v>
      </c>
      <c r="BE25" s="23"/>
      <c r="BF25" s="23"/>
      <c r="BG25" s="23">
        <f t="shared" ref="BG25:BG42" si="37">$AZ$24*(BD25/100)^(-$AZ$25)</f>
        <v>6.9951107839453037</v>
      </c>
      <c r="BH25" s="23">
        <f t="shared" si="35"/>
        <v>28.31084597980394</v>
      </c>
      <c r="BI25" s="23">
        <v>44</v>
      </c>
      <c r="BK25" s="1">
        <f t="shared" ref="BK25:BK36" si="38">AY$26*(($BI25/100)/AY$23)^(3+2*AY$25)</f>
        <v>3.3976270300272464</v>
      </c>
      <c r="BL25" s="1">
        <f t="shared" si="36"/>
        <v>0.99596284133026203</v>
      </c>
      <c r="BO25" s="1">
        <f t="shared" si="32"/>
        <v>0.82410509101818641</v>
      </c>
      <c r="BP25" s="26">
        <f t="shared" si="34"/>
        <v>2.5538453475831608</v>
      </c>
      <c r="BQ25" s="26">
        <f t="shared" si="34"/>
        <v>1.2066782344823672</v>
      </c>
      <c r="BR25" s="26">
        <f t="shared" si="34"/>
        <v>0.44105134367180593</v>
      </c>
      <c r="BS25" s="26">
        <f t="shared" si="34"/>
        <v>9.380888325259186E-2</v>
      </c>
      <c r="BU25" s="5">
        <v>0.25</v>
      </c>
      <c r="BV25" s="5">
        <v>0.14721245377321235</v>
      </c>
      <c r="BW25" s="5">
        <v>1.5604520099960508</v>
      </c>
      <c r="BX25" s="26">
        <v>9.6442010287377826</v>
      </c>
      <c r="CA25" s="1">
        <f t="shared" si="33"/>
        <v>44</v>
      </c>
      <c r="CB25" s="23"/>
      <c r="CC25" s="23"/>
      <c r="CD25" s="23"/>
      <c r="CE25" s="23"/>
    </row>
    <row r="26" spans="2:83" x14ac:dyDescent="0.2">
      <c r="B26" s="1">
        <v>9</v>
      </c>
      <c r="C26" s="1" t="s">
        <v>128</v>
      </c>
      <c r="D26" s="1">
        <v>288</v>
      </c>
      <c r="F26" s="5">
        <v>8.8847222222222244E-2</v>
      </c>
      <c r="G26" s="5">
        <v>0.32191319444444461</v>
      </c>
      <c r="H26" s="5">
        <v>4.056727638888888</v>
      </c>
      <c r="I26" s="5">
        <v>1</v>
      </c>
      <c r="J26" s="5">
        <v>0</v>
      </c>
      <c r="K26" s="5">
        <v>0</v>
      </c>
      <c r="L26" s="5"/>
      <c r="M26" s="5">
        <f t="shared" si="0"/>
        <v>0.20429487852731715</v>
      </c>
      <c r="N26" s="5">
        <f t="shared" si="1"/>
        <v>0.38274250870431764</v>
      </c>
      <c r="O26" s="5">
        <f t="shared" si="2"/>
        <v>0.54643167286482386</v>
      </c>
      <c r="P26" s="5">
        <f t="shared" si="3"/>
        <v>0.17844763017700049</v>
      </c>
      <c r="Q26" s="5">
        <f t="shared" si="4"/>
        <v>11.399879836592914</v>
      </c>
      <c r="R26" s="5">
        <f t="shared" si="5"/>
        <v>1.2019560669082168</v>
      </c>
      <c r="S26" s="5">
        <f t="shared" si="6"/>
        <v>0.51215899835182821</v>
      </c>
      <c r="T26" s="5">
        <f t="shared" si="7"/>
        <v>0</v>
      </c>
      <c r="U26" s="5">
        <f t="shared" si="8"/>
        <v>1.2019560669082168</v>
      </c>
      <c r="W26" s="5">
        <f t="shared" si="9"/>
        <v>0.19674989344501503</v>
      </c>
      <c r="X26" s="5">
        <f t="shared" si="10"/>
        <v>0.20429487852731715</v>
      </c>
      <c r="Y26" s="25">
        <f t="shared" si="11"/>
        <v>0.36392701001336275</v>
      </c>
      <c r="Z26" s="25">
        <f t="shared" si="12"/>
        <v>0.38274250870431764</v>
      </c>
      <c r="AA26" s="5">
        <f t="shared" si="13"/>
        <v>0.14444214224698154</v>
      </c>
      <c r="AB26" s="5">
        <f t="shared" si="14"/>
        <v>0.12930734471606181</v>
      </c>
      <c r="AC26" s="5">
        <f t="shared" si="15"/>
        <v>0.51204985342037945</v>
      </c>
      <c r="AD26" s="25">
        <f t="shared" si="16"/>
        <v>3.4381819444444441E-2</v>
      </c>
      <c r="AE26" s="5">
        <f t="shared" si="17"/>
        <v>0.54643167286482386</v>
      </c>
      <c r="AF26" s="5">
        <f t="shared" si="18"/>
        <v>1.2019560669082168</v>
      </c>
      <c r="AG26" s="5">
        <f t="shared" si="19"/>
        <v>1.2019560669082168</v>
      </c>
      <c r="AH26" s="5">
        <f t="shared" si="20"/>
        <v>0.54643167286482386</v>
      </c>
      <c r="AI26" s="25">
        <f t="shared" si="21"/>
        <v>0</v>
      </c>
      <c r="AJ26" s="25">
        <f t="shared" si="22"/>
        <v>0.38274250870431764</v>
      </c>
      <c r="AK26" s="25">
        <f t="shared" si="23"/>
        <v>0.16368916416050622</v>
      </c>
      <c r="AL26" s="25">
        <f t="shared" si="24"/>
        <v>0.16448657722443336</v>
      </c>
      <c r="AM26" s="25">
        <f t="shared" si="25"/>
        <v>1</v>
      </c>
      <c r="AN26" s="26">
        <f t="shared" si="26"/>
        <v>11.399879836592914</v>
      </c>
      <c r="AO26" s="5">
        <f t="shared" si="27"/>
        <v>6.0795234290488773</v>
      </c>
      <c r="AP26" s="25">
        <f t="shared" si="28"/>
        <v>9.6113732984461853E-2</v>
      </c>
      <c r="AQ26" s="26">
        <f t="shared" si="29"/>
        <v>4.6984496450346391</v>
      </c>
      <c r="AR26" s="26">
        <f t="shared" si="30"/>
        <v>3.9090334164842475</v>
      </c>
      <c r="AS26" s="5"/>
      <c r="AV26" s="1" t="s">
        <v>88</v>
      </c>
      <c r="AX26" s="26">
        <f>$AN30</f>
        <v>9.4557383110166496E-2</v>
      </c>
      <c r="AY26" s="26">
        <f>$AN31</f>
        <v>15.54946932044418</v>
      </c>
      <c r="AZ26" s="26">
        <f>$AN32</f>
        <v>7.7359772086592011</v>
      </c>
      <c r="BA26" s="26">
        <f>$AN33</f>
        <v>2.1032276635456717</v>
      </c>
      <c r="BB26" s="5"/>
      <c r="BD26" s="23">
        <v>42</v>
      </c>
      <c r="BE26" s="23"/>
      <c r="BF26" s="23"/>
      <c r="BG26" s="23">
        <f t="shared" si="37"/>
        <v>9.6646375905348236</v>
      </c>
      <c r="BH26" s="23">
        <f t="shared" si="35"/>
        <v>50.172507163058533</v>
      </c>
      <c r="BI26" s="23">
        <v>42</v>
      </c>
      <c r="BJ26" s="1">
        <f t="shared" ref="BJ26:BJ37" si="39">AX$26*(($BI26/100)/AX$23)^(3+2*AX$25)</f>
        <v>1.2786556378198501</v>
      </c>
      <c r="BK26" s="1">
        <f t="shared" si="38"/>
        <v>2.0304735690487599</v>
      </c>
      <c r="BL26" s="1">
        <f t="shared" si="36"/>
        <v>0.45378592841839871</v>
      </c>
      <c r="BM26" s="1">
        <f t="shared" ref="BM26:BM34" si="40">BA$26*(($BI26/100)/BA$23)^(3+2*BA$25)</f>
        <v>3.2257277287184218E-3</v>
      </c>
      <c r="BO26" s="1">
        <f t="shared" si="32"/>
        <v>0.78664576869917791</v>
      </c>
      <c r="BP26" s="26">
        <f t="shared" si="34"/>
        <v>1.4749294430325441</v>
      </c>
      <c r="BQ26" s="26">
        <f t="shared" si="34"/>
        <v>0.69259699016441734</v>
      </c>
      <c r="BR26" s="26">
        <f t="shared" si="34"/>
        <v>0.25151937731289464</v>
      </c>
      <c r="BS26" s="26">
        <f t="shared" si="34"/>
        <v>5.3136356779577738E-2</v>
      </c>
      <c r="BU26" s="5">
        <v>0.3</v>
      </c>
      <c r="BV26" s="5">
        <v>0.18163352159376231</v>
      </c>
      <c r="BW26" s="5">
        <v>1.6044294407449005</v>
      </c>
      <c r="BX26" s="26">
        <v>9.108910941907757</v>
      </c>
      <c r="CA26" s="1">
        <v>42</v>
      </c>
      <c r="CB26" s="23"/>
      <c r="CC26" s="23"/>
      <c r="CD26" s="23"/>
      <c r="CE26" s="23"/>
    </row>
    <row r="27" spans="2:83" x14ac:dyDescent="0.2">
      <c r="B27" s="1">
        <v>10</v>
      </c>
      <c r="C27" s="1" t="s">
        <v>129</v>
      </c>
      <c r="D27" s="1">
        <v>83</v>
      </c>
      <c r="F27" s="5">
        <v>7.6554216867469896E-2</v>
      </c>
      <c r="G27" s="5">
        <v>0.46515662650602396</v>
      </c>
      <c r="H27" s="5">
        <v>3.5921513253012067</v>
      </c>
      <c r="I27" s="5">
        <v>1</v>
      </c>
      <c r="J27" s="5">
        <v>0</v>
      </c>
      <c r="K27" s="5">
        <v>0</v>
      </c>
      <c r="L27" s="5"/>
      <c r="M27" s="5">
        <f t="shared" si="0"/>
        <v>0.2756264487800571</v>
      </c>
      <c r="N27" s="5">
        <f t="shared" si="1"/>
        <v>0.41237295151276643</v>
      </c>
      <c r="O27" s="5">
        <f t="shared" si="2"/>
        <v>0.54260728043975637</v>
      </c>
      <c r="P27" s="5">
        <f t="shared" si="3"/>
        <v>0.13674650273270933</v>
      </c>
      <c r="Q27" s="5">
        <f t="shared" si="4"/>
        <v>5.2866537980747221</v>
      </c>
      <c r="R27" s="5">
        <f t="shared" si="5"/>
        <v>1.2120907068346454</v>
      </c>
      <c r="S27" s="5">
        <f t="shared" si="6"/>
        <v>0.51121646702434886</v>
      </c>
      <c r="T27" s="5">
        <f t="shared" si="7"/>
        <v>0</v>
      </c>
      <c r="U27" s="5">
        <f t="shared" si="8"/>
        <v>1.2120907068346454</v>
      </c>
      <c r="W27" s="5">
        <f t="shared" si="9"/>
        <v>0.25932144629829573</v>
      </c>
      <c r="X27" s="5">
        <f t="shared" si="10"/>
        <v>0.2756264487800571</v>
      </c>
      <c r="Y27" s="25">
        <f t="shared" si="11"/>
        <v>0.38263499847938448</v>
      </c>
      <c r="Z27" s="25">
        <f t="shared" si="12"/>
        <v>0.41237295151276643</v>
      </c>
      <c r="AA27" s="5">
        <f t="shared" si="13"/>
        <v>0.12326411244690379</v>
      </c>
      <c r="AB27" s="5">
        <f t="shared" si="14"/>
        <v>9.4660087963134604E-2</v>
      </c>
      <c r="AC27" s="5">
        <f t="shared" si="15"/>
        <v>0.50703303947590106</v>
      </c>
      <c r="AD27" s="25">
        <f t="shared" si="16"/>
        <v>3.5574240963855419E-2</v>
      </c>
      <c r="AE27" s="5">
        <f t="shared" si="17"/>
        <v>0.54260728043975648</v>
      </c>
      <c r="AF27" s="5">
        <f t="shared" si="18"/>
        <v>1.2120907068346454</v>
      </c>
      <c r="AG27" s="5">
        <f t="shared" si="19"/>
        <v>1.2120907068346454</v>
      </c>
      <c r="AH27" s="5">
        <f t="shared" si="20"/>
        <v>0.54260728043975637</v>
      </c>
      <c r="AI27" s="25">
        <f t="shared" si="21"/>
        <v>0</v>
      </c>
      <c r="AJ27" s="25">
        <f t="shared" si="22"/>
        <v>0.41237295151276643</v>
      </c>
      <c r="AK27" s="25">
        <f t="shared" si="23"/>
        <v>0.13023432892698994</v>
      </c>
      <c r="AL27" s="25">
        <f t="shared" si="24"/>
        <v>0.10555723678356999</v>
      </c>
      <c r="AM27" s="25">
        <f t="shared" si="25"/>
        <v>1</v>
      </c>
      <c r="AN27" s="26">
        <f t="shared" si="26"/>
        <v>5.2866537980747221</v>
      </c>
      <c r="AO27" s="5">
        <f t="shared" si="27"/>
        <v>9.4735333215510078</v>
      </c>
      <c r="AP27" s="25">
        <f t="shared" si="28"/>
        <v>7.4808777443141558E-3</v>
      </c>
      <c r="AQ27" s="26">
        <f t="shared" si="29"/>
        <v>3.5448868716696218</v>
      </c>
      <c r="AR27" s="26">
        <f t="shared" si="30"/>
        <v>2.6956391138296674</v>
      </c>
      <c r="AS27" s="5"/>
      <c r="AV27" s="1" t="s">
        <v>89</v>
      </c>
      <c r="AX27" s="26">
        <f>$AR30</f>
        <v>30.529778368757942</v>
      </c>
      <c r="AY27" s="26">
        <f>$AR31</f>
        <v>6.6610404818268796</v>
      </c>
      <c r="AZ27" s="26">
        <f>$AR32</f>
        <v>4.0513201740605016</v>
      </c>
      <c r="BA27" s="26">
        <f>$AR33</f>
        <v>2.6826274429663219</v>
      </c>
      <c r="BB27" s="5"/>
      <c r="BD27" s="23">
        <f>BD26-2</f>
        <v>40</v>
      </c>
      <c r="BE27" s="23"/>
      <c r="BF27" s="23">
        <f t="shared" ref="BF27:BF43" si="41">$AY$24*(BD27/100)^(-$AY$25)</f>
        <v>15.447162600450485</v>
      </c>
      <c r="BG27" s="23">
        <f t="shared" si="37"/>
        <v>13.565241943793151</v>
      </c>
      <c r="BH27" s="23">
        <f t="shared" si="35"/>
        <v>91.433646775129048</v>
      </c>
      <c r="BI27" s="23">
        <v>40</v>
      </c>
      <c r="BJ27" s="24">
        <f t="shared" si="39"/>
        <v>0.89162883481131838</v>
      </c>
      <c r="BK27" s="24">
        <f t="shared" si="38"/>
        <v>1.1833371244593118</v>
      </c>
      <c r="BL27" s="24">
        <f t="shared" si="36"/>
        <v>0.19897530808751615</v>
      </c>
      <c r="BM27" s="24">
        <f t="shared" si="40"/>
        <v>8.3903356368484683E-4</v>
      </c>
      <c r="BO27" s="1">
        <f t="shared" si="32"/>
        <v>0.7491864463801694</v>
      </c>
      <c r="BP27" s="26">
        <f t="shared" si="34"/>
        <v>0.82930251304899372</v>
      </c>
      <c r="BQ27" s="26">
        <f t="shared" si="34"/>
        <v>0.38690438868892107</v>
      </c>
      <c r="BR27" s="26">
        <f t="shared" si="34"/>
        <v>0.13955670695577072</v>
      </c>
      <c r="BS27" s="26">
        <f t="shared" si="34"/>
        <v>2.9274760146012425E-2</v>
      </c>
      <c r="BU27" s="5">
        <v>0.35</v>
      </c>
      <c r="BV27" s="5">
        <v>0.21805099627413727</v>
      </c>
      <c r="BW27" s="5">
        <v>1.650957543218468</v>
      </c>
      <c r="BX27" s="26">
        <v>8.5606615243366857</v>
      </c>
      <c r="CA27" s="1">
        <f>CA26-2</f>
        <v>40</v>
      </c>
      <c r="CB27" s="23">
        <f t="shared" ref="CB27:CB43" si="42">$AX$24*(CA27/100)^(-$AX$25)+$AX$23/($BD27/100)*36*$AX$29</f>
        <v>14.502004662177464</v>
      </c>
      <c r="CC27" s="23">
        <f t="shared" ref="CC27:CC43" si="43">$AY$24*(CA27/100)^(-$AY$25)+$AY$23/($BD27/100)*36*$AY$29</f>
        <v>15.447162600450485</v>
      </c>
      <c r="CD27" s="23">
        <f t="shared" ref="CD27:CD43" si="44">$AZ$24*(CA27/100)^(-$AZ$25)+$AZ$23/($BD27/100)*36*$AZ$29</f>
        <v>13.565241943793151</v>
      </c>
      <c r="CE27" s="23">
        <f t="shared" ref="CE27:CE42" si="45">$BA$24*(CA27/100)^(-$BA$25)+$BA$23/($BD27/100)*36*$BA$29</f>
        <v>91.433646775129048</v>
      </c>
    </row>
    <row r="28" spans="2:83" x14ac:dyDescent="0.2">
      <c r="B28" s="1">
        <v>11</v>
      </c>
      <c r="C28" s="1" t="s">
        <v>130</v>
      </c>
      <c r="D28" s="1">
        <v>140</v>
      </c>
      <c r="F28" s="5">
        <v>0.12736428571428574</v>
      </c>
      <c r="G28" s="5">
        <v>0.54555714285714296</v>
      </c>
      <c r="H28" s="5">
        <v>2.88</v>
      </c>
      <c r="I28" s="5">
        <v>1</v>
      </c>
      <c r="J28" s="5">
        <v>0</v>
      </c>
      <c r="K28" s="5">
        <v>0</v>
      </c>
      <c r="L28" s="5"/>
      <c r="M28" s="5">
        <f t="shared" si="0"/>
        <v>0.31862892619568156</v>
      </c>
      <c r="N28" s="5">
        <f t="shared" si="1"/>
        <v>0.43455169849824726</v>
      </c>
      <c r="O28" s="5">
        <f t="shared" si="2"/>
        <v>0.53114249045657214</v>
      </c>
      <c r="P28" s="5">
        <f t="shared" si="3"/>
        <v>0.1159227723025657</v>
      </c>
      <c r="Q28" s="5">
        <f t="shared" si="4"/>
        <v>2.1032276635456717</v>
      </c>
      <c r="R28" s="5">
        <f t="shared" si="5"/>
        <v>1.2424724002900838</v>
      </c>
      <c r="S28" s="5">
        <f t="shared" si="6"/>
        <v>0.50782942765707106</v>
      </c>
      <c r="T28" s="5">
        <f t="shared" si="7"/>
        <v>0</v>
      </c>
      <c r="U28" s="5">
        <f t="shared" si="8"/>
        <v>1.2424724002900838</v>
      </c>
      <c r="W28" s="5">
        <f t="shared" si="9"/>
        <v>0.29704291771551017</v>
      </c>
      <c r="X28" s="5">
        <f t="shared" si="10"/>
        <v>0.31862892619568156</v>
      </c>
      <c r="Y28" s="25">
        <f t="shared" si="11"/>
        <v>0.39628053068040814</v>
      </c>
      <c r="Z28" s="25">
        <f t="shared" si="12"/>
        <v>0.43455169849824726</v>
      </c>
      <c r="AA28" s="5">
        <f t="shared" si="13"/>
        <v>0.10571218072897959</v>
      </c>
      <c r="AB28" s="5">
        <f t="shared" si="14"/>
        <v>6.5945127672610612E-2</v>
      </c>
      <c r="AC28" s="5">
        <f t="shared" si="15"/>
        <v>0.50049682617085789</v>
      </c>
      <c r="AD28" s="25">
        <f t="shared" si="16"/>
        <v>3.0645664285714282E-2</v>
      </c>
      <c r="AE28" s="5">
        <f t="shared" si="17"/>
        <v>0.53114249045657214</v>
      </c>
      <c r="AF28" s="5">
        <f t="shared" si="18"/>
        <v>1.2424724002900838</v>
      </c>
      <c r="AG28" s="5">
        <f t="shared" si="19"/>
        <v>1.2424724002900838</v>
      </c>
      <c r="AH28" s="5">
        <f t="shared" si="20"/>
        <v>0.53114249045657214</v>
      </c>
      <c r="AI28" s="25">
        <f t="shared" si="21"/>
        <v>0</v>
      </c>
      <c r="AJ28" s="25">
        <f t="shared" si="22"/>
        <v>0.43455169849824726</v>
      </c>
      <c r="AK28" s="25">
        <f t="shared" si="23"/>
        <v>9.6590791958324873E-2</v>
      </c>
      <c r="AL28" s="25">
        <f t="shared" si="24"/>
        <v>8.1297113710125296E-2</v>
      </c>
      <c r="AM28" s="25">
        <f t="shared" si="25"/>
        <v>1</v>
      </c>
      <c r="AN28" s="26">
        <f t="shared" si="26"/>
        <v>2.1032276635456717</v>
      </c>
      <c r="AO28" s="5">
        <f t="shared" si="27"/>
        <v>12.300559692261906</v>
      </c>
      <c r="AP28" s="25">
        <f t="shared" si="28"/>
        <v>1.1647191365648218E-3</v>
      </c>
      <c r="AQ28" s="26">
        <f t="shared" si="29"/>
        <v>3.5322362798554465</v>
      </c>
      <c r="AR28" s="26">
        <f t="shared" si="30"/>
        <v>2.6826274429663219</v>
      </c>
      <c r="AS28" s="5"/>
      <c r="AU28" s="5"/>
      <c r="AV28" s="5" t="s">
        <v>90</v>
      </c>
      <c r="AW28" s="5"/>
      <c r="AX28" s="5">
        <f>AX21-AX22</f>
        <v>0.22669867938508803</v>
      </c>
      <c r="AY28" s="5">
        <f>AY21-AY22</f>
        <v>0.20274799359641787</v>
      </c>
      <c r="AZ28" s="5">
        <f>AZ21-AZ22</f>
        <v>0.1487474897071879</v>
      </c>
      <c r="BA28" s="5">
        <f>BA21-BA22</f>
        <v>0.1159227723025657</v>
      </c>
      <c r="BB28" s="5"/>
      <c r="BD28" s="23">
        <f>BD27-2</f>
        <v>38</v>
      </c>
      <c r="BE28" s="23">
        <f t="shared" ref="BE28:BE44" si="46">$AX$24*(BD28/100)^(-$AX$25)</f>
        <v>16.229850331793806</v>
      </c>
      <c r="BF28" s="23">
        <f t="shared" si="41"/>
        <v>18.997377754084948</v>
      </c>
      <c r="BG28" s="23">
        <f t="shared" si="37"/>
        <v>19.374192735367856</v>
      </c>
      <c r="BH28" s="23">
        <f t="shared" si="35"/>
        <v>171.83758660439585</v>
      </c>
      <c r="BI28" s="23">
        <v>38</v>
      </c>
      <c r="BJ28" s="24">
        <f t="shared" si="39"/>
        <v>0.61035424837874575</v>
      </c>
      <c r="BK28" s="24">
        <f t="shared" si="38"/>
        <v>0.67079439421390841</v>
      </c>
      <c r="BL28" s="24">
        <f t="shared" si="36"/>
        <v>8.3633035153624344E-2</v>
      </c>
      <c r="BM28" s="24">
        <f t="shared" si="40"/>
        <v>2.0366945641792504E-4</v>
      </c>
      <c r="BO28" s="1">
        <f t="shared" si="32"/>
        <v>0.7117271240611609</v>
      </c>
      <c r="BP28" s="26">
        <f t="shared" si="34"/>
        <v>0.45271588181167832</v>
      </c>
      <c r="BQ28" s="26">
        <f t="shared" si="34"/>
        <v>0.20977470317076707</v>
      </c>
      <c r="BR28" s="26">
        <f t="shared" si="34"/>
        <v>7.5128609669685514E-2</v>
      </c>
      <c r="BS28" s="26">
        <f t="shared" si="34"/>
        <v>1.5642724394539453E-2</v>
      </c>
      <c r="BU28" s="5">
        <v>0.4</v>
      </c>
      <c r="BV28" s="5">
        <v>0.2566437511884162</v>
      </c>
      <c r="BW28" s="5">
        <v>1.700264851623257</v>
      </c>
      <c r="BX28" s="26">
        <v>7.998976392864062</v>
      </c>
      <c r="CA28" s="1">
        <f>CA27-2</f>
        <v>38</v>
      </c>
      <c r="CB28" s="23">
        <f t="shared" si="42"/>
        <v>16.229850331793806</v>
      </c>
      <c r="CC28" s="23">
        <f t="shared" si="43"/>
        <v>18.997377754084948</v>
      </c>
      <c r="CD28" s="23">
        <f t="shared" si="44"/>
        <v>19.374192735367856</v>
      </c>
      <c r="CE28" s="23">
        <f t="shared" si="45"/>
        <v>171.83758660439585</v>
      </c>
    </row>
    <row r="29" spans="2:83" ht="15.75" x14ac:dyDescent="0.25">
      <c r="B29" s="10" t="s">
        <v>92</v>
      </c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W29" s="5"/>
      <c r="X29" s="5"/>
      <c r="Y29" s="25"/>
      <c r="Z29" s="25"/>
      <c r="AA29" s="5"/>
      <c r="AB29" s="5"/>
      <c r="AC29" s="5"/>
      <c r="AD29" s="25"/>
      <c r="AE29" s="5"/>
      <c r="AF29" s="5"/>
      <c r="AG29" s="5"/>
      <c r="AH29" s="5"/>
      <c r="AI29" s="25"/>
      <c r="AJ29" s="25"/>
      <c r="AK29" s="25"/>
      <c r="AL29" s="25"/>
      <c r="AM29" s="25"/>
      <c r="AN29" s="26"/>
      <c r="AO29" s="5"/>
      <c r="AP29" s="25"/>
      <c r="AQ29" s="26"/>
      <c r="AR29" s="26"/>
      <c r="AS29" s="5"/>
      <c r="AV29" s="1" t="s">
        <v>91</v>
      </c>
      <c r="AX29" s="5">
        <f>K30</f>
        <v>0</v>
      </c>
      <c r="AY29" s="5">
        <f>K31</f>
        <v>0</v>
      </c>
      <c r="AZ29" s="5">
        <f>K32</f>
        <v>0</v>
      </c>
      <c r="BA29" s="5">
        <f>K33</f>
        <v>0</v>
      </c>
      <c r="BB29" s="5"/>
      <c r="BD29" s="23">
        <f>BD28-2</f>
        <v>36</v>
      </c>
      <c r="BE29" s="23">
        <f t="shared" si="46"/>
        <v>18.274468559432222</v>
      </c>
      <c r="BF29" s="23">
        <f t="shared" si="41"/>
        <v>23.626391061366206</v>
      </c>
      <c r="BG29" s="23">
        <f t="shared" si="37"/>
        <v>28.209215945160793</v>
      </c>
      <c r="BH29" s="23">
        <f t="shared" si="35"/>
        <v>334.15563229948543</v>
      </c>
      <c r="BI29" s="23">
        <v>36</v>
      </c>
      <c r="BJ29" s="24">
        <f t="shared" si="39"/>
        <v>0.40933436048861699</v>
      </c>
      <c r="BK29" s="24">
        <f t="shared" si="38"/>
        <v>0.36875564556106322</v>
      </c>
      <c r="BL29" s="24">
        <f t="shared" si="36"/>
        <v>3.3542835428103039E-2</v>
      </c>
      <c r="BM29" s="24">
        <f t="shared" si="40"/>
        <v>4.5795349147787075E-5</v>
      </c>
      <c r="BO29" s="1">
        <f t="shared" si="32"/>
        <v>0.6742678017421524</v>
      </c>
      <c r="BP29" s="26">
        <f t="shared" si="34"/>
        <v>0.2391782097609618</v>
      </c>
      <c r="BQ29" s="26">
        <f t="shared" si="34"/>
        <v>0.11003363297820933</v>
      </c>
      <c r="BR29" s="26">
        <f t="shared" si="34"/>
        <v>3.9112493268458191E-2</v>
      </c>
      <c r="BS29" s="26">
        <f t="shared" si="34"/>
        <v>8.0800113853484665E-3</v>
      </c>
      <c r="BU29" s="5">
        <v>0.45</v>
      </c>
      <c r="BV29" s="5">
        <v>0.29761268640397059</v>
      </c>
      <c r="BW29" s="5">
        <v>1.7526080421567158</v>
      </c>
      <c r="BX29" s="26">
        <v>7.4233555256411936</v>
      </c>
      <c r="CA29" s="1">
        <f>CA28-2</f>
        <v>36</v>
      </c>
      <c r="CB29" s="23">
        <f t="shared" si="42"/>
        <v>18.274468559432222</v>
      </c>
      <c r="CC29" s="23">
        <f t="shared" si="43"/>
        <v>23.626391061366206</v>
      </c>
      <c r="CD29" s="23">
        <f t="shared" si="44"/>
        <v>28.209215945160793</v>
      </c>
      <c r="CE29" s="23">
        <f t="shared" si="45"/>
        <v>334.15563229948543</v>
      </c>
    </row>
    <row r="30" spans="2:83" x14ac:dyDescent="0.2">
      <c r="B30" s="1">
        <v>3</v>
      </c>
      <c r="F30" s="5">
        <v>0.05</v>
      </c>
      <c r="G30" s="5">
        <v>0.05</v>
      </c>
      <c r="H30" s="5">
        <v>1</v>
      </c>
      <c r="I30" s="5">
        <v>1.2</v>
      </c>
      <c r="J30" s="5">
        <v>0</v>
      </c>
      <c r="K30" s="5">
        <v>0</v>
      </c>
      <c r="L30" s="5"/>
      <c r="M30" s="5">
        <f>X30</f>
        <v>4.8308799999999999E-2</v>
      </c>
      <c r="N30" s="5">
        <f>AJ30</f>
        <v>0.27500747938508802</v>
      </c>
      <c r="O30" s="5">
        <f>AH30</f>
        <v>0.29524175313664003</v>
      </c>
      <c r="P30" s="5">
        <f>(N30-M30)*(1-T30)</f>
        <v>0.22669867938508803</v>
      </c>
      <c r="Q30" s="5">
        <f>AN30</f>
        <v>9.4557383110166496E-2</v>
      </c>
      <c r="R30" s="5">
        <f>AG30</f>
        <v>1.8676093541879037</v>
      </c>
      <c r="S30" s="5">
        <f>N30-(S$16-33)*(O30-N30)/(33-AR30)</f>
        <v>0.46340688873350877</v>
      </c>
      <c r="T30" s="5">
        <f>((R30/2.65)*J30)/(1-J30*(1-R30/2.65))</f>
        <v>0</v>
      </c>
      <c r="U30" s="5">
        <f>T30*2.65+(1-T30)*R30</f>
        <v>1.8676093541879037</v>
      </c>
      <c r="W30" s="5">
        <f>-0.024*F30+0.487*G30+0.006*H30+0.005*F30*H30-0.013*G30*H30+0.068*F30*G30+0.031</f>
        <v>5.9920000000000001E-2</v>
      </c>
      <c r="X30" s="5">
        <f>W30+0.14*W30-0.02</f>
        <v>4.8308799999999999E-2</v>
      </c>
      <c r="Y30" s="25">
        <f>-0.251*F30+0.195*G30+0.011*H30+0.006*F30*H30-0.027*G30*H30+0.452*F30*G30+0.299</f>
        <v>0.30728</v>
      </c>
      <c r="Z30" s="25">
        <f>Y30+(1.283*Y30*Y30-0.374*Y30-0.015)</f>
        <v>0.2984994209472</v>
      </c>
      <c r="AA30" s="5">
        <f>0.278*F30+0.034*G30+0.022*H30-0.018*F30*H30-0.027*G30*H30-0.584*F30*G30+0.078</f>
        <v>0.11189</v>
      </c>
      <c r="AB30" s="5">
        <f>AA30+(0.636*AA30-0.107)</f>
        <v>7.6052040000000015E-2</v>
      </c>
      <c r="AC30" s="5">
        <f>AB30+Z30</f>
        <v>0.37455146094720004</v>
      </c>
      <c r="AD30" s="25">
        <f>-0.097*F30+0.043</f>
        <v>3.8149999999999996E-2</v>
      </c>
      <c r="AE30" s="5">
        <f>AC30+AD30</f>
        <v>0.41270146094720006</v>
      </c>
      <c r="AF30" s="5">
        <f>(1-AE30)*2.65</f>
        <v>1.5563411284899198</v>
      </c>
      <c r="AG30" s="5">
        <f>AF30*(I30)</f>
        <v>1.8676093541879037</v>
      </c>
      <c r="AH30" s="5">
        <f>1-(AG30/2.65)</f>
        <v>0.29524175313664003</v>
      </c>
      <c r="AI30" s="25">
        <f>(1-AG30/2.65)-(1-AF30/2.65)</f>
        <v>-0.11745970781056003</v>
      </c>
      <c r="AJ30" s="25">
        <f>Z30+0.2*AI30</f>
        <v>0.27500747938508802</v>
      </c>
      <c r="AK30" s="25">
        <f>AH30-AJ30</f>
        <v>2.0234273751552012E-2</v>
      </c>
      <c r="AL30" s="25">
        <f xml:space="preserve"> (LN(AJ30)-LN(X30))/(LN(1500)-LN(33))</f>
        <v>0.45567603218781183</v>
      </c>
      <c r="AM30" s="25">
        <f>(1-J30)/(1-J30*(1-1.5*(R30/2.65)))</f>
        <v>1</v>
      </c>
      <c r="AN30" s="26">
        <f>1930*(AK30)^(3-AL30)*AM30</f>
        <v>9.4557383110166496E-2</v>
      </c>
      <c r="AO30" s="5">
        <f>(LN(1500)-LN(33))/(LN(AJ30)-LN(X30))</f>
        <v>2.1945415807778081</v>
      </c>
      <c r="AP30" s="25">
        <f>EXP(LN(33)+(AO30*LN(AJ30)))</f>
        <v>1.941476529475999</v>
      </c>
      <c r="AQ30" s="26">
        <f>-21.674*$F30-27.932*$G30-81.975*$AK30+71.121*$F30*$AK30+8.294*$G30*$AK30+14.05*$F30*$G30+27.161</f>
        <v>23.137465651715502</v>
      </c>
      <c r="AR30" s="26">
        <f>AQ30+(0.02*AQ30^2-0.113*AQ30-0.7)</f>
        <v>30.529778368757942</v>
      </c>
      <c r="AS30" s="5"/>
      <c r="AU30" s="5"/>
      <c r="AV30" s="1" t="s">
        <v>93</v>
      </c>
      <c r="AW30" s="5"/>
      <c r="AX30" s="5">
        <f>(1-AX23)*2.65</f>
        <v>1.867609354187904</v>
      </c>
      <c r="AY30" s="5">
        <f>(1-AY23)*2.65</f>
        <v>1.3122115866441391</v>
      </c>
      <c r="AZ30" s="5">
        <f>(1-AZ23)*2.65</f>
        <v>1.3336107378659472</v>
      </c>
      <c r="BA30" s="5">
        <f>(1-BA23)*2.65</f>
        <v>1.2424724002900838</v>
      </c>
      <c r="BB30" s="5"/>
      <c r="BD30" s="23">
        <v>34</v>
      </c>
      <c r="BE30" s="23">
        <f t="shared" si="46"/>
        <v>20.716726985240378</v>
      </c>
      <c r="BF30" s="23">
        <f t="shared" si="41"/>
        <v>29.751963103559824</v>
      </c>
      <c r="BG30" s="23">
        <f t="shared" si="37"/>
        <v>41.964998013490018</v>
      </c>
      <c r="BH30" s="23">
        <f t="shared" si="35"/>
        <v>674.98288214821912</v>
      </c>
      <c r="BI30" s="23">
        <v>34</v>
      </c>
      <c r="BJ30" s="24">
        <f t="shared" si="39"/>
        <v>0.2683210083623947</v>
      </c>
      <c r="BK30" s="24">
        <f t="shared" si="38"/>
        <v>0.19589865283684277</v>
      </c>
      <c r="BL30" s="24">
        <f t="shared" si="36"/>
        <v>1.2768404638932791E-2</v>
      </c>
      <c r="BM30" s="24">
        <f t="shared" si="40"/>
        <v>9.455024891601323E-6</v>
      </c>
      <c r="BO30" s="1">
        <f t="shared" si="32"/>
        <v>0.636808479423144</v>
      </c>
      <c r="BP30" s="26">
        <f t="shared" si="34"/>
        <v>0.12183570482790193</v>
      </c>
      <c r="BQ30" s="26">
        <f t="shared" si="34"/>
        <v>5.5625803228133368E-2</v>
      </c>
      <c r="BR30" s="26">
        <f t="shared" si="34"/>
        <v>1.9616324959359152E-2</v>
      </c>
      <c r="BS30" s="26">
        <f t="shared" si="34"/>
        <v>4.0189125403382545E-3</v>
      </c>
      <c r="BU30" s="5">
        <v>0.5</v>
      </c>
      <c r="BV30" s="5">
        <v>0.34118422686778971</v>
      </c>
      <c r="BW30" s="5">
        <v>1.8082764023992852</v>
      </c>
      <c r="BX30" s="26">
        <v>6.8332737774896826</v>
      </c>
      <c r="CA30" s="1">
        <v>34</v>
      </c>
      <c r="CB30" s="23">
        <f t="shared" si="42"/>
        <v>20.716726985240378</v>
      </c>
      <c r="CC30" s="23">
        <f t="shared" si="43"/>
        <v>29.751963103559824</v>
      </c>
      <c r="CD30" s="23">
        <f t="shared" si="44"/>
        <v>41.964998013490018</v>
      </c>
      <c r="CE30" s="23">
        <f t="shared" si="45"/>
        <v>674.98288214821912</v>
      </c>
    </row>
    <row r="31" spans="2:83" x14ac:dyDescent="0.2">
      <c r="B31" s="1">
        <v>5</v>
      </c>
      <c r="F31" s="5">
        <v>0.15038994565217392</v>
      </c>
      <c r="G31" s="5">
        <v>0.1801073369565219</v>
      </c>
      <c r="H31" s="5">
        <v>3.0452492391304342</v>
      </c>
      <c r="I31" s="5">
        <v>1</v>
      </c>
      <c r="J31" s="5">
        <v>0</v>
      </c>
      <c r="K31" s="5">
        <v>0</v>
      </c>
      <c r="M31" s="5">
        <f>X31</f>
        <v>0.1286286654128268</v>
      </c>
      <c r="N31" s="5">
        <f>AJ31</f>
        <v>0.33137665900924468</v>
      </c>
      <c r="O31" s="5">
        <f>AH31</f>
        <v>0.50482581636070223</v>
      </c>
      <c r="P31" s="5">
        <f>(N31-M31)*(1-T31)</f>
        <v>0.20274799359641787</v>
      </c>
      <c r="Q31" s="5">
        <f>AN31</f>
        <v>15.54946932044418</v>
      </c>
      <c r="R31" s="5">
        <f>AG31</f>
        <v>1.3122115866441388</v>
      </c>
      <c r="S31" s="5">
        <f>N31-(S$16-33)*(O31-N31)/(33-AR31)</f>
        <v>0.4828378667433999</v>
      </c>
      <c r="T31" s="5">
        <f>((R31/2.65)*J31)/(1-J31*(1-R31/2.65))</f>
        <v>0</v>
      </c>
      <c r="U31" s="5">
        <f>T31*2.65+(1-T31)*R31</f>
        <v>1.3122115866441388</v>
      </c>
      <c r="W31" s="5">
        <f>-0.024*F31+0.487*G31+0.006*H31+0.005*F31*H31-0.013*G31*H31+0.068*F31*G31+0.031</f>
        <v>0.13037602229195333</v>
      </c>
      <c r="X31" s="5">
        <f>W31+0.14*W31-0.02</f>
        <v>0.1286286654128268</v>
      </c>
      <c r="Y31" s="25">
        <f>-0.251*F31+0.195*G31+0.011*H31+0.006*F31*H31-0.027*G31*H31+0.452*F31*G31+0.299</f>
        <v>0.33005293079394304</v>
      </c>
      <c r="Z31" s="25">
        <f>Y31+(1.283*Y31*Y31-0.374*Y31-0.015)</f>
        <v>0.33137665900924468</v>
      </c>
      <c r="AA31" s="5">
        <f>0.278*F31+0.034*G31+0.022*H31-0.018*F31*H31-0.027*G31*H31-0.584*F31*G31+0.078</f>
        <v>0.15405683501205292</v>
      </c>
      <c r="AB31" s="5">
        <f>AA31+(0.636*AA31-0.107)</f>
        <v>0.14503698207971857</v>
      </c>
      <c r="AC31" s="5">
        <f>AB31+Z31</f>
        <v>0.47641364108896322</v>
      </c>
      <c r="AD31" s="25">
        <f>-0.097*F31+0.043</f>
        <v>2.8412175271739126E-2</v>
      </c>
      <c r="AE31" s="5">
        <f>AC31+AD31</f>
        <v>0.50482581636070234</v>
      </c>
      <c r="AF31" s="5">
        <f>(1-AE31)*2.65</f>
        <v>1.3122115866441388</v>
      </c>
      <c r="AG31" s="5">
        <f>AF31*(I31)</f>
        <v>1.3122115866441388</v>
      </c>
      <c r="AH31" s="5">
        <f>1-(AG31/2.65)</f>
        <v>0.50482581636070223</v>
      </c>
      <c r="AI31" s="25">
        <f>(1-AG31/2.65)-(1-AF31/2.65)</f>
        <v>0</v>
      </c>
      <c r="AJ31" s="25">
        <f>Z31+0.2*AI31</f>
        <v>0.33137665900924468</v>
      </c>
      <c r="AK31" s="25">
        <f>AH31-AJ31</f>
        <v>0.17344915735145755</v>
      </c>
      <c r="AL31" s="25">
        <f xml:space="preserve"> (LN(AJ31)-LN(X31))/(LN(1500)-LN(33))</f>
        <v>0.24794267308849663</v>
      </c>
      <c r="AM31" s="25">
        <f>(1-J31)/(1-J31*(1-1.5*(R31/2.65)))</f>
        <v>1</v>
      </c>
      <c r="AN31" s="26">
        <f>1930*(AK31)^(3-AL31)*AM31</f>
        <v>15.54946932044418</v>
      </c>
      <c r="AO31" s="5">
        <f>(LN(1500)-LN(33))/(LN(AJ31)-LN(X31))</f>
        <v>4.0331903643027847</v>
      </c>
      <c r="AP31" s="25">
        <f>EXP(LN(33)+(AO31*LN(AJ31)))</f>
        <v>0.38360204125600778</v>
      </c>
      <c r="AQ31" s="26">
        <f>-21.674*$F31-27.932*$G31-81.975*$AK31+71.121*$F31*$AK31+8.294*$G31*$AK31+14.05*$F31*$G31+27.161</f>
        <v>7.1470505608210146</v>
      </c>
      <c r="AR31" s="26">
        <f>AQ31+(0.02*AQ31^2-0.113*AQ31-0.7)</f>
        <v>6.6610404818268796</v>
      </c>
      <c r="AS31" s="5"/>
      <c r="AV31" s="1" t="s">
        <v>94</v>
      </c>
      <c r="AX31" s="5">
        <f>AX30/2.65</f>
        <v>0.70475824686335997</v>
      </c>
      <c r="AY31" s="5">
        <f>AY30/2.65</f>
        <v>0.49517418363929777</v>
      </c>
      <c r="AZ31" s="5">
        <f>AZ30/2.65</f>
        <v>0.50324933504375369</v>
      </c>
      <c r="BA31" s="5">
        <f>BA30/2.65</f>
        <v>0.46885750954342786</v>
      </c>
      <c r="BB31" s="5"/>
      <c r="BD31" s="23">
        <v>32</v>
      </c>
      <c r="BE31" s="23">
        <f t="shared" si="46"/>
        <v>23.664704921007893</v>
      </c>
      <c r="BF31" s="23">
        <f t="shared" si="41"/>
        <v>37.993145316178371</v>
      </c>
      <c r="BG31" s="23">
        <f t="shared" si="37"/>
        <v>63.95049859967763</v>
      </c>
      <c r="BH31" s="23">
        <f t="shared" si="35"/>
        <v>1422.8314017845553</v>
      </c>
      <c r="BI31" s="23">
        <v>32</v>
      </c>
      <c r="BJ31" s="24">
        <f t="shared" si="39"/>
        <v>0.17143834264987651</v>
      </c>
      <c r="BK31" s="24">
        <f t="shared" si="38"/>
        <v>0.10015332898891266</v>
      </c>
      <c r="BL31" s="24">
        <f t="shared" si="36"/>
        <v>4.5839129872142859E-3</v>
      </c>
      <c r="BM31" s="24">
        <f t="shared" si="40"/>
        <v>1.7740035949463395E-6</v>
      </c>
      <c r="BO31" s="1">
        <f t="shared" si="32"/>
        <v>0.5993491571041355</v>
      </c>
      <c r="BP31" s="26">
        <f t="shared" si="34"/>
        <v>5.957480332055156E-2</v>
      </c>
      <c r="BQ31" s="26">
        <f t="shared" si="34"/>
        <v>2.698124329674214E-2</v>
      </c>
      <c r="BR31" s="26">
        <f t="shared" si="34"/>
        <v>9.4350776108034426E-3</v>
      </c>
      <c r="BS31" s="26">
        <f t="shared" si="34"/>
        <v>1.9160735343759356E-3</v>
      </c>
      <c r="BU31" s="5">
        <v>0.55000000000000004</v>
      </c>
      <c r="BV31" s="5">
        <v>0.38761450914396078</v>
      </c>
      <c r="BW31" s="5">
        <v>1.8675971804209017</v>
      </c>
      <c r="BX31" s="26">
        <v>6.2281792819440156</v>
      </c>
      <c r="CA31" s="1">
        <v>32</v>
      </c>
      <c r="CB31" s="23">
        <f t="shared" si="42"/>
        <v>23.664704921007893</v>
      </c>
      <c r="CC31" s="23">
        <f t="shared" si="43"/>
        <v>37.993145316178371</v>
      </c>
      <c r="CD31" s="23">
        <f t="shared" si="44"/>
        <v>63.95049859967763</v>
      </c>
      <c r="CE31" s="23">
        <f t="shared" si="45"/>
        <v>1422.8314017845553</v>
      </c>
    </row>
    <row r="32" spans="2:83" x14ac:dyDescent="0.2">
      <c r="B32" s="1">
        <v>8</v>
      </c>
      <c r="F32" s="5">
        <v>0.29117692307692311</v>
      </c>
      <c r="G32" s="5">
        <v>0.3157692307692308</v>
      </c>
      <c r="H32" s="5">
        <v>3.5097987692307693</v>
      </c>
      <c r="I32" s="5">
        <v>1</v>
      </c>
      <c r="J32" s="5">
        <v>0</v>
      </c>
      <c r="K32" s="5">
        <v>0</v>
      </c>
      <c r="M32" s="5">
        <f>X32</f>
        <v>0.20321717607297188</v>
      </c>
      <c r="N32" s="5">
        <f>AJ32</f>
        <v>0.35196466578015978</v>
      </c>
      <c r="O32" s="5">
        <f>AH32</f>
        <v>0.49675066495624631</v>
      </c>
      <c r="P32" s="5">
        <f>(N32-M32)*(1-T32)</f>
        <v>0.1487474897071879</v>
      </c>
      <c r="Q32" s="5">
        <f>AN32</f>
        <v>7.7359772086592011</v>
      </c>
      <c r="R32" s="5">
        <f>AG32</f>
        <v>1.3336107378659472</v>
      </c>
      <c r="S32" s="5">
        <f>N32-(S$16-33)*(O32-N32)/(33-AR32)</f>
        <v>0.46699851192004732</v>
      </c>
      <c r="T32" s="5">
        <f>((R32/2.65)*J32)/(1-J32*(1-R32/2.65))</f>
        <v>0</v>
      </c>
      <c r="U32" s="5">
        <f>T32*2.65+(1-T32)*R32</f>
        <v>1.3336107378659472</v>
      </c>
      <c r="W32" s="5">
        <f>-0.024*F32+0.487*G32+0.006*H32+0.005*F32*H32-0.013*G32*H32+0.068*F32*G32+0.031</f>
        <v>0.1958045404148876</v>
      </c>
      <c r="X32" s="5">
        <f>W32+0.14*W32-0.02</f>
        <v>0.20321717607297188</v>
      </c>
      <c r="Y32" s="25">
        <f>-0.251*F32+0.195*G32+0.011*H32+0.006*F32*H32-0.027*G32*H32+0.452*F32*G32+0.299</f>
        <v>0.34386448913781775</v>
      </c>
      <c r="Z32" s="25">
        <f>Y32+(1.283*Y32*Y32-0.374*Y32-0.015)</f>
        <v>0.35196466578015978</v>
      </c>
      <c r="AA32" s="5">
        <f>0.278*F32+0.034*G32+0.022*H32-0.018*F32*H32-0.027*G32*H32-0.584*F32*G32+0.078</f>
        <v>0.14488396131696096</v>
      </c>
      <c r="AB32" s="5">
        <f>AA32+(0.636*AA32-0.107)</f>
        <v>0.13003016071454815</v>
      </c>
      <c r="AC32" s="5">
        <f>AB32+Z32</f>
        <v>0.48199482649470793</v>
      </c>
      <c r="AD32" s="25">
        <f>-0.097*F32+0.043</f>
        <v>1.4755838461538454E-2</v>
      </c>
      <c r="AE32" s="5">
        <f>AC32+AD32</f>
        <v>0.49675066495624637</v>
      </c>
      <c r="AF32" s="5">
        <f>(1-AE32)*2.65</f>
        <v>1.3336107378659472</v>
      </c>
      <c r="AG32" s="5">
        <f>AF32*(I32)</f>
        <v>1.3336107378659472</v>
      </c>
      <c r="AH32" s="5">
        <f>1-(AG32/2.65)</f>
        <v>0.49675066495624631</v>
      </c>
      <c r="AI32" s="25">
        <f>(1-AG32/2.65)-(1-AF32/2.65)</f>
        <v>0</v>
      </c>
      <c r="AJ32" s="25">
        <f>Z32+0.2*AI32</f>
        <v>0.35196466578015978</v>
      </c>
      <c r="AK32" s="25">
        <f>AH32-AJ32</f>
        <v>0.14478599917608653</v>
      </c>
      <c r="AL32" s="25">
        <f xml:space="preserve"> (LN(AJ32)-LN(X32))/(LN(1500)-LN(33))</f>
        <v>0.14390801045221607</v>
      </c>
      <c r="AM32" s="25">
        <f>(1-J32)/(1-J32*(1-1.5*(R32/2.65)))</f>
        <v>1</v>
      </c>
      <c r="AN32" s="26">
        <f>1930*(AK32)^(3-AL32)*AM32</f>
        <v>7.7359772086592011</v>
      </c>
      <c r="AO32" s="5">
        <f>(LN(1500)-LN(33))/(LN(AJ32)-LN(X32))</f>
        <v>6.9488835045221116</v>
      </c>
      <c r="AP32" s="25">
        <f>EXP(LN(33)+(AO32*LN(AJ32)))</f>
        <v>2.3291034677899374E-2</v>
      </c>
      <c r="AQ32" s="26">
        <f>-21.674*$F32-27.932*$G32-81.975*$AK32+71.121*$F32*$AK32+8.294*$G32*$AK32+14.05*$F32*$G32+27.161</f>
        <v>4.8304926580320888</v>
      </c>
      <c r="AR32" s="26">
        <f>AQ32+(0.02*AQ32^2-0.113*AQ32-0.7)</f>
        <v>4.0513201740605016</v>
      </c>
      <c r="AS32" s="5"/>
      <c r="AV32" s="5" t="s">
        <v>95</v>
      </c>
      <c r="AX32" s="5">
        <f>(AX31*$J30)/(1-$J30*(1-AX31))</f>
        <v>0</v>
      </c>
      <c r="AY32" s="5">
        <f>(AY31*$J31)/(1-$J31*(1-AY31))</f>
        <v>0</v>
      </c>
      <c r="AZ32" s="5">
        <f>(AZ31*$J32)/(1-$J32*(1-AZ31))</f>
        <v>0</v>
      </c>
      <c r="BA32" s="5">
        <f>(BA31*$J33)/(1-$J33*(1-BA31))</f>
        <v>0</v>
      </c>
      <c r="BB32" s="5"/>
      <c r="BD32" s="23">
        <f t="shared" ref="BD32:BD37" si="47">BD31-2</f>
        <v>30</v>
      </c>
      <c r="BE32" s="23">
        <f t="shared" si="46"/>
        <v>27.265363556557539</v>
      </c>
      <c r="BF32" s="23">
        <f t="shared" si="41"/>
        <v>49.289047622870193</v>
      </c>
      <c r="BG32" s="23">
        <f t="shared" si="37"/>
        <v>100.14107978969797</v>
      </c>
      <c r="BH32" s="23">
        <f t="shared" si="35"/>
        <v>3147.1861344512204</v>
      </c>
      <c r="BI32" s="23">
        <v>30</v>
      </c>
      <c r="BJ32" s="24">
        <f t="shared" si="39"/>
        <v>0.10641464241036659</v>
      </c>
      <c r="BK32" s="24">
        <f t="shared" si="38"/>
        <v>4.9033044825955191E-2</v>
      </c>
      <c r="BL32" s="24">
        <f t="shared" si="36"/>
        <v>1.5403291141728162E-3</v>
      </c>
      <c r="BM32" s="24">
        <f t="shared" si="40"/>
        <v>2.9876543360453353E-7</v>
      </c>
      <c r="BO32" s="1">
        <f t="shared" si="32"/>
        <v>0.561889834785127</v>
      </c>
      <c r="BP32" s="26">
        <f t="shared" si="34"/>
        <v>2.7815778843141716E-2</v>
      </c>
      <c r="BQ32" s="26">
        <f t="shared" si="34"/>
        <v>1.2489989680379886E-2</v>
      </c>
      <c r="BR32" s="26">
        <f t="shared" si="34"/>
        <v>4.3286414808002271E-3</v>
      </c>
      <c r="BS32" s="26">
        <f t="shared" si="34"/>
        <v>8.7085772820830448E-4</v>
      </c>
      <c r="BU32" s="5">
        <v>0.6</v>
      </c>
      <c r="BV32" s="5">
        <v>0.4371944201814284</v>
      </c>
      <c r="BW32" s="5">
        <v>1.9309420224679754</v>
      </c>
      <c r="BX32" s="26">
        <v>5.6074917297578617</v>
      </c>
      <c r="CA32" s="1">
        <f t="shared" ref="CA32:CA37" si="48">CA31-2</f>
        <v>30</v>
      </c>
      <c r="CB32" s="23">
        <f t="shared" si="42"/>
        <v>27.265363556557539</v>
      </c>
      <c r="CC32" s="23">
        <f t="shared" si="43"/>
        <v>49.289047622870193</v>
      </c>
      <c r="CD32" s="23">
        <f t="shared" si="44"/>
        <v>100.14107978969797</v>
      </c>
      <c r="CE32" s="23">
        <f t="shared" si="45"/>
        <v>3147.1861344512204</v>
      </c>
    </row>
    <row r="33" spans="1:83" x14ac:dyDescent="0.2">
      <c r="B33" s="1">
        <v>11</v>
      </c>
      <c r="F33" s="5">
        <v>0.12736428571428574</v>
      </c>
      <c r="G33" s="5">
        <v>0.54555714285714296</v>
      </c>
      <c r="H33" s="5">
        <v>2.88</v>
      </c>
      <c r="I33" s="5">
        <v>1</v>
      </c>
      <c r="J33" s="5">
        <v>0</v>
      </c>
      <c r="K33" s="5">
        <v>0</v>
      </c>
      <c r="M33" s="5">
        <f>X33</f>
        <v>0.31862892619568156</v>
      </c>
      <c r="N33" s="5">
        <f>AJ33</f>
        <v>0.43455169849824726</v>
      </c>
      <c r="O33" s="5">
        <f>AH33</f>
        <v>0.53114249045657214</v>
      </c>
      <c r="P33" s="5">
        <f>(N33-M33)*(1-T33)</f>
        <v>0.1159227723025657</v>
      </c>
      <c r="Q33" s="5">
        <f>AN33</f>
        <v>2.1032276635456717</v>
      </c>
      <c r="R33" s="5">
        <f>AG33</f>
        <v>1.2424724002900838</v>
      </c>
      <c r="S33" s="5">
        <f>N33-(S$16-33)*(O33-N33)/(33-AR33)</f>
        <v>0.50782942765707106</v>
      </c>
      <c r="T33" s="5">
        <f>((R33/2.65)*J33)/(1-J33*(1-R33/2.65))</f>
        <v>0</v>
      </c>
      <c r="U33" s="5">
        <f>T33*2.65+(1-T33)*R33</f>
        <v>1.2424724002900838</v>
      </c>
      <c r="W33" s="5">
        <f>-0.024*F33+0.487*G33+0.006*H33+0.005*F33*H33-0.013*G33*H33+0.068*F33*G33+0.031</f>
        <v>0.29704291771551017</v>
      </c>
      <c r="X33" s="5">
        <f>W33+0.14*W33-0.02</f>
        <v>0.31862892619568156</v>
      </c>
      <c r="Y33" s="25">
        <f>-0.251*F33+0.195*G33+0.011*H33+0.006*F33*H33-0.027*G33*H33+0.452*F33*G33+0.299</f>
        <v>0.39628053068040814</v>
      </c>
      <c r="Z33" s="25">
        <f>Y33+(1.283*Y33*Y33-0.374*Y33-0.015)</f>
        <v>0.43455169849824726</v>
      </c>
      <c r="AA33" s="5">
        <f>0.278*F33+0.034*G33+0.022*H33-0.018*F33*H33-0.027*G33*H33-0.584*F33*G33+0.078</f>
        <v>0.10571218072897959</v>
      </c>
      <c r="AB33" s="5">
        <f>AA33+(0.636*AA33-0.107)</f>
        <v>6.5945127672610612E-2</v>
      </c>
      <c r="AC33" s="5">
        <f>AB33+Z33</f>
        <v>0.50049682617085789</v>
      </c>
      <c r="AD33" s="25">
        <f>-0.097*F33+0.043</f>
        <v>3.0645664285714282E-2</v>
      </c>
      <c r="AE33" s="5">
        <f>AC33+AD33</f>
        <v>0.53114249045657214</v>
      </c>
      <c r="AF33" s="5">
        <f>(1-AE33)*2.65</f>
        <v>1.2424724002900838</v>
      </c>
      <c r="AG33" s="5">
        <f>AF33*(I33)</f>
        <v>1.2424724002900838</v>
      </c>
      <c r="AH33" s="5">
        <f>1-(AG33/2.65)</f>
        <v>0.53114249045657214</v>
      </c>
      <c r="AI33" s="25">
        <f>(1-AG33/2.65)-(1-AF33/2.65)</f>
        <v>0</v>
      </c>
      <c r="AJ33" s="25">
        <f>Z33+0.2*AI33</f>
        <v>0.43455169849824726</v>
      </c>
      <c r="AK33" s="25">
        <f>AH33-AJ33</f>
        <v>9.6590791958324873E-2</v>
      </c>
      <c r="AL33" s="25">
        <f xml:space="preserve"> (LN(AJ33)-LN(X33))/(LN(1500)-LN(33))</f>
        <v>8.1297113710125296E-2</v>
      </c>
      <c r="AM33" s="25">
        <f>(1-J33)/(1-J33*(1-1.5*(R33/2.65)))</f>
        <v>1</v>
      </c>
      <c r="AN33" s="26">
        <f>1930*(AK33)^(3-AL33)*AM33</f>
        <v>2.1032276635456717</v>
      </c>
      <c r="AO33" s="5">
        <f>(LN(1500)-LN(33))/(LN(AJ33)-LN(X33))</f>
        <v>12.300559692261906</v>
      </c>
      <c r="AP33" s="25">
        <f>EXP(LN(33)+(AO33*LN(AJ33)))</f>
        <v>1.1647191365648218E-3</v>
      </c>
      <c r="AQ33" s="26">
        <f>-21.674*$F33-27.932*$G33-81.975*$AK33+71.121*$F33*$AK33+8.294*$G33*$AK33+14.05*$F33*$G33+27.161</f>
        <v>3.5322362798554465</v>
      </c>
      <c r="AR33" s="26">
        <f>AQ33+(0.02*AQ33^2-0.113*AQ33-0.7)</f>
        <v>2.6826274429663219</v>
      </c>
      <c r="AS33" s="5"/>
      <c r="AV33" s="1" t="s">
        <v>96</v>
      </c>
      <c r="AX33" s="5">
        <f>AX28*(1-AX32)</f>
        <v>0.22669867938508803</v>
      </c>
      <c r="AY33" s="5">
        <f>AY28*(1-AY32)</f>
        <v>0.20274799359641787</v>
      </c>
      <c r="AZ33" s="5">
        <f>AZ28*(1-AZ32)</f>
        <v>0.1487474897071879</v>
      </c>
      <c r="BA33" s="5">
        <f>BA28*(1-BA32)</f>
        <v>0.1159227723025657</v>
      </c>
      <c r="BB33" s="5"/>
      <c r="BD33" s="23">
        <f t="shared" si="47"/>
        <v>28</v>
      </c>
      <c r="BE33" s="23">
        <f t="shared" si="46"/>
        <v>31.722458108585137</v>
      </c>
      <c r="BF33" s="23">
        <f t="shared" si="41"/>
        <v>65.102521625014504</v>
      </c>
      <c r="BG33" s="23">
        <f t="shared" si="37"/>
        <v>161.74215254443058</v>
      </c>
      <c r="BH33" s="23">
        <f t="shared" si="35"/>
        <v>7353.3772466433429</v>
      </c>
      <c r="BI33" s="23">
        <v>28</v>
      </c>
      <c r="BJ33" s="24">
        <f t="shared" si="39"/>
        <v>6.391468320522084E-2</v>
      </c>
      <c r="BK33" s="24">
        <f t="shared" si="38"/>
        <v>2.2850958674594159E-2</v>
      </c>
      <c r="BL33" s="24"/>
      <c r="BM33" s="24">
        <f t="shared" si="40"/>
        <v>4.4495064811954662E-8</v>
      </c>
      <c r="BO33" s="1">
        <f t="shared" si="32"/>
        <v>0.5244305124661186</v>
      </c>
      <c r="BP33" s="26">
        <f t="shared" si="34"/>
        <v>1.2322263594898242E-2</v>
      </c>
      <c r="BQ33" s="26">
        <f t="shared" si="34"/>
        <v>5.4824607260835437E-3</v>
      </c>
      <c r="BR33" s="26">
        <f t="shared" si="34"/>
        <v>1.8819250734118547E-3</v>
      </c>
      <c r="BS33" s="26">
        <f t="shared" si="34"/>
        <v>3.7483992176318783E-4</v>
      </c>
      <c r="BU33" s="5">
        <v>0.65</v>
      </c>
      <c r="BV33" s="5">
        <v>0.49025569750739106</v>
      </c>
      <c r="BW33" s="5">
        <v>1.9987347667609019</v>
      </c>
      <c r="BX33" s="26">
        <v>4.9706005125864676</v>
      </c>
      <c r="CA33" s="1">
        <f t="shared" si="48"/>
        <v>28</v>
      </c>
      <c r="CB33" s="23">
        <f t="shared" si="42"/>
        <v>31.722458108585137</v>
      </c>
      <c r="CC33" s="23">
        <f t="shared" si="43"/>
        <v>65.102521625014504</v>
      </c>
      <c r="CD33" s="23">
        <f t="shared" si="44"/>
        <v>161.74215254443058</v>
      </c>
      <c r="CE33" s="23">
        <f t="shared" si="45"/>
        <v>7353.3772466433429</v>
      </c>
    </row>
    <row r="34" spans="1:83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9"/>
      <c r="AJ34" s="29"/>
      <c r="AK34" s="29"/>
      <c r="AL34" s="27"/>
      <c r="AM34" s="27"/>
      <c r="AN34" s="27"/>
      <c r="AO34" s="27"/>
      <c r="AP34" s="27"/>
      <c r="AQ34" s="30"/>
      <c r="AR34" s="28"/>
      <c r="AS34" s="27"/>
      <c r="AV34" s="1" t="s">
        <v>97</v>
      </c>
      <c r="AX34" s="26">
        <f>$AN30</f>
        <v>9.4557383110166496E-2</v>
      </c>
      <c r="AY34" s="26">
        <f>$AN31</f>
        <v>15.54946932044418</v>
      </c>
      <c r="AZ34" s="26">
        <f>$AN32</f>
        <v>7.7359772086592011</v>
      </c>
      <c r="BA34" s="26">
        <f>$AN33</f>
        <v>2.1032276635456717</v>
      </c>
      <c r="BB34" s="31"/>
      <c r="BD34" s="23">
        <f t="shared" si="47"/>
        <v>26</v>
      </c>
      <c r="BE34" s="23">
        <f t="shared" si="46"/>
        <v>37.32479735054067</v>
      </c>
      <c r="BF34" s="23">
        <f t="shared" si="41"/>
        <v>87.781857273445539</v>
      </c>
      <c r="BG34" s="23">
        <f t="shared" si="37"/>
        <v>270.6891410554544</v>
      </c>
      <c r="BH34" s="23">
        <f t="shared" si="35"/>
        <v>18296.8558238306</v>
      </c>
      <c r="BI34" s="23">
        <v>26</v>
      </c>
      <c r="BJ34" s="24">
        <f t="shared" si="39"/>
        <v>3.6964542779758199E-2</v>
      </c>
      <c r="BK34" s="24">
        <f t="shared" si="38"/>
        <v>1.0063208364173851E-2</v>
      </c>
      <c r="BL34" s="24"/>
      <c r="BM34" s="24">
        <f t="shared" si="40"/>
        <v>5.7541152424424041E-9</v>
      </c>
      <c r="BO34" s="1">
        <f t="shared" si="32"/>
        <v>0.48697119014711016</v>
      </c>
      <c r="BP34" s="26">
        <f t="shared" ref="BP34:BR35" si="49">BP$20*$BO34^(3+2*BP$15)</f>
        <v>5.1389449442117386E-3</v>
      </c>
      <c r="BQ34" s="26">
        <f t="shared" si="49"/>
        <v>2.2640065132010639E-3</v>
      </c>
      <c r="BR34" s="26">
        <f t="shared" si="49"/>
        <v>7.6918907908050569E-4</v>
      </c>
      <c r="BS34" s="26"/>
      <c r="BU34" s="5">
        <v>0.7</v>
      </c>
      <c r="BV34" s="5">
        <v>0.54717836119434171</v>
      </c>
      <c r="BW34" s="5">
        <v>2.0714609388071508</v>
      </c>
      <c r="BX34" s="26">
        <v>4.316862719363237</v>
      </c>
      <c r="CA34" s="1">
        <f t="shared" si="48"/>
        <v>26</v>
      </c>
      <c r="CB34" s="23">
        <f t="shared" si="42"/>
        <v>37.32479735054067</v>
      </c>
      <c r="CC34" s="23">
        <f t="shared" si="43"/>
        <v>87.781857273445539</v>
      </c>
      <c r="CD34" s="23">
        <f t="shared" si="44"/>
        <v>270.6891410554544</v>
      </c>
      <c r="CE34" s="23">
        <f t="shared" si="45"/>
        <v>18296.8558238306</v>
      </c>
    </row>
    <row r="35" spans="1:83" ht="15.75" x14ac:dyDescent="0.25">
      <c r="A35" s="10" t="s">
        <v>135</v>
      </c>
      <c r="M35" s="5"/>
      <c r="N35" s="5"/>
      <c r="O35" s="5"/>
      <c r="P35" s="5"/>
      <c r="Q35" s="5"/>
      <c r="S35" s="55" t="s">
        <v>150</v>
      </c>
      <c r="V35" s="5"/>
      <c r="AB35" s="1" t="s">
        <v>13</v>
      </c>
      <c r="AC35" s="1" t="s">
        <v>14</v>
      </c>
      <c r="AF35" s="1" t="s">
        <v>15</v>
      </c>
      <c r="AG35" s="1" t="s">
        <v>15</v>
      </c>
      <c r="AH35" s="1" t="s">
        <v>16</v>
      </c>
      <c r="AI35" s="1" t="s">
        <v>16</v>
      </c>
      <c r="AJ35" s="1" t="s">
        <v>17</v>
      </c>
      <c r="AK35" s="1" t="s">
        <v>18</v>
      </c>
      <c r="AM35" s="1" t="s">
        <v>19</v>
      </c>
      <c r="AO35" s="1" t="s">
        <v>20</v>
      </c>
      <c r="AP35" s="1" t="s">
        <v>20</v>
      </c>
      <c r="AY35" s="5"/>
      <c r="AZ35" s="5"/>
      <c r="BB35" s="31"/>
      <c r="BD35" s="23">
        <f t="shared" si="47"/>
        <v>24</v>
      </c>
      <c r="BE35" s="23">
        <f t="shared" si="46"/>
        <v>44.492247669230593</v>
      </c>
      <c r="BF35" s="23">
        <f t="shared" si="41"/>
        <v>121.22912131300605</v>
      </c>
      <c r="BG35" s="23">
        <f t="shared" si="37"/>
        <v>472.09419554742942</v>
      </c>
      <c r="BH35" s="23">
        <f t="shared" si="35"/>
        <v>48974.479497367916</v>
      </c>
      <c r="BI35" s="23">
        <v>24</v>
      </c>
      <c r="BJ35" s="24">
        <f t="shared" si="39"/>
        <v>2.0460924115776404E-2</v>
      </c>
      <c r="BK35" s="24">
        <f t="shared" si="38"/>
        <v>4.1499776929806425E-3</v>
      </c>
      <c r="BL35" s="24"/>
      <c r="BM35" s="24"/>
      <c r="BO35" s="1">
        <f t="shared" si="32"/>
        <v>0.44951186782810165</v>
      </c>
      <c r="BP35" s="26">
        <f t="shared" si="49"/>
        <v>1.9982087690722217E-3</v>
      </c>
      <c r="BQ35" s="26">
        <f t="shared" si="49"/>
        <v>8.7100446568229458E-4</v>
      </c>
      <c r="BR35" s="26">
        <f t="shared" si="49"/>
        <v>2.9264855277530254E-4</v>
      </c>
      <c r="BS35" s="26"/>
      <c r="CA35" s="1">
        <f t="shared" si="48"/>
        <v>24</v>
      </c>
      <c r="CB35" s="23">
        <f t="shared" si="42"/>
        <v>44.492247669230593</v>
      </c>
      <c r="CC35" s="23">
        <f t="shared" si="43"/>
        <v>121.22912131300605</v>
      </c>
      <c r="CD35" s="23">
        <f t="shared" si="44"/>
        <v>472.09419554742942</v>
      </c>
      <c r="CE35" s="23">
        <f t="shared" si="45"/>
        <v>48974.479497367916</v>
      </c>
    </row>
    <row r="36" spans="1:83" ht="15.75" x14ac:dyDescent="0.25">
      <c r="I36" s="1" t="s">
        <v>15</v>
      </c>
      <c r="J36" s="5" t="s">
        <v>23</v>
      </c>
      <c r="K36" s="32" t="s">
        <v>24</v>
      </c>
      <c r="M36" s="5" t="s">
        <v>25</v>
      </c>
      <c r="N36" s="5" t="s">
        <v>26</v>
      </c>
      <c r="O36" s="5" t="s">
        <v>27</v>
      </c>
      <c r="P36" s="1" t="s">
        <v>28</v>
      </c>
      <c r="R36" s="1" t="s">
        <v>29</v>
      </c>
      <c r="S36" s="55" t="s">
        <v>151</v>
      </c>
      <c r="T36" s="1" t="s">
        <v>23</v>
      </c>
      <c r="U36" s="1" t="s">
        <v>31</v>
      </c>
      <c r="V36" s="5"/>
      <c r="W36" s="1" t="s">
        <v>32</v>
      </c>
      <c r="X36" s="1" t="s">
        <v>32</v>
      </c>
      <c r="Y36" s="1" t="s">
        <v>32</v>
      </c>
      <c r="Z36" s="1" t="s">
        <v>33</v>
      </c>
      <c r="AA36" s="1" t="s">
        <v>34</v>
      </c>
      <c r="AB36" s="1" t="s">
        <v>34</v>
      </c>
      <c r="AC36" s="1" t="s">
        <v>35</v>
      </c>
      <c r="AD36" s="1" t="s">
        <v>14</v>
      </c>
      <c r="AE36" s="1" t="s">
        <v>36</v>
      </c>
      <c r="AF36" s="1" t="s">
        <v>37</v>
      </c>
      <c r="AG36" s="1" t="s">
        <v>38</v>
      </c>
      <c r="AH36" s="1" t="s">
        <v>39</v>
      </c>
      <c r="AI36" s="1" t="s">
        <v>40</v>
      </c>
      <c r="AJ36" s="1" t="s">
        <v>41</v>
      </c>
      <c r="AK36" s="1" t="s">
        <v>17</v>
      </c>
      <c r="AL36" s="1" t="s">
        <v>42</v>
      </c>
      <c r="AM36" s="1" t="s">
        <v>43</v>
      </c>
      <c r="AN36" s="1" t="s">
        <v>44</v>
      </c>
      <c r="AO36" s="22" t="s">
        <v>45</v>
      </c>
      <c r="AP36" s="22" t="s">
        <v>46</v>
      </c>
      <c r="AQ36" s="1" t="s">
        <v>47</v>
      </c>
      <c r="AR36" s="1" t="s">
        <v>47</v>
      </c>
      <c r="AV36" s="1" t="s">
        <v>10</v>
      </c>
      <c r="AY36" s="5"/>
      <c r="AZ36" s="5"/>
      <c r="BB36" s="31"/>
      <c r="BD36" s="23">
        <f t="shared" si="47"/>
        <v>22</v>
      </c>
      <c r="BE36" s="23">
        <f t="shared" si="46"/>
        <v>53.853373566801423</v>
      </c>
      <c r="BF36" s="23">
        <f t="shared" si="41"/>
        <v>172.19297006115593</v>
      </c>
      <c r="BG36" s="23">
        <f t="shared" si="37"/>
        <v>864.20538509213213</v>
      </c>
      <c r="BH36" s="23">
        <f t="shared" si="35"/>
        <v>142820.41079302851</v>
      </c>
      <c r="BI36" s="23">
        <v>22</v>
      </c>
      <c r="BJ36" s="24">
        <f t="shared" si="39"/>
        <v>1.0757278829622909E-2</v>
      </c>
      <c r="BK36" s="24">
        <f t="shared" si="38"/>
        <v>1.5843938949853227E-3</v>
      </c>
      <c r="BL36" s="24"/>
      <c r="BM36" s="24"/>
      <c r="BO36" s="1">
        <f t="shared" si="32"/>
        <v>0.4120525455090932</v>
      </c>
      <c r="BP36" s="26">
        <f>BP$20*$BO36^(3+2*BP$15)</f>
        <v>7.1563584777588069E-4</v>
      </c>
      <c r="BQ36" s="26">
        <f>BQ$20*$BO36^(3+2*BQ$15)</f>
        <v>3.083506243525358E-4</v>
      </c>
      <c r="BR36" s="26"/>
      <c r="BS36" s="26"/>
      <c r="CA36" s="1">
        <f t="shared" si="48"/>
        <v>22</v>
      </c>
      <c r="CB36" s="23">
        <f t="shared" si="42"/>
        <v>53.853373566801423</v>
      </c>
      <c r="CC36" s="23">
        <f t="shared" si="43"/>
        <v>172.19297006115593</v>
      </c>
      <c r="CD36" s="23">
        <f t="shared" si="44"/>
        <v>864.20538509213213</v>
      </c>
      <c r="CE36" s="23">
        <f t="shared" si="45"/>
        <v>142820.41079302851</v>
      </c>
    </row>
    <row r="37" spans="1:83" ht="15.75" x14ac:dyDescent="0.25">
      <c r="A37" s="50" t="s">
        <v>133</v>
      </c>
      <c r="C37" s="6"/>
      <c r="I37" s="1" t="s">
        <v>53</v>
      </c>
      <c r="J37" s="1" t="s">
        <v>54</v>
      </c>
      <c r="K37" s="33" t="s">
        <v>98</v>
      </c>
      <c r="M37" s="1" t="s">
        <v>56</v>
      </c>
      <c r="N37" s="1" t="s">
        <v>57</v>
      </c>
      <c r="O37" s="1" t="s">
        <v>14</v>
      </c>
      <c r="P37" s="1" t="s">
        <v>58</v>
      </c>
      <c r="Q37" s="1" t="s">
        <v>59</v>
      </c>
      <c r="S37" s="1">
        <v>33</v>
      </c>
      <c r="T37" s="1" t="s">
        <v>60</v>
      </c>
      <c r="U37" s="1" t="s">
        <v>15</v>
      </c>
      <c r="V37" s="5"/>
      <c r="W37" s="1" t="s">
        <v>61</v>
      </c>
      <c r="X37" s="1" t="s">
        <v>61</v>
      </c>
      <c r="Y37" s="1" t="s">
        <v>17</v>
      </c>
      <c r="Z37" s="1" t="s">
        <v>17</v>
      </c>
      <c r="AA37" s="1" t="s">
        <v>62</v>
      </c>
      <c r="AB37" s="1" t="s">
        <v>62</v>
      </c>
      <c r="AC37" s="1" t="s">
        <v>62</v>
      </c>
      <c r="AD37" s="1" t="s">
        <v>36</v>
      </c>
      <c r="AE37" s="1" t="s">
        <v>14</v>
      </c>
      <c r="AH37" s="1" t="s">
        <v>63</v>
      </c>
      <c r="AI37" s="1" t="s">
        <v>64</v>
      </c>
      <c r="AK37" s="1" t="s">
        <v>38</v>
      </c>
      <c r="AM37" s="1" t="s">
        <v>44</v>
      </c>
      <c r="AN37" s="1" t="s">
        <v>65</v>
      </c>
      <c r="AQ37" s="1" t="s">
        <v>66</v>
      </c>
      <c r="AR37" s="1" t="s">
        <v>67</v>
      </c>
      <c r="AV37" s="1" t="s">
        <v>99</v>
      </c>
      <c r="AX37" s="5">
        <f>$F$30</f>
        <v>0.05</v>
      </c>
      <c r="AY37" s="5">
        <f>$F$31</f>
        <v>0.15038994565217392</v>
      </c>
      <c r="AZ37" s="5">
        <f>$F$32</f>
        <v>0.29117692307692311</v>
      </c>
      <c r="BA37" s="5">
        <f>$F$33</f>
        <v>0.12736428571428574</v>
      </c>
      <c r="BB37" s="31"/>
      <c r="BD37" s="23">
        <f t="shared" si="47"/>
        <v>20</v>
      </c>
      <c r="BE37" s="23">
        <f t="shared" si="46"/>
        <v>66.382084064701303</v>
      </c>
      <c r="BF37" s="23">
        <f t="shared" si="41"/>
        <v>252.90650265440664</v>
      </c>
      <c r="BG37" s="23">
        <f t="shared" si="37"/>
        <v>1675.9070013315416</v>
      </c>
      <c r="BH37" s="23">
        <f t="shared" si="35"/>
        <v>461257.533669047</v>
      </c>
      <c r="BI37" s="23">
        <v>20</v>
      </c>
      <c r="BJ37" s="24">
        <f t="shared" si="39"/>
        <v>5.3192258782451792E-3</v>
      </c>
      <c r="BK37" s="24"/>
      <c r="BL37" s="24"/>
      <c r="BM37" s="24"/>
      <c r="BO37" s="1">
        <f t="shared" si="32"/>
        <v>0.3745932231900847</v>
      </c>
      <c r="BP37" s="24"/>
      <c r="CA37" s="1">
        <f t="shared" si="48"/>
        <v>20</v>
      </c>
      <c r="CB37" s="23">
        <f t="shared" si="42"/>
        <v>66.382084064701303</v>
      </c>
      <c r="CC37" s="23">
        <f t="shared" si="43"/>
        <v>252.90650265440664</v>
      </c>
      <c r="CD37" s="23">
        <f t="shared" si="44"/>
        <v>1675.9070013315416</v>
      </c>
      <c r="CE37" s="23">
        <f t="shared" si="45"/>
        <v>461257.533669047</v>
      </c>
    </row>
    <row r="38" spans="1:83" ht="18" x14ac:dyDescent="0.25">
      <c r="A38" s="17" t="s">
        <v>137</v>
      </c>
      <c r="B38" s="12" t="s">
        <v>136</v>
      </c>
      <c r="C38" s="6"/>
      <c r="D38" s="17" t="s">
        <v>107</v>
      </c>
      <c r="E38" s="16"/>
      <c r="F38" s="16"/>
      <c r="G38" s="16"/>
      <c r="H38" s="17" t="s">
        <v>10</v>
      </c>
      <c r="I38" s="34"/>
      <c r="J38" s="16"/>
      <c r="K38" s="35" t="s">
        <v>55</v>
      </c>
      <c r="L38" s="5"/>
      <c r="M38" s="1" t="s">
        <v>52</v>
      </c>
      <c r="N38" s="1" t="s">
        <v>52</v>
      </c>
      <c r="O38" s="1" t="s">
        <v>52</v>
      </c>
      <c r="P38" s="1" t="s">
        <v>52</v>
      </c>
      <c r="Q38" s="1" t="s">
        <v>65</v>
      </c>
      <c r="R38" s="1" t="s">
        <v>72</v>
      </c>
      <c r="S38" s="1" t="s">
        <v>52</v>
      </c>
      <c r="U38" s="1" t="s">
        <v>72</v>
      </c>
      <c r="V38" s="5"/>
      <c r="W38" s="1" t="s">
        <v>73</v>
      </c>
      <c r="X38" s="1" t="s">
        <v>74</v>
      </c>
      <c r="AQ38" s="1" t="s">
        <v>75</v>
      </c>
      <c r="AR38" s="1" t="s">
        <v>76</v>
      </c>
      <c r="AV38" s="1" t="s">
        <v>100</v>
      </c>
      <c r="AX38" s="5">
        <f>$G30</f>
        <v>0.05</v>
      </c>
      <c r="AY38" s="5">
        <f>$G31</f>
        <v>0.1801073369565219</v>
      </c>
      <c r="AZ38" s="5">
        <f>$G32</f>
        <v>0.3157692307692308</v>
      </c>
      <c r="BA38" s="5">
        <f>$G33</f>
        <v>0.54555714285714296</v>
      </c>
      <c r="BB38" s="31"/>
      <c r="BD38" s="23">
        <v>19</v>
      </c>
      <c r="BE38" s="23">
        <f t="shared" si="46"/>
        <v>74.291197264095388</v>
      </c>
      <c r="BF38" s="23">
        <f t="shared" si="41"/>
        <v>311.03190221161628</v>
      </c>
      <c r="BG38" s="23">
        <f t="shared" si="37"/>
        <v>2393.569195808273</v>
      </c>
      <c r="BH38" s="23">
        <f t="shared" si="35"/>
        <v>866873.23741685203</v>
      </c>
      <c r="BI38" s="23">
        <v>18</v>
      </c>
      <c r="BJ38" s="24"/>
      <c r="BK38" s="24"/>
      <c r="BL38" s="24"/>
      <c r="BM38" s="24"/>
      <c r="BO38" s="1">
        <f t="shared" si="32"/>
        <v>0.3371339008710762</v>
      </c>
      <c r="BP38" s="24"/>
      <c r="CA38" s="1">
        <v>19</v>
      </c>
      <c r="CB38" s="23">
        <f t="shared" si="42"/>
        <v>74.291197264095388</v>
      </c>
      <c r="CC38" s="23">
        <f t="shared" si="43"/>
        <v>311.03190221161628</v>
      </c>
      <c r="CD38" s="23">
        <f t="shared" si="44"/>
        <v>2393.569195808273</v>
      </c>
      <c r="CE38" s="23">
        <f t="shared" si="45"/>
        <v>866873.23741685203</v>
      </c>
    </row>
    <row r="39" spans="1:83" ht="18" x14ac:dyDescent="0.25">
      <c r="A39" s="17" t="s">
        <v>101</v>
      </c>
      <c r="B39" s="12" t="s">
        <v>117</v>
      </c>
      <c r="C39" s="6"/>
      <c r="D39" s="47" t="s">
        <v>50</v>
      </c>
      <c r="F39" s="36" t="s">
        <v>102</v>
      </c>
      <c r="G39" s="36" t="s">
        <v>68</v>
      </c>
      <c r="H39" s="34" t="s">
        <v>103</v>
      </c>
      <c r="I39" s="37" t="s">
        <v>104</v>
      </c>
      <c r="J39" s="34" t="s">
        <v>105</v>
      </c>
      <c r="K39" s="38" t="s">
        <v>24</v>
      </c>
      <c r="M39" s="18"/>
      <c r="N39" s="18"/>
      <c r="O39" s="19" t="s">
        <v>11</v>
      </c>
      <c r="P39" s="18"/>
      <c r="Q39" s="18"/>
      <c r="R39" s="18"/>
      <c r="S39" s="18"/>
      <c r="T39" s="18"/>
      <c r="U39" s="18"/>
      <c r="W39" s="14"/>
      <c r="X39" s="14"/>
      <c r="Y39" s="13" t="s">
        <v>12</v>
      </c>
      <c r="Z39" s="14"/>
      <c r="AA39" s="14"/>
      <c r="AB39" s="14"/>
      <c r="AC39" s="14"/>
      <c r="AD39" s="13" t="s">
        <v>12</v>
      </c>
      <c r="AE39" s="14"/>
      <c r="AF39" s="14"/>
      <c r="AG39" s="14"/>
      <c r="AH39" s="13" t="s">
        <v>12</v>
      </c>
      <c r="AI39" s="14"/>
      <c r="AJ39" s="14"/>
      <c r="AK39" s="14"/>
      <c r="AL39" s="14"/>
      <c r="AM39" s="13" t="s">
        <v>12</v>
      </c>
      <c r="AN39" s="14"/>
      <c r="AO39" s="14"/>
      <c r="AP39" s="14"/>
      <c r="AQ39" s="13" t="s">
        <v>12</v>
      </c>
      <c r="AR39" s="14"/>
      <c r="AS39" s="14"/>
      <c r="AT39" s="6"/>
      <c r="AV39" s="1" t="s">
        <v>106</v>
      </c>
      <c r="AX39" s="5">
        <f>$H30</f>
        <v>1</v>
      </c>
      <c r="AY39" s="5">
        <f>$H31</f>
        <v>3.0452492391304342</v>
      </c>
      <c r="AZ39" s="5">
        <f>$H32</f>
        <v>3.5097987692307693</v>
      </c>
      <c r="BA39" s="5">
        <f>$H33</f>
        <v>2.88</v>
      </c>
      <c r="BC39" s="31"/>
      <c r="BD39" s="23">
        <v>18</v>
      </c>
      <c r="BE39" s="23">
        <f t="shared" si="46"/>
        <v>83.65031844968567</v>
      </c>
      <c r="BF39" s="23">
        <f t="shared" si="41"/>
        <v>386.81977319907287</v>
      </c>
      <c r="BG39" s="23">
        <f t="shared" si="37"/>
        <v>3485.0850947188364</v>
      </c>
      <c r="BH39" s="23">
        <f t="shared" si="35"/>
        <v>1685723.0161140945</v>
      </c>
      <c r="BI39" s="23">
        <v>15</v>
      </c>
      <c r="BJ39" s="24"/>
      <c r="BK39" s="24"/>
      <c r="BL39" s="24"/>
      <c r="BM39" s="24"/>
      <c r="CA39" s="1">
        <v>18</v>
      </c>
      <c r="CB39" s="23">
        <f t="shared" si="42"/>
        <v>83.65031844968567</v>
      </c>
      <c r="CC39" s="23">
        <f t="shared" si="43"/>
        <v>386.81977319907287</v>
      </c>
      <c r="CD39" s="23">
        <f t="shared" si="44"/>
        <v>3485.0850947188364</v>
      </c>
      <c r="CE39" s="23">
        <f t="shared" si="45"/>
        <v>1685723.0161140945</v>
      </c>
    </row>
    <row r="40" spans="1:83" ht="18" x14ac:dyDescent="0.25">
      <c r="A40" s="1">
        <v>1.4</v>
      </c>
      <c r="B40" s="5">
        <f>A40/U40</f>
        <v>0.98146735866268886</v>
      </c>
      <c r="D40" s="54" t="s">
        <v>138</v>
      </c>
      <c r="E40" s="6"/>
      <c r="F40" s="5">
        <v>0.88</v>
      </c>
      <c r="G40" s="5">
        <v>0.05</v>
      </c>
      <c r="H40" s="5">
        <v>2.5</v>
      </c>
      <c r="I40" s="5">
        <v>1</v>
      </c>
      <c r="J40" s="5">
        <v>0</v>
      </c>
      <c r="K40" s="43"/>
      <c r="L40" s="43"/>
      <c r="M40" s="23">
        <f t="shared" ref="M40:M51" si="50">X40*100</f>
        <v>5.0220580000000004</v>
      </c>
      <c r="N40" s="23">
        <f t="shared" ref="N40:N51" si="51">AJ40*100</f>
        <v>10.282792364858702</v>
      </c>
      <c r="O40" s="23">
        <f t="shared" ref="O40:O51" si="52">AH40*100</f>
        <v>46.172240764858707</v>
      </c>
      <c r="P40" s="23">
        <f t="shared" ref="P40:P51" si="53">(N40-M40)*(1-T40)</f>
        <v>5.2607343648587017</v>
      </c>
      <c r="Q40" s="26">
        <f t="shared" ref="Q40:Q51" si="54">AN40</f>
        <v>108.14782785074016</v>
      </c>
      <c r="R40" s="5">
        <f t="shared" ref="R40:R51" si="55">AG40</f>
        <v>1.4264356197312442</v>
      </c>
      <c r="S40" s="23">
        <f t="shared" ref="S40:S51" si="56">N40-(S$37-33)*(O40-N40)/(33-AR40)</f>
        <v>10.282792364858702</v>
      </c>
      <c r="T40" s="5">
        <f t="shared" ref="T40:T51" si="57">((R40/2.65)*J40)/(1-J40*(1-R40/2.65))</f>
        <v>0</v>
      </c>
      <c r="U40" s="5">
        <f t="shared" ref="U40:U51" si="58">T40*2.65+(1-T40)*R40</f>
        <v>1.4264356197312442</v>
      </c>
      <c r="V40" s="5"/>
      <c r="W40" s="25">
        <f t="shared" ref="W40:W51" si="59">-0.024*F40+0.487*G40+0.006*H40+0.005*F40*H40-0.013*G40*H40+0.068*F40*G40+0.031</f>
        <v>6.1596999999999999E-2</v>
      </c>
      <c r="X40" s="25">
        <f t="shared" ref="X40:X51" si="60">W40+0.14*W40-0.02</f>
        <v>5.0220580000000001E-2</v>
      </c>
      <c r="Y40" s="5">
        <f t="shared" ref="Y40:Y51" si="61">-0.251*F40+0.195*G40+0.011*H40+0.006*F40*H40-0.027*G40*H40+0.452*F40*G40+0.299</f>
        <v>0.14508300000000002</v>
      </c>
      <c r="Z40" s="5">
        <f t="shared" ref="Z40:Z51" si="62">Y40+(1.283*Y40*Y40-0.374*Y40-0.015)</f>
        <v>0.10282792364858702</v>
      </c>
      <c r="AA40" s="5">
        <f t="shared" ref="AA40:AA51" si="63">0.278*F40+0.034*G40+0.022*H40-0.018*F40*H40-0.027*G40*H40-0.584*F40*G40+0.078</f>
        <v>0.31066900000000008</v>
      </c>
      <c r="AB40" s="5">
        <f t="shared" ref="AB40:AB51" si="64">AA40+(0.636*AA40-0.107)</f>
        <v>0.40125448400000013</v>
      </c>
      <c r="AC40" s="5">
        <f t="shared" ref="AC40:AC51" si="65">AB40+Z40</f>
        <v>0.50408240764858714</v>
      </c>
      <c r="AD40" s="5">
        <f t="shared" ref="AD40:AD51" si="66">-0.097*F40+0.043</f>
        <v>-4.2360000000000009E-2</v>
      </c>
      <c r="AE40" s="5">
        <f t="shared" ref="AE40:AE51" si="67">AC40+AD40</f>
        <v>0.46172240764858713</v>
      </c>
      <c r="AF40" s="5">
        <f t="shared" ref="AF40:AF51" si="68">(1-AE40)*2.65</f>
        <v>1.4264356197312442</v>
      </c>
      <c r="AG40" s="25">
        <f t="shared" ref="AG40:AG51" si="69">AF40*(I40)</f>
        <v>1.4264356197312442</v>
      </c>
      <c r="AH40" s="25">
        <f t="shared" ref="AH40:AH51" si="70">1-(AG40/2.65)</f>
        <v>0.46172240764858707</v>
      </c>
      <c r="AI40" s="25">
        <f t="shared" ref="AI40:AI51" si="71">(1-AG40/2.65)-(1-AF40/2.65)</f>
        <v>0</v>
      </c>
      <c r="AJ40" s="25">
        <f t="shared" ref="AJ40:AJ51" si="72">Z40+0.2*AI40</f>
        <v>0.10282792364858702</v>
      </c>
      <c r="AK40" s="25">
        <f t="shared" ref="AK40:AK51" si="73">AH40-AJ40</f>
        <v>0.35889448400000007</v>
      </c>
      <c r="AL40" s="25">
        <f t="shared" ref="AL40:AL51" si="74" xml:space="preserve"> (LN(AJ40)-LN(X40))/(LN(1500)-LN(33))</f>
        <v>0.18776158355467926</v>
      </c>
      <c r="AM40" s="25">
        <f t="shared" ref="AM40:AM51" si="75">(1-J40)/(1-J40*(1-1.5*(R40/2.65)))</f>
        <v>1</v>
      </c>
      <c r="AN40" s="26">
        <f t="shared" ref="AN40:AN51" si="76">1930*(AK40)^(3-AL40)*AM40</f>
        <v>108.14782785074016</v>
      </c>
      <c r="AO40" s="5">
        <f t="shared" ref="AO40:AO51" si="77">(LN(1500)-LN(33))/(LN(AJ40)-LN(X40))</f>
        <v>5.3259031004538988</v>
      </c>
      <c r="AP40" s="25">
        <f t="shared" ref="AP40:AP51" si="78">EXP(LN(33)+(AO40*LN(AJ40)))</f>
        <v>1.8076452552206025E-4</v>
      </c>
      <c r="AQ40" s="26">
        <f t="shared" ref="AQ40:AQ51" si="79">-21.674*$F40-27.932*$G40-81.975*$AK40+71.121*$F40*$AK40+8.294*$G40*$AK40+14.05*$F40*$G40+27.161</f>
        <v>0.49988066159112066</v>
      </c>
      <c r="AR40" s="26">
        <f t="shared" ref="AR40:AR51" si="80">AQ40+(0.02*AQ40^2-0.113*AQ40-0.7)</f>
        <v>-0.25160823965202039</v>
      </c>
      <c r="AS40" s="25"/>
      <c r="AV40" s="1" t="s">
        <v>104</v>
      </c>
      <c r="AX40" s="5">
        <f>$I30</f>
        <v>1.2</v>
      </c>
      <c r="AY40" s="5">
        <f>$I31</f>
        <v>1</v>
      </c>
      <c r="AZ40" s="5">
        <f>$I32</f>
        <v>1</v>
      </c>
      <c r="BA40" s="5">
        <f>$I33</f>
        <v>1</v>
      </c>
      <c r="BB40" s="31"/>
      <c r="BD40" s="23">
        <v>17</v>
      </c>
      <c r="BE40" s="23">
        <f t="shared" si="46"/>
        <v>94.829614547455648</v>
      </c>
      <c r="BF40" s="23">
        <f t="shared" si="41"/>
        <v>487.1098421275654</v>
      </c>
      <c r="BG40" s="23">
        <f t="shared" si="37"/>
        <v>5184.5322238319359</v>
      </c>
      <c r="BH40" s="23">
        <f t="shared" si="35"/>
        <v>3405102.5029573822</v>
      </c>
      <c r="BI40" s="23">
        <v>13</v>
      </c>
      <c r="BJ40" s="24"/>
      <c r="BK40" s="24"/>
      <c r="BL40" s="24"/>
      <c r="BM40" s="24"/>
      <c r="CA40" s="1">
        <v>17</v>
      </c>
      <c r="CB40" s="23">
        <f t="shared" si="42"/>
        <v>94.829614547455648</v>
      </c>
      <c r="CC40" s="23">
        <f t="shared" si="43"/>
        <v>487.1098421275654</v>
      </c>
      <c r="CD40" s="23">
        <f t="shared" si="44"/>
        <v>5184.5322238319359</v>
      </c>
      <c r="CE40" s="23">
        <f t="shared" si="45"/>
        <v>3405102.5029573822</v>
      </c>
    </row>
    <row r="41" spans="1:83" ht="15.75" x14ac:dyDescent="0.2">
      <c r="D41" s="54" t="s">
        <v>139</v>
      </c>
      <c r="E41" s="6"/>
      <c r="F41" s="5">
        <v>0.8</v>
      </c>
      <c r="G41" s="5">
        <v>0.05</v>
      </c>
      <c r="H41" s="5">
        <v>2.5</v>
      </c>
      <c r="I41" s="5">
        <v>1</v>
      </c>
      <c r="J41" s="5">
        <v>0</v>
      </c>
      <c r="M41" s="23">
        <f t="shared" si="50"/>
        <v>5.0959299999999983</v>
      </c>
      <c r="N41" s="23">
        <f t="shared" si="51"/>
        <v>12.024454508407503</v>
      </c>
      <c r="O41" s="23">
        <f t="shared" si="52"/>
        <v>46.022568508407517</v>
      </c>
      <c r="P41" s="23">
        <f t="shared" si="53"/>
        <v>6.9285245084075049</v>
      </c>
      <c r="Q41" s="26">
        <f t="shared" si="54"/>
        <v>96.674629962479159</v>
      </c>
      <c r="R41" s="5">
        <f t="shared" si="55"/>
        <v>1.4304019345272008</v>
      </c>
      <c r="S41" s="23">
        <f t="shared" si="56"/>
        <v>12.024454508407503</v>
      </c>
      <c r="T41" s="5">
        <f t="shared" si="57"/>
        <v>0</v>
      </c>
      <c r="U41" s="5">
        <f t="shared" si="58"/>
        <v>1.4304019345272008</v>
      </c>
      <c r="V41" s="5"/>
      <c r="W41" s="25">
        <f t="shared" si="59"/>
        <v>6.2244999999999995E-2</v>
      </c>
      <c r="X41" s="25">
        <f t="shared" si="60"/>
        <v>5.0959299999999985E-2</v>
      </c>
      <c r="Y41" s="5">
        <f t="shared" si="61"/>
        <v>0.16215500000000002</v>
      </c>
      <c r="Z41" s="5">
        <f t="shared" si="62"/>
        <v>0.12024454508407503</v>
      </c>
      <c r="AA41" s="5">
        <f t="shared" si="63"/>
        <v>0.29436500000000004</v>
      </c>
      <c r="AB41" s="5">
        <f t="shared" si="64"/>
        <v>0.37458114000000009</v>
      </c>
      <c r="AC41" s="5">
        <f t="shared" si="65"/>
        <v>0.4948256850840751</v>
      </c>
      <c r="AD41" s="5">
        <f t="shared" si="66"/>
        <v>-3.4600000000000006E-2</v>
      </c>
      <c r="AE41" s="5">
        <f t="shared" si="67"/>
        <v>0.46022568508407508</v>
      </c>
      <c r="AF41" s="5">
        <f t="shared" si="68"/>
        <v>1.4304019345272008</v>
      </c>
      <c r="AG41" s="25">
        <f t="shared" si="69"/>
        <v>1.4304019345272008</v>
      </c>
      <c r="AH41" s="25">
        <f t="shared" si="70"/>
        <v>0.46022568508407513</v>
      </c>
      <c r="AI41" s="25">
        <f t="shared" si="71"/>
        <v>0</v>
      </c>
      <c r="AJ41" s="25">
        <f t="shared" si="72"/>
        <v>0.12024454508407503</v>
      </c>
      <c r="AK41" s="25">
        <f t="shared" si="73"/>
        <v>0.33998114000000013</v>
      </c>
      <c r="AL41" s="25">
        <f t="shared" si="74"/>
        <v>0.22493184820227929</v>
      </c>
      <c r="AM41" s="25">
        <f t="shared" si="75"/>
        <v>1</v>
      </c>
      <c r="AN41" s="26">
        <f t="shared" si="76"/>
        <v>96.674629962479159</v>
      </c>
      <c r="AO41" s="5">
        <f t="shared" si="77"/>
        <v>4.4457910606803379</v>
      </c>
      <c r="AP41" s="25">
        <f t="shared" si="78"/>
        <v>2.6833470524757087E-3</v>
      </c>
      <c r="AQ41" s="26">
        <f t="shared" si="79"/>
        <v>0.60207515361000219</v>
      </c>
      <c r="AR41" s="26">
        <f t="shared" si="80"/>
        <v>-0.15870944893603789</v>
      </c>
      <c r="AV41" s="1" t="s">
        <v>105</v>
      </c>
      <c r="AX41" s="5">
        <f>$J30</f>
        <v>0</v>
      </c>
      <c r="AY41" s="5">
        <f>$J31</f>
        <v>0</v>
      </c>
      <c r="AZ41" s="5">
        <f>$J32</f>
        <v>0</v>
      </c>
      <c r="BA41" s="5">
        <f>$J33</f>
        <v>0</v>
      </c>
      <c r="BB41" s="31"/>
      <c r="BD41" s="23">
        <v>16</v>
      </c>
      <c r="BE41" s="23">
        <f t="shared" si="46"/>
        <v>108.32381232987588</v>
      </c>
      <c r="BF41" s="23">
        <f t="shared" si="41"/>
        <v>622.0374417807385</v>
      </c>
      <c r="BG41" s="23">
        <f t="shared" si="37"/>
        <v>7900.713366257447</v>
      </c>
      <c r="BH41" s="23">
        <f t="shared" si="35"/>
        <v>7177792.0531606367</v>
      </c>
      <c r="BI41" s="23">
        <v>12</v>
      </c>
      <c r="BJ41" s="24"/>
      <c r="BK41" s="24"/>
      <c r="BL41" s="24"/>
      <c r="BM41" s="24"/>
      <c r="CA41" s="1">
        <v>16</v>
      </c>
      <c r="CB41" s="23">
        <f t="shared" si="42"/>
        <v>108.32381232987588</v>
      </c>
      <c r="CC41" s="23">
        <f t="shared" si="43"/>
        <v>622.0374417807385</v>
      </c>
      <c r="CD41" s="23">
        <f t="shared" si="44"/>
        <v>7900.713366257447</v>
      </c>
      <c r="CE41" s="23">
        <f t="shared" si="45"/>
        <v>7177792.0531606367</v>
      </c>
    </row>
    <row r="42" spans="1:83" ht="15.75" x14ac:dyDescent="0.2">
      <c r="D42" s="54" t="s">
        <v>140</v>
      </c>
      <c r="E42" s="6"/>
      <c r="F42" s="1">
        <v>0.65</v>
      </c>
      <c r="G42" s="1">
        <v>0.1</v>
      </c>
      <c r="H42" s="5">
        <v>2.5</v>
      </c>
      <c r="I42" s="5">
        <v>1</v>
      </c>
      <c r="J42" s="5">
        <v>0</v>
      </c>
      <c r="K42" s="23"/>
      <c r="L42" s="23"/>
      <c r="M42" s="23">
        <f t="shared" si="50"/>
        <v>8.0770300000000006</v>
      </c>
      <c r="N42" s="23">
        <f t="shared" si="51"/>
        <v>17.916761157069995</v>
      </c>
      <c r="O42" s="23">
        <f t="shared" si="52"/>
        <v>44.989465157069993</v>
      </c>
      <c r="P42" s="23">
        <f t="shared" si="53"/>
        <v>9.8397311570699948</v>
      </c>
      <c r="Q42" s="26">
        <f t="shared" si="54"/>
        <v>50.304555133247327</v>
      </c>
      <c r="R42" s="5">
        <f t="shared" si="55"/>
        <v>1.4577791733376451</v>
      </c>
      <c r="S42" s="23">
        <f t="shared" si="56"/>
        <v>17.916761157069995</v>
      </c>
      <c r="T42" s="5">
        <f t="shared" si="57"/>
        <v>0</v>
      </c>
      <c r="U42" s="5">
        <f t="shared" si="58"/>
        <v>1.4577791733376451</v>
      </c>
      <c r="V42" s="5"/>
      <c r="W42" s="25">
        <f t="shared" si="59"/>
        <v>8.8395000000000001E-2</v>
      </c>
      <c r="X42" s="25">
        <f t="shared" si="60"/>
        <v>8.0770300000000003E-2</v>
      </c>
      <c r="Y42" s="5">
        <f t="shared" si="61"/>
        <v>0.21522999999999998</v>
      </c>
      <c r="Z42" s="5">
        <f t="shared" si="62"/>
        <v>0.17916761157069996</v>
      </c>
      <c r="AA42" s="5">
        <f t="shared" si="63"/>
        <v>0.24314000000000002</v>
      </c>
      <c r="AB42" s="5">
        <f t="shared" si="64"/>
        <v>0.29077704000000004</v>
      </c>
      <c r="AC42" s="5">
        <f t="shared" si="65"/>
        <v>0.46994465157069998</v>
      </c>
      <c r="AD42" s="5">
        <f t="shared" si="66"/>
        <v>-2.0050000000000012E-2</v>
      </c>
      <c r="AE42" s="5">
        <f t="shared" si="67"/>
        <v>0.44989465157069997</v>
      </c>
      <c r="AF42" s="5">
        <f t="shared" si="68"/>
        <v>1.4577791733376451</v>
      </c>
      <c r="AG42" s="25">
        <f t="shared" si="69"/>
        <v>1.4577791733376451</v>
      </c>
      <c r="AH42" s="25">
        <f t="shared" si="70"/>
        <v>0.44989465157069997</v>
      </c>
      <c r="AI42" s="25">
        <f t="shared" si="71"/>
        <v>0</v>
      </c>
      <c r="AJ42" s="25">
        <f t="shared" si="72"/>
        <v>0.17916761157069996</v>
      </c>
      <c r="AK42" s="25">
        <f t="shared" si="73"/>
        <v>0.27072704000000003</v>
      </c>
      <c r="AL42" s="25">
        <f t="shared" si="74"/>
        <v>0.20874308807210615</v>
      </c>
      <c r="AM42" s="25">
        <f t="shared" si="75"/>
        <v>1</v>
      </c>
      <c r="AN42" s="26">
        <f t="shared" si="76"/>
        <v>50.304555133247327</v>
      </c>
      <c r="AO42" s="5">
        <f t="shared" si="77"/>
        <v>4.7905777826500771</v>
      </c>
      <c r="AP42" s="25">
        <f t="shared" si="78"/>
        <v>8.7336445309738643E-3</v>
      </c>
      <c r="AQ42" s="26">
        <f t="shared" si="79"/>
        <v>1.7399874806720064</v>
      </c>
      <c r="AR42" s="26">
        <f t="shared" si="80"/>
        <v>0.90392002401397598</v>
      </c>
      <c r="AX42" s="5"/>
      <c r="AY42" s="5"/>
      <c r="BA42" s="31"/>
      <c r="BD42" s="23">
        <v>15</v>
      </c>
      <c r="BE42" s="23">
        <f t="shared" si="46"/>
        <v>124.80561810785443</v>
      </c>
      <c r="BF42" s="23">
        <f t="shared" si="41"/>
        <v>806.9780176395027</v>
      </c>
      <c r="BG42" s="23">
        <f t="shared" si="37"/>
        <v>12371.849867170644</v>
      </c>
      <c r="BH42" s="23"/>
      <c r="BI42" s="23">
        <f>BI41-2</f>
        <v>10</v>
      </c>
      <c r="BJ42" s="24"/>
      <c r="BK42" s="24"/>
      <c r="BL42" s="24"/>
      <c r="BM42" s="24"/>
      <c r="CA42" s="1">
        <v>15</v>
      </c>
      <c r="CB42" s="23">
        <f t="shared" si="42"/>
        <v>124.80561810785443</v>
      </c>
      <c r="CC42" s="23">
        <f t="shared" si="43"/>
        <v>806.9780176395027</v>
      </c>
      <c r="CD42" s="23">
        <f t="shared" si="44"/>
        <v>12371.849867170644</v>
      </c>
      <c r="CE42" s="23">
        <f t="shared" si="45"/>
        <v>15876686.160671214</v>
      </c>
    </row>
    <row r="43" spans="1:83" ht="15.75" x14ac:dyDescent="0.2">
      <c r="D43" s="54" t="s">
        <v>141</v>
      </c>
      <c r="F43" s="1">
        <v>0.4</v>
      </c>
      <c r="G43" s="1">
        <v>0.2</v>
      </c>
      <c r="H43" s="5">
        <v>2.5</v>
      </c>
      <c r="I43" s="5">
        <v>1</v>
      </c>
      <c r="J43" s="5">
        <v>0</v>
      </c>
      <c r="K43" s="23"/>
      <c r="L43" s="23"/>
      <c r="M43" s="23">
        <f t="shared" si="50"/>
        <v>13.702360000000002</v>
      </c>
      <c r="N43" s="23">
        <f t="shared" si="51"/>
        <v>27.961016494079992</v>
      </c>
      <c r="O43" s="23">
        <f t="shared" si="52"/>
        <v>45.947824494079995</v>
      </c>
      <c r="P43" s="23">
        <f t="shared" si="53"/>
        <v>14.25865649407999</v>
      </c>
      <c r="Q43" s="26">
        <f t="shared" si="54"/>
        <v>15.47565639941927</v>
      </c>
      <c r="R43" s="5">
        <f t="shared" si="55"/>
        <v>1.4323826509068802</v>
      </c>
      <c r="S43" s="23">
        <f t="shared" si="56"/>
        <v>27.961016494079992</v>
      </c>
      <c r="T43" s="5">
        <f t="shared" si="57"/>
        <v>0</v>
      </c>
      <c r="U43" s="5">
        <f t="shared" si="58"/>
        <v>1.4323826509068802</v>
      </c>
      <c r="V43" s="5"/>
      <c r="W43" s="25">
        <f t="shared" si="59"/>
        <v>0.13774</v>
      </c>
      <c r="X43" s="25">
        <f t="shared" si="60"/>
        <v>0.13702360000000002</v>
      </c>
      <c r="Y43" s="5">
        <f t="shared" si="61"/>
        <v>0.29375999999999997</v>
      </c>
      <c r="Z43" s="5">
        <f t="shared" si="62"/>
        <v>0.27961016494079993</v>
      </c>
      <c r="AA43" s="5">
        <f t="shared" si="63"/>
        <v>0.17277999999999999</v>
      </c>
      <c r="AB43" s="5">
        <f t="shared" si="64"/>
        <v>0.17566808</v>
      </c>
      <c r="AC43" s="5">
        <f t="shared" si="65"/>
        <v>0.45527824494079994</v>
      </c>
      <c r="AD43" s="5">
        <f t="shared" si="66"/>
        <v>4.1999999999999954E-3</v>
      </c>
      <c r="AE43" s="5">
        <f t="shared" si="67"/>
        <v>0.45947824494079992</v>
      </c>
      <c r="AF43" s="5">
        <f t="shared" si="68"/>
        <v>1.4323826509068802</v>
      </c>
      <c r="AG43" s="25">
        <f t="shared" si="69"/>
        <v>1.4323826509068802</v>
      </c>
      <c r="AH43" s="25">
        <f t="shared" si="70"/>
        <v>0.45947824494079992</v>
      </c>
      <c r="AI43" s="25">
        <f t="shared" si="71"/>
        <v>0</v>
      </c>
      <c r="AJ43" s="25">
        <f t="shared" si="72"/>
        <v>0.27961016494079993</v>
      </c>
      <c r="AK43" s="25">
        <f t="shared" si="73"/>
        <v>0.17986807999999999</v>
      </c>
      <c r="AL43" s="25">
        <f t="shared" si="74"/>
        <v>0.1868736852404029</v>
      </c>
      <c r="AM43" s="25">
        <f t="shared" si="75"/>
        <v>1</v>
      </c>
      <c r="AN43" s="26">
        <f t="shared" si="76"/>
        <v>15.47565639941927</v>
      </c>
      <c r="AO43" s="5">
        <f t="shared" si="77"/>
        <v>5.3512082170025916</v>
      </c>
      <c r="AP43" s="25">
        <f t="shared" si="78"/>
        <v>3.6049858856557426E-2</v>
      </c>
      <c r="AQ43" s="26">
        <f t="shared" si="79"/>
        <v>4.6996384001760028</v>
      </c>
      <c r="AR43" s="26">
        <f t="shared" si="80"/>
        <v>3.9103112828042916</v>
      </c>
      <c r="AW43" s="5"/>
      <c r="AX43" s="5"/>
      <c r="BB43" s="5"/>
      <c r="BC43" s="5"/>
      <c r="BD43" s="23">
        <v>14</v>
      </c>
      <c r="BE43" s="23">
        <f t="shared" si="46"/>
        <v>145.20770955171378</v>
      </c>
      <c r="BF43" s="23">
        <f t="shared" si="41"/>
        <v>1065.8819023297606</v>
      </c>
      <c r="BG43" s="23"/>
      <c r="BH43" s="23"/>
      <c r="BI43" s="23">
        <f>BI42-2</f>
        <v>8</v>
      </c>
      <c r="BJ43" s="24"/>
      <c r="BK43" s="24"/>
      <c r="BL43" s="24"/>
      <c r="BM43" s="24"/>
      <c r="CA43" s="1">
        <v>14</v>
      </c>
      <c r="CB43" s="23">
        <f t="shared" si="42"/>
        <v>145.20770955171378</v>
      </c>
      <c r="CC43" s="23">
        <f t="shared" si="43"/>
        <v>1065.8819023297606</v>
      </c>
      <c r="CD43" s="23">
        <f t="shared" si="44"/>
        <v>19982.305290446577</v>
      </c>
      <c r="CE43" s="23"/>
    </row>
    <row r="44" spans="1:83" ht="15.75" x14ac:dyDescent="0.25">
      <c r="B44" s="10"/>
      <c r="D44" s="54" t="s">
        <v>142</v>
      </c>
      <c r="F44" s="1">
        <v>0.2</v>
      </c>
      <c r="G44" s="1">
        <v>0.15</v>
      </c>
      <c r="H44" s="5">
        <v>2.5</v>
      </c>
      <c r="I44" s="5">
        <v>1</v>
      </c>
      <c r="J44" s="5">
        <v>0</v>
      </c>
      <c r="K44" s="23"/>
      <c r="L44" s="23"/>
      <c r="M44" s="23">
        <f t="shared" si="50"/>
        <v>10.986309999999998</v>
      </c>
      <c r="N44" s="23">
        <f t="shared" si="51"/>
        <v>30.518295340867496</v>
      </c>
      <c r="O44" s="23">
        <f t="shared" si="52"/>
        <v>47.872493340867493</v>
      </c>
      <c r="P44" s="23">
        <f t="shared" si="53"/>
        <v>19.5319853408675</v>
      </c>
      <c r="Q44" s="26">
        <f t="shared" si="54"/>
        <v>16.120216583734578</v>
      </c>
      <c r="R44" s="5">
        <f t="shared" si="55"/>
        <v>1.3813789264670113</v>
      </c>
      <c r="S44" s="23">
        <f t="shared" si="56"/>
        <v>30.518295340867496</v>
      </c>
      <c r="T44" s="5">
        <f t="shared" si="57"/>
        <v>0</v>
      </c>
      <c r="U44" s="5">
        <f t="shared" si="58"/>
        <v>1.3813789264670113</v>
      </c>
      <c r="V44" s="5"/>
      <c r="W44" s="25">
        <f t="shared" si="59"/>
        <v>0.11391499999999999</v>
      </c>
      <c r="X44" s="25">
        <f t="shared" si="60"/>
        <v>0.10986309999999998</v>
      </c>
      <c r="Y44" s="5">
        <f t="shared" si="61"/>
        <v>0.31198499999999996</v>
      </c>
      <c r="Z44" s="5">
        <f t="shared" si="62"/>
        <v>0.30518295340867496</v>
      </c>
      <c r="AA44" s="5">
        <f t="shared" si="63"/>
        <v>0.157055</v>
      </c>
      <c r="AB44" s="5">
        <f t="shared" si="64"/>
        <v>0.14994198</v>
      </c>
      <c r="AC44" s="5">
        <f t="shared" si="65"/>
        <v>0.45512493340867499</v>
      </c>
      <c r="AD44" s="5">
        <f t="shared" si="66"/>
        <v>2.3599999999999996E-2</v>
      </c>
      <c r="AE44" s="5">
        <f t="shared" si="67"/>
        <v>0.478724933408675</v>
      </c>
      <c r="AF44" s="5">
        <f t="shared" si="68"/>
        <v>1.3813789264670113</v>
      </c>
      <c r="AG44" s="25">
        <f t="shared" si="69"/>
        <v>1.3813789264670113</v>
      </c>
      <c r="AH44" s="25">
        <f t="shared" si="70"/>
        <v>0.47872493340867495</v>
      </c>
      <c r="AI44" s="25">
        <f t="shared" si="71"/>
        <v>0</v>
      </c>
      <c r="AJ44" s="25">
        <f t="shared" si="72"/>
        <v>0.30518295340867496</v>
      </c>
      <c r="AK44" s="25">
        <f t="shared" si="73"/>
        <v>0.17354197999999998</v>
      </c>
      <c r="AL44" s="25">
        <f t="shared" si="74"/>
        <v>0.26768490201971568</v>
      </c>
      <c r="AM44" s="25">
        <f t="shared" si="75"/>
        <v>1</v>
      </c>
      <c r="AN44" s="26">
        <f t="shared" si="76"/>
        <v>16.120216583734578</v>
      </c>
      <c r="AO44" s="5">
        <f t="shared" si="77"/>
        <v>3.7357355325417174</v>
      </c>
      <c r="AP44" s="25">
        <f t="shared" si="78"/>
        <v>0.39171250087519111</v>
      </c>
      <c r="AQ44" s="26">
        <f t="shared" si="79"/>
        <v>7.5161955987340008</v>
      </c>
      <c r="AR44" s="26">
        <f t="shared" si="80"/>
        <v>7.0967294216456258</v>
      </c>
      <c r="AW44" s="5"/>
      <c r="AX44" s="5"/>
      <c r="BD44" s="23">
        <v>13</v>
      </c>
      <c r="BE44" s="23">
        <f t="shared" si="46"/>
        <v>170.8520920479078</v>
      </c>
      <c r="BF44" s="23"/>
      <c r="BG44" s="23"/>
      <c r="BH44" s="23"/>
      <c r="CA44" s="1">
        <v>13</v>
      </c>
      <c r="CB44" s="23"/>
      <c r="CC44" s="23"/>
      <c r="CD44" s="23"/>
      <c r="CE44" s="23"/>
    </row>
    <row r="45" spans="1:83" ht="15.75" x14ac:dyDescent="0.2">
      <c r="D45" s="54" t="s">
        <v>143</v>
      </c>
      <c r="F45" s="1">
        <v>0.1</v>
      </c>
      <c r="G45" s="1">
        <v>0.05</v>
      </c>
      <c r="H45" s="5">
        <v>2.5</v>
      </c>
      <c r="I45" s="5">
        <v>1</v>
      </c>
      <c r="J45" s="5">
        <v>0</v>
      </c>
      <c r="K45" s="23"/>
      <c r="L45" s="23"/>
      <c r="M45" s="23">
        <f t="shared" si="50"/>
        <v>5.7423100000000007</v>
      </c>
      <c r="N45" s="23">
        <f t="shared" si="51"/>
        <v>30.454126413667503</v>
      </c>
      <c r="O45" s="23">
        <f t="shared" si="52"/>
        <v>47.903064413667494</v>
      </c>
      <c r="P45" s="23">
        <f t="shared" si="53"/>
        <v>24.711816413667503</v>
      </c>
      <c r="Q45" s="26">
        <f t="shared" si="54"/>
        <v>21.993883925397952</v>
      </c>
      <c r="R45" s="5">
        <f t="shared" si="55"/>
        <v>1.3805687930378112</v>
      </c>
      <c r="S45" s="23">
        <f t="shared" si="56"/>
        <v>30.454126413667503</v>
      </c>
      <c r="T45" s="5">
        <f t="shared" si="57"/>
        <v>0</v>
      </c>
      <c r="U45" s="5">
        <f t="shared" si="58"/>
        <v>1.3805687930378112</v>
      </c>
      <c r="V45" s="5"/>
      <c r="W45" s="25">
        <f t="shared" si="59"/>
        <v>6.7915000000000003E-2</v>
      </c>
      <c r="X45" s="25">
        <f t="shared" si="60"/>
        <v>5.7423100000000005E-2</v>
      </c>
      <c r="Y45" s="5">
        <f t="shared" si="61"/>
        <v>0.31153500000000001</v>
      </c>
      <c r="Z45" s="5">
        <f t="shared" si="62"/>
        <v>0.30454126413667504</v>
      </c>
      <c r="AA45" s="5">
        <f t="shared" si="63"/>
        <v>0.15170499999999998</v>
      </c>
      <c r="AB45" s="5">
        <f t="shared" si="64"/>
        <v>0.14118937999999998</v>
      </c>
      <c r="AC45" s="5">
        <f t="shared" si="65"/>
        <v>0.44573064413667501</v>
      </c>
      <c r="AD45" s="5">
        <f t="shared" si="66"/>
        <v>3.3299999999999996E-2</v>
      </c>
      <c r="AE45" s="5">
        <f t="shared" si="67"/>
        <v>0.47903064413667501</v>
      </c>
      <c r="AF45" s="5">
        <f t="shared" si="68"/>
        <v>1.3805687930378112</v>
      </c>
      <c r="AG45" s="25">
        <f t="shared" si="69"/>
        <v>1.3805687930378112</v>
      </c>
      <c r="AH45" s="25">
        <f t="shared" si="70"/>
        <v>0.47903064413667495</v>
      </c>
      <c r="AI45" s="25">
        <f t="shared" si="71"/>
        <v>0</v>
      </c>
      <c r="AJ45" s="25">
        <f t="shared" si="72"/>
        <v>0.30454126413667504</v>
      </c>
      <c r="AK45" s="25">
        <f t="shared" si="73"/>
        <v>0.17448937999999992</v>
      </c>
      <c r="AL45" s="25">
        <f t="shared" si="74"/>
        <v>0.43711958620023522</v>
      </c>
      <c r="AM45" s="25">
        <f t="shared" si="75"/>
        <v>1</v>
      </c>
      <c r="AN45" s="26">
        <f t="shared" si="76"/>
        <v>21.993883925397952</v>
      </c>
      <c r="AO45" s="5">
        <f t="shared" si="77"/>
        <v>2.2877034833710725</v>
      </c>
      <c r="AP45" s="25">
        <f t="shared" si="78"/>
        <v>2.1739493917529118</v>
      </c>
      <c r="AQ45" s="26">
        <f t="shared" si="79"/>
        <v>10.67682973988401</v>
      </c>
      <c r="AR45" s="26">
        <f t="shared" si="80"/>
        <v>11.05024184516655</v>
      </c>
      <c r="AT45" s="5"/>
      <c r="AW45" s="5"/>
      <c r="AX45" s="5"/>
      <c r="BA45" s="39"/>
      <c r="BB45" s="39"/>
      <c r="BD45" s="23">
        <v>12</v>
      </c>
      <c r="BE45" s="23"/>
      <c r="BF45" s="23"/>
      <c r="BG45" s="23"/>
      <c r="BH45" s="23"/>
      <c r="CA45" s="1">
        <v>12</v>
      </c>
      <c r="CB45" s="23"/>
      <c r="CC45" s="23"/>
      <c r="CD45" s="23"/>
      <c r="CE45" s="23"/>
    </row>
    <row r="46" spans="1:83" ht="15.75" x14ac:dyDescent="0.2">
      <c r="D46" s="54" t="s">
        <v>144</v>
      </c>
      <c r="F46" s="1">
        <v>0.6</v>
      </c>
      <c r="G46" s="1">
        <v>0.25</v>
      </c>
      <c r="H46" s="5">
        <v>2.5</v>
      </c>
      <c r="I46" s="5">
        <v>1</v>
      </c>
      <c r="J46" s="5">
        <v>0</v>
      </c>
      <c r="K46" s="23"/>
      <c r="L46" s="23"/>
      <c r="M46" s="23">
        <f t="shared" si="50"/>
        <v>16.573450000000005</v>
      </c>
      <c r="N46" s="23">
        <f t="shared" si="51"/>
        <v>26.704504999187499</v>
      </c>
      <c r="O46" s="23">
        <f t="shared" si="52"/>
        <v>43.413074999187508</v>
      </c>
      <c r="P46" s="23">
        <f t="shared" si="53"/>
        <v>10.131054999187494</v>
      </c>
      <c r="Q46" s="26">
        <f t="shared" si="54"/>
        <v>11.25889492484162</v>
      </c>
      <c r="R46" s="5">
        <f t="shared" si="55"/>
        <v>1.4995535125215311</v>
      </c>
      <c r="S46" s="23">
        <f t="shared" si="56"/>
        <v>26.704504999187499</v>
      </c>
      <c r="T46" s="5">
        <f t="shared" si="57"/>
        <v>0</v>
      </c>
      <c r="U46" s="5">
        <f t="shared" si="58"/>
        <v>1.4995535125215311</v>
      </c>
      <c r="V46" s="5"/>
      <c r="W46" s="25">
        <f t="shared" si="59"/>
        <v>0.16292500000000001</v>
      </c>
      <c r="X46" s="25">
        <f t="shared" si="60"/>
        <v>0.16573450000000003</v>
      </c>
      <c r="Y46" s="5">
        <f t="shared" si="61"/>
        <v>0.28457500000000002</v>
      </c>
      <c r="Z46" s="5">
        <f t="shared" si="62"/>
        <v>0.26704504999187501</v>
      </c>
      <c r="AA46" s="5">
        <f t="shared" si="63"/>
        <v>0.17682500000000001</v>
      </c>
      <c r="AB46" s="5">
        <f t="shared" si="64"/>
        <v>0.18228570000000002</v>
      </c>
      <c r="AC46" s="5">
        <f t="shared" si="65"/>
        <v>0.44933074999187506</v>
      </c>
      <c r="AD46" s="5">
        <f t="shared" si="66"/>
        <v>-1.5200000000000005E-2</v>
      </c>
      <c r="AE46" s="5">
        <f t="shared" si="67"/>
        <v>0.43413074999187506</v>
      </c>
      <c r="AF46" s="5">
        <f t="shared" si="68"/>
        <v>1.4995535125215311</v>
      </c>
      <c r="AG46" s="25">
        <f t="shared" si="69"/>
        <v>1.4995535125215311</v>
      </c>
      <c r="AH46" s="25">
        <f t="shared" si="70"/>
        <v>0.43413074999187506</v>
      </c>
      <c r="AI46" s="25">
        <f t="shared" si="71"/>
        <v>0</v>
      </c>
      <c r="AJ46" s="25">
        <f t="shared" si="72"/>
        <v>0.26704504999187501</v>
      </c>
      <c r="AK46" s="25">
        <f t="shared" si="73"/>
        <v>0.16708570000000006</v>
      </c>
      <c r="AL46" s="25">
        <f t="shared" si="74"/>
        <v>0.12498458284884444</v>
      </c>
      <c r="AM46" s="25">
        <f t="shared" si="75"/>
        <v>1</v>
      </c>
      <c r="AN46" s="26">
        <f t="shared" si="76"/>
        <v>11.25889492484162</v>
      </c>
      <c r="AO46" s="5">
        <f t="shared" si="77"/>
        <v>8.0009868193855045</v>
      </c>
      <c r="AP46" s="25">
        <f t="shared" si="78"/>
        <v>8.5236251068419324E-4</v>
      </c>
      <c r="AQ46" s="26">
        <f t="shared" si="79"/>
        <v>3.0606831832700081</v>
      </c>
      <c r="AR46" s="26">
        <f t="shared" si="80"/>
        <v>2.2021816145275341</v>
      </c>
      <c r="AT46" s="5"/>
      <c r="AW46" s="5"/>
      <c r="AX46" s="5" t="s">
        <v>108</v>
      </c>
      <c r="BA46" s="39"/>
      <c r="BB46" s="39"/>
      <c r="BD46" s="23">
        <v>11</v>
      </c>
      <c r="BE46" s="23"/>
      <c r="BF46" s="23"/>
      <c r="BG46" s="23"/>
      <c r="BH46" s="23"/>
      <c r="CA46" s="1">
        <v>11</v>
      </c>
      <c r="CB46" s="23"/>
      <c r="CC46" s="23"/>
      <c r="CD46" s="23"/>
      <c r="CE46" s="23"/>
    </row>
    <row r="47" spans="1:83" ht="15.75" x14ac:dyDescent="0.2">
      <c r="D47" s="54" t="s">
        <v>145</v>
      </c>
      <c r="F47" s="1">
        <v>0.3</v>
      </c>
      <c r="G47" s="1">
        <v>0.35</v>
      </c>
      <c r="H47" s="5">
        <v>2.5</v>
      </c>
      <c r="I47" s="5">
        <v>1</v>
      </c>
      <c r="J47" s="5">
        <v>0</v>
      </c>
      <c r="K47" s="23"/>
      <c r="L47" s="23"/>
      <c r="M47" s="23">
        <f t="shared" si="50"/>
        <v>21.799209999999999</v>
      </c>
      <c r="N47" s="23">
        <f t="shared" si="51"/>
        <v>35.789791318667504</v>
      </c>
      <c r="O47" s="23">
        <f t="shared" si="52"/>
        <v>47.724069318667496</v>
      </c>
      <c r="P47" s="23">
        <f t="shared" si="53"/>
        <v>13.990581318667505</v>
      </c>
      <c r="Q47" s="26">
        <f t="shared" si="54"/>
        <v>4.3238383385703605</v>
      </c>
      <c r="R47" s="5">
        <f t="shared" si="55"/>
        <v>1.3853121630553114</v>
      </c>
      <c r="S47" s="23">
        <f t="shared" si="56"/>
        <v>35.789791318667504</v>
      </c>
      <c r="T47" s="5">
        <f t="shared" si="57"/>
        <v>0</v>
      </c>
      <c r="U47" s="5">
        <f t="shared" si="58"/>
        <v>1.3853121630553114</v>
      </c>
      <c r="V47" s="5"/>
      <c r="W47" s="25">
        <f t="shared" si="59"/>
        <v>0.20876499999999998</v>
      </c>
      <c r="X47" s="25">
        <f t="shared" si="60"/>
        <v>0.21799209999999999</v>
      </c>
      <c r="Y47" s="5">
        <f t="shared" si="61"/>
        <v>0.34778500000000001</v>
      </c>
      <c r="Z47" s="5">
        <f t="shared" si="62"/>
        <v>0.35789791318667502</v>
      </c>
      <c r="AA47" s="5">
        <f t="shared" si="63"/>
        <v>0.12985499999999997</v>
      </c>
      <c r="AB47" s="5">
        <f t="shared" si="64"/>
        <v>0.10544277999999996</v>
      </c>
      <c r="AC47" s="5">
        <f t="shared" si="65"/>
        <v>0.46334069318667498</v>
      </c>
      <c r="AD47" s="5">
        <f t="shared" si="66"/>
        <v>1.3899999999999996E-2</v>
      </c>
      <c r="AE47" s="5">
        <f t="shared" si="67"/>
        <v>0.47724069318667495</v>
      </c>
      <c r="AF47" s="5">
        <f t="shared" si="68"/>
        <v>1.3853121630553114</v>
      </c>
      <c r="AG47" s="25">
        <f t="shared" si="69"/>
        <v>1.3853121630553114</v>
      </c>
      <c r="AH47" s="25">
        <f t="shared" si="70"/>
        <v>0.47724069318667495</v>
      </c>
      <c r="AI47" s="25">
        <f t="shared" si="71"/>
        <v>0</v>
      </c>
      <c r="AJ47" s="25">
        <f t="shared" si="72"/>
        <v>0.35789791318667502</v>
      </c>
      <c r="AK47" s="25">
        <f t="shared" si="73"/>
        <v>0.11934277999999993</v>
      </c>
      <c r="AL47" s="25">
        <f t="shared" si="74"/>
        <v>0.12989946744484457</v>
      </c>
      <c r="AM47" s="25">
        <f t="shared" si="75"/>
        <v>1</v>
      </c>
      <c r="AN47" s="26">
        <f t="shared" si="76"/>
        <v>4.3238383385703605</v>
      </c>
      <c r="AO47" s="5">
        <f t="shared" si="77"/>
        <v>7.6982609680413123</v>
      </c>
      <c r="AP47" s="25">
        <f t="shared" si="78"/>
        <v>1.2112548978618746E-2</v>
      </c>
      <c r="AQ47" s="26">
        <f t="shared" si="79"/>
        <v>5.4674991224760063</v>
      </c>
      <c r="AR47" s="26">
        <f t="shared" si="80"/>
        <v>4.7475426547217356</v>
      </c>
      <c r="AT47" s="5"/>
      <c r="BB47" s="39"/>
      <c r="BD47" s="23">
        <v>10</v>
      </c>
      <c r="BE47" s="23"/>
      <c r="BF47" s="23"/>
      <c r="BG47" s="23"/>
      <c r="BH47" s="23"/>
      <c r="CA47" s="1">
        <v>10</v>
      </c>
      <c r="CB47" s="23"/>
      <c r="CC47" s="23"/>
      <c r="CD47" s="23"/>
      <c r="CE47" s="23"/>
    </row>
    <row r="48" spans="1:83" ht="15.75" x14ac:dyDescent="0.2">
      <c r="D48" s="54" t="s">
        <v>146</v>
      </c>
      <c r="F48" s="1">
        <v>0.1</v>
      </c>
      <c r="G48" s="1">
        <v>0.35</v>
      </c>
      <c r="H48" s="5">
        <v>2.5</v>
      </c>
      <c r="I48" s="5">
        <v>1</v>
      </c>
      <c r="J48" s="5">
        <v>0</v>
      </c>
      <c r="K48" s="23"/>
      <c r="L48" s="23"/>
      <c r="M48" s="23">
        <f t="shared" si="50"/>
        <v>21.51877</v>
      </c>
      <c r="N48" s="23">
        <f t="shared" si="51"/>
        <v>38.183510271907494</v>
      </c>
      <c r="O48" s="23">
        <f t="shared" si="52"/>
        <v>51.121996271907499</v>
      </c>
      <c r="P48" s="23">
        <f t="shared" si="53"/>
        <v>16.664740271907494</v>
      </c>
      <c r="Q48" s="26">
        <f t="shared" si="54"/>
        <v>5.6839620931464907</v>
      </c>
      <c r="R48" s="5">
        <f t="shared" si="55"/>
        <v>1.2952670987944512</v>
      </c>
      <c r="S48" s="23">
        <f t="shared" si="56"/>
        <v>38.183510271907494</v>
      </c>
      <c r="T48" s="5">
        <f t="shared" si="57"/>
        <v>0</v>
      </c>
      <c r="U48" s="5">
        <f t="shared" si="58"/>
        <v>1.2952670987944512</v>
      </c>
      <c r="V48" s="5"/>
      <c r="W48" s="25">
        <f t="shared" si="59"/>
        <v>0.20630499999999999</v>
      </c>
      <c r="X48" s="25">
        <f t="shared" si="60"/>
        <v>0.21518770000000001</v>
      </c>
      <c r="Y48" s="5">
        <f t="shared" si="61"/>
        <v>0.36334499999999997</v>
      </c>
      <c r="Z48" s="5">
        <f t="shared" si="62"/>
        <v>0.38183510271907495</v>
      </c>
      <c r="AA48" s="5">
        <f t="shared" si="63"/>
        <v>0.124135</v>
      </c>
      <c r="AB48" s="5">
        <f t="shared" si="64"/>
        <v>9.6084859999999994E-2</v>
      </c>
      <c r="AC48" s="5">
        <f t="shared" si="65"/>
        <v>0.47791996271907494</v>
      </c>
      <c r="AD48" s="5">
        <f t="shared" si="66"/>
        <v>3.3299999999999996E-2</v>
      </c>
      <c r="AE48" s="5">
        <f t="shared" si="67"/>
        <v>0.51121996271907499</v>
      </c>
      <c r="AF48" s="5">
        <f t="shared" si="68"/>
        <v>1.2952670987944512</v>
      </c>
      <c r="AG48" s="25">
        <f t="shared" si="69"/>
        <v>1.2952670987944512</v>
      </c>
      <c r="AH48" s="25">
        <f t="shared" si="70"/>
        <v>0.51121996271907499</v>
      </c>
      <c r="AI48" s="25">
        <f t="shared" si="71"/>
        <v>0</v>
      </c>
      <c r="AJ48" s="25">
        <f t="shared" si="72"/>
        <v>0.38183510271907495</v>
      </c>
      <c r="AK48" s="25">
        <f t="shared" si="73"/>
        <v>0.12938486000000005</v>
      </c>
      <c r="AL48" s="25">
        <f t="shared" si="74"/>
        <v>0.15025447363131744</v>
      </c>
      <c r="AM48" s="25">
        <f t="shared" si="75"/>
        <v>1</v>
      </c>
      <c r="AN48" s="26">
        <f t="shared" si="76"/>
        <v>5.6839620931464907</v>
      </c>
      <c r="AO48" s="5">
        <f t="shared" si="77"/>
        <v>6.6553758822098104</v>
      </c>
      <c r="AP48" s="25">
        <f t="shared" si="78"/>
        <v>5.4417747950311825E-2</v>
      </c>
      <c r="AQ48" s="26">
        <f t="shared" si="79"/>
        <v>6.3986154743999961</v>
      </c>
      <c r="AR48" s="26">
        <f t="shared" si="80"/>
        <v>5.7944175255774182</v>
      </c>
      <c r="AT48" s="5"/>
      <c r="AX48" s="40" t="s">
        <v>102</v>
      </c>
      <c r="AY48" s="40" t="s">
        <v>68</v>
      </c>
      <c r="AZ48" s="40" t="s">
        <v>106</v>
      </c>
      <c r="BA48" s="41" t="s">
        <v>109</v>
      </c>
      <c r="BB48" s="39"/>
      <c r="BD48" s="23">
        <v>9</v>
      </c>
      <c r="BE48" s="23"/>
      <c r="BF48" s="23"/>
      <c r="BG48" s="23"/>
      <c r="BH48" s="23"/>
      <c r="CA48" s="1">
        <v>9</v>
      </c>
      <c r="CB48" s="23"/>
      <c r="CC48" s="23"/>
      <c r="CD48" s="23"/>
      <c r="CE48" s="23"/>
    </row>
    <row r="49" spans="4:83" ht="15.75" x14ac:dyDescent="0.2">
      <c r="D49" s="54" t="s">
        <v>147</v>
      </c>
      <c r="F49" s="1">
        <v>0.1</v>
      </c>
      <c r="G49" s="1">
        <v>0.45</v>
      </c>
      <c r="H49" s="5">
        <v>2.5</v>
      </c>
      <c r="I49" s="5">
        <v>1</v>
      </c>
      <c r="J49" s="5">
        <v>0</v>
      </c>
      <c r="K49" s="23"/>
      <c r="L49" s="23"/>
      <c r="M49" s="23">
        <f t="shared" si="50"/>
        <v>26.77759</v>
      </c>
      <c r="N49" s="23">
        <f t="shared" si="51"/>
        <v>40.913034946267501</v>
      </c>
      <c r="O49" s="23">
        <f t="shared" si="52"/>
        <v>52.348036946267506</v>
      </c>
      <c r="P49" s="23">
        <f t="shared" si="53"/>
        <v>14.135444946267501</v>
      </c>
      <c r="Q49" s="26">
        <f t="shared" si="54"/>
        <v>3.6716234931984655</v>
      </c>
      <c r="R49" s="5">
        <f t="shared" si="55"/>
        <v>1.2627770209239111</v>
      </c>
      <c r="S49" s="23">
        <f t="shared" si="56"/>
        <v>40.913034946267501</v>
      </c>
      <c r="T49" s="5">
        <f t="shared" si="57"/>
        <v>0</v>
      </c>
      <c r="U49" s="5">
        <f t="shared" si="58"/>
        <v>1.2627770209239111</v>
      </c>
      <c r="V49" s="5"/>
      <c r="W49" s="25">
        <f t="shared" si="59"/>
        <v>0.25243500000000002</v>
      </c>
      <c r="X49" s="25">
        <f t="shared" si="60"/>
        <v>0.26777590000000001</v>
      </c>
      <c r="Y49" s="5">
        <f t="shared" si="61"/>
        <v>0.38061500000000004</v>
      </c>
      <c r="Z49" s="5">
        <f t="shared" si="62"/>
        <v>0.40913034946267501</v>
      </c>
      <c r="AA49" s="5">
        <f t="shared" si="63"/>
        <v>0.11494499999999999</v>
      </c>
      <c r="AB49" s="5">
        <f t="shared" si="64"/>
        <v>8.1050019999999987E-2</v>
      </c>
      <c r="AC49" s="5">
        <f t="shared" si="65"/>
        <v>0.49018036946267501</v>
      </c>
      <c r="AD49" s="5">
        <f t="shared" si="66"/>
        <v>3.3299999999999996E-2</v>
      </c>
      <c r="AE49" s="5">
        <f t="shared" si="67"/>
        <v>0.52348036946267507</v>
      </c>
      <c r="AF49" s="5">
        <f t="shared" si="68"/>
        <v>1.2627770209239111</v>
      </c>
      <c r="AG49" s="25">
        <f t="shared" si="69"/>
        <v>1.2627770209239111</v>
      </c>
      <c r="AH49" s="25">
        <f t="shared" si="70"/>
        <v>0.52348036946267507</v>
      </c>
      <c r="AI49" s="25">
        <f t="shared" si="71"/>
        <v>0</v>
      </c>
      <c r="AJ49" s="25">
        <f t="shared" si="72"/>
        <v>0.40913034946267501</v>
      </c>
      <c r="AK49" s="25">
        <f t="shared" si="73"/>
        <v>0.11435002000000005</v>
      </c>
      <c r="AL49" s="25">
        <f t="shared" si="74"/>
        <v>0.11105980219130634</v>
      </c>
      <c r="AM49" s="25">
        <f t="shared" si="75"/>
        <v>1</v>
      </c>
      <c r="AN49" s="26">
        <f t="shared" si="76"/>
        <v>3.6716234931984655</v>
      </c>
      <c r="AO49" s="5">
        <f t="shared" si="77"/>
        <v>9.0041579425600577</v>
      </c>
      <c r="AP49" s="25">
        <f t="shared" si="78"/>
        <v>1.0559791777710702E-2</v>
      </c>
      <c r="AQ49" s="26">
        <f t="shared" si="79"/>
        <v>4.922664467387996</v>
      </c>
      <c r="AR49" s="26">
        <f t="shared" si="80"/>
        <v>4.1510558917428391</v>
      </c>
      <c r="AT49" s="5"/>
      <c r="AW49" s="1" t="s">
        <v>110</v>
      </c>
      <c r="AX49" s="5">
        <v>0.65</v>
      </c>
      <c r="AY49" s="5">
        <v>0.10299277978339348</v>
      </c>
      <c r="AZ49" s="5">
        <v>2.5</v>
      </c>
      <c r="BA49" s="5">
        <v>1</v>
      </c>
      <c r="BB49" s="39"/>
      <c r="BD49" s="23">
        <v>8</v>
      </c>
      <c r="BE49" s="23"/>
      <c r="BF49" s="23"/>
      <c r="BG49" s="23"/>
      <c r="BH49" s="23"/>
      <c r="CA49" s="1">
        <v>8</v>
      </c>
      <c r="CB49" s="23"/>
      <c r="CC49" s="23"/>
      <c r="CD49" s="23"/>
      <c r="CE49" s="23"/>
    </row>
    <row r="50" spans="4:83" ht="15.75" x14ac:dyDescent="0.2">
      <c r="D50" s="54" t="s">
        <v>148</v>
      </c>
      <c r="F50" s="1">
        <v>0.5</v>
      </c>
      <c r="G50" s="1">
        <v>0.4</v>
      </c>
      <c r="H50" s="5">
        <v>2.5</v>
      </c>
      <c r="I50" s="5">
        <v>1</v>
      </c>
      <c r="J50" s="5">
        <v>0</v>
      </c>
      <c r="K50" s="23"/>
      <c r="L50" s="23"/>
      <c r="M50" s="23">
        <f t="shared" si="50"/>
        <v>24.864099999999997</v>
      </c>
      <c r="N50" s="23">
        <f t="shared" si="51"/>
        <v>36.111510283000001</v>
      </c>
      <c r="O50" s="23">
        <f t="shared" si="52"/>
        <v>44.378990283000007</v>
      </c>
      <c r="P50" s="23">
        <f t="shared" si="53"/>
        <v>11.247410283000004</v>
      </c>
      <c r="Q50" s="26">
        <f t="shared" si="54"/>
        <v>1.3916587486499672</v>
      </c>
      <c r="R50" s="5">
        <f t="shared" si="55"/>
        <v>1.4739567575004997</v>
      </c>
      <c r="S50" s="23">
        <f t="shared" si="56"/>
        <v>36.111510283000001</v>
      </c>
      <c r="T50" s="5">
        <f t="shared" si="57"/>
        <v>0</v>
      </c>
      <c r="U50" s="5">
        <f t="shared" si="58"/>
        <v>1.4739567575004997</v>
      </c>
      <c r="V50" s="5"/>
      <c r="W50" s="25">
        <f t="shared" si="59"/>
        <v>0.23564999999999997</v>
      </c>
      <c r="X50" s="25">
        <f t="shared" si="60"/>
        <v>0.24864099999999997</v>
      </c>
      <c r="Y50" s="5">
        <f t="shared" si="61"/>
        <v>0.34989999999999999</v>
      </c>
      <c r="Z50" s="5">
        <f t="shared" si="62"/>
        <v>0.36111510282999998</v>
      </c>
      <c r="AA50" s="5">
        <f t="shared" si="63"/>
        <v>0.11930000000000002</v>
      </c>
      <c r="AB50" s="5">
        <f t="shared" si="64"/>
        <v>8.8174800000000025E-2</v>
      </c>
      <c r="AC50" s="5">
        <f t="shared" si="65"/>
        <v>0.44928990283000003</v>
      </c>
      <c r="AD50" s="5">
        <f t="shared" si="66"/>
        <v>-5.5000000000000049E-3</v>
      </c>
      <c r="AE50" s="5">
        <f t="shared" si="67"/>
        <v>0.44378990283000003</v>
      </c>
      <c r="AF50" s="5">
        <f t="shared" si="68"/>
        <v>1.4739567575004997</v>
      </c>
      <c r="AG50" s="25">
        <f t="shared" si="69"/>
        <v>1.4739567575004997</v>
      </c>
      <c r="AH50" s="25">
        <f t="shared" si="70"/>
        <v>0.44378990283000008</v>
      </c>
      <c r="AI50" s="25">
        <f t="shared" si="71"/>
        <v>0</v>
      </c>
      <c r="AJ50" s="25">
        <f t="shared" si="72"/>
        <v>0.36111510282999998</v>
      </c>
      <c r="AK50" s="25">
        <f t="shared" si="73"/>
        <v>8.2674800000000104E-2</v>
      </c>
      <c r="AL50" s="25">
        <f t="shared" si="74"/>
        <v>9.7776982423618986E-2</v>
      </c>
      <c r="AM50" s="25">
        <f t="shared" si="75"/>
        <v>1</v>
      </c>
      <c r="AN50" s="26">
        <f t="shared" si="76"/>
        <v>1.3916587486499672</v>
      </c>
      <c r="AO50" s="5">
        <f t="shared" si="77"/>
        <v>10.227355919693839</v>
      </c>
      <c r="AP50" s="25">
        <f t="shared" si="78"/>
        <v>9.8718507853323679E-4</v>
      </c>
      <c r="AQ50" s="26">
        <f t="shared" si="79"/>
        <v>4.3981724118799974</v>
      </c>
      <c r="AR50" s="26">
        <f t="shared" si="80"/>
        <v>3.5880573406300043</v>
      </c>
      <c r="AT50" s="5"/>
      <c r="AW50" s="1" t="s">
        <v>111</v>
      </c>
      <c r="AX50" s="5">
        <v>0.2</v>
      </c>
      <c r="AY50" s="5">
        <v>0.2</v>
      </c>
      <c r="AZ50" s="5">
        <v>2.5</v>
      </c>
      <c r="BA50" s="5">
        <v>1</v>
      </c>
      <c r="BB50" s="39"/>
      <c r="BD50" s="23">
        <v>7</v>
      </c>
      <c r="BE50" s="23"/>
      <c r="CA50" s="1">
        <v>7</v>
      </c>
      <c r="CB50" s="23"/>
      <c r="CC50" s="23"/>
      <c r="CD50" s="23"/>
      <c r="CE50" s="23"/>
    </row>
    <row r="51" spans="4:83" ht="15.75" x14ac:dyDescent="0.2">
      <c r="D51" s="54" t="s">
        <v>149</v>
      </c>
      <c r="F51" s="1">
        <v>0.25</v>
      </c>
      <c r="G51" s="1">
        <v>0.5</v>
      </c>
      <c r="H51" s="5">
        <v>2.5</v>
      </c>
      <c r="I51" s="5">
        <v>1</v>
      </c>
      <c r="J51" s="5">
        <v>0</v>
      </c>
      <c r="K51" s="23"/>
      <c r="L51" s="23"/>
      <c r="M51" s="23">
        <f t="shared" si="50"/>
        <v>29.791749999999993</v>
      </c>
      <c r="N51" s="23">
        <f t="shared" si="51"/>
        <v>42.063063018749993</v>
      </c>
      <c r="O51" s="23">
        <f t="shared" si="52"/>
        <v>49.843463018750001</v>
      </c>
      <c r="P51" s="23">
        <f t="shared" si="53"/>
        <v>12.27131301875</v>
      </c>
      <c r="Q51" s="26">
        <f t="shared" si="54"/>
        <v>1.1449583141898936</v>
      </c>
      <c r="R51" s="5">
        <f t="shared" si="55"/>
        <v>1.329148230003125</v>
      </c>
      <c r="S51" s="23">
        <f t="shared" si="56"/>
        <v>42.063063018749993</v>
      </c>
      <c r="T51" s="5">
        <f t="shared" si="57"/>
        <v>0</v>
      </c>
      <c r="U51" s="5">
        <f t="shared" si="58"/>
        <v>1.329148230003125</v>
      </c>
      <c r="V51" s="5"/>
      <c r="W51" s="25">
        <f t="shared" si="59"/>
        <v>0.27887499999999998</v>
      </c>
      <c r="X51" s="25">
        <f t="shared" si="60"/>
        <v>0.29791749999999995</v>
      </c>
      <c r="Y51" s="5">
        <f t="shared" si="61"/>
        <v>0.38774999999999998</v>
      </c>
      <c r="Z51" s="5">
        <f t="shared" si="62"/>
        <v>0.42063063018749997</v>
      </c>
      <c r="AA51" s="5">
        <f t="shared" si="63"/>
        <v>0.10150000000000001</v>
      </c>
      <c r="AB51" s="5">
        <f t="shared" si="64"/>
        <v>5.9054000000000009E-2</v>
      </c>
      <c r="AC51" s="5">
        <f t="shared" si="65"/>
        <v>0.47968463018749996</v>
      </c>
      <c r="AD51" s="5">
        <f t="shared" si="66"/>
        <v>1.8749999999999996E-2</v>
      </c>
      <c r="AE51" s="5">
        <f t="shared" si="67"/>
        <v>0.49843463018749995</v>
      </c>
      <c r="AF51" s="5">
        <f t="shared" si="68"/>
        <v>1.329148230003125</v>
      </c>
      <c r="AG51" s="25">
        <f t="shared" si="69"/>
        <v>1.329148230003125</v>
      </c>
      <c r="AH51" s="25">
        <f t="shared" si="70"/>
        <v>0.49843463018750001</v>
      </c>
      <c r="AI51" s="25">
        <f t="shared" si="71"/>
        <v>0</v>
      </c>
      <c r="AJ51" s="25">
        <f t="shared" si="72"/>
        <v>0.42063063018749997</v>
      </c>
      <c r="AK51" s="25">
        <f t="shared" si="73"/>
        <v>7.780400000000004E-2</v>
      </c>
      <c r="AL51" s="25">
        <f t="shared" si="74"/>
        <v>9.0375802115472623E-2</v>
      </c>
      <c r="AM51" s="25">
        <f t="shared" si="75"/>
        <v>1</v>
      </c>
      <c r="AN51" s="26">
        <f t="shared" si="76"/>
        <v>1.1449583141898936</v>
      </c>
      <c r="AO51" s="5">
        <f t="shared" si="77"/>
        <v>11.064908709991929</v>
      </c>
      <c r="AP51" s="25">
        <f t="shared" si="78"/>
        <v>2.2751585853750329E-3</v>
      </c>
      <c r="AQ51" s="26">
        <f t="shared" si="79"/>
        <v>4.8607948590000021</v>
      </c>
      <c r="AR51" s="26">
        <f t="shared" si="80"/>
        <v>4.084071573158619</v>
      </c>
      <c r="AT51" s="5"/>
      <c r="AW51" s="1" t="s">
        <v>112</v>
      </c>
      <c r="AX51" s="5">
        <v>0.33</v>
      </c>
      <c r="AY51" s="5">
        <v>0.34</v>
      </c>
      <c r="AZ51" s="5">
        <v>2.5</v>
      </c>
      <c r="BA51" s="5">
        <v>1</v>
      </c>
      <c r="BB51" s="39"/>
    </row>
    <row r="52" spans="4:83" x14ac:dyDescent="0.2">
      <c r="H52" s="5"/>
      <c r="I52" s="5"/>
      <c r="J52" s="5"/>
      <c r="K52" s="23"/>
      <c r="L52" s="23"/>
      <c r="M52" s="23"/>
      <c r="N52" s="23"/>
      <c r="O52" s="23"/>
      <c r="P52" s="23"/>
      <c r="Q52" s="26"/>
      <c r="R52" s="5"/>
      <c r="S52" s="5"/>
      <c r="T52" s="5"/>
      <c r="U52" s="5"/>
      <c r="V52" s="5"/>
      <c r="W52" s="25"/>
      <c r="X52" s="25"/>
      <c r="Y52" s="5"/>
      <c r="Z52" s="5"/>
      <c r="AA52" s="5"/>
      <c r="AB52" s="5"/>
      <c r="AC52" s="5"/>
      <c r="AD52" s="5"/>
      <c r="AE52" s="5"/>
      <c r="AF52" s="5"/>
      <c r="AG52" s="25"/>
      <c r="AH52" s="25"/>
      <c r="AI52" s="25"/>
      <c r="AJ52" s="25"/>
      <c r="AK52" s="25"/>
      <c r="AL52" s="25"/>
      <c r="AM52" s="25"/>
      <c r="AN52" s="26"/>
      <c r="AO52" s="5"/>
      <c r="AP52" s="25"/>
      <c r="AQ52" s="26"/>
      <c r="AR52" s="26"/>
      <c r="AT52" s="5"/>
      <c r="AW52" s="1" t="s">
        <v>113</v>
      </c>
      <c r="AX52" s="5">
        <v>0.1</v>
      </c>
      <c r="AY52" s="5">
        <v>0.34</v>
      </c>
      <c r="AZ52" s="5">
        <v>2.5</v>
      </c>
      <c r="BA52" s="5">
        <v>1</v>
      </c>
      <c r="BB52" s="39"/>
    </row>
    <row r="53" spans="4:83" x14ac:dyDescent="0.2">
      <c r="H53" s="5"/>
      <c r="I53" s="5"/>
      <c r="J53" s="5"/>
      <c r="K53" s="23"/>
      <c r="L53" s="23"/>
      <c r="M53" s="23"/>
      <c r="N53" s="23"/>
      <c r="O53" s="23"/>
      <c r="P53" s="23"/>
      <c r="Q53" s="26"/>
      <c r="R53" s="5"/>
      <c r="S53" s="5"/>
      <c r="T53" s="5"/>
      <c r="U53" s="5"/>
      <c r="V53" s="5"/>
      <c r="W53" s="25"/>
      <c r="X53" s="25"/>
      <c r="Y53" s="5"/>
      <c r="Z53" s="5"/>
      <c r="AA53" s="5"/>
      <c r="AB53" s="5"/>
      <c r="AC53" s="5"/>
      <c r="AD53" s="5"/>
      <c r="AE53" s="5"/>
      <c r="AF53" s="5"/>
      <c r="AG53" s="25"/>
      <c r="AH53" s="25"/>
      <c r="AI53" s="25"/>
      <c r="AJ53" s="25"/>
      <c r="AK53" s="25"/>
      <c r="AL53" s="25"/>
      <c r="AM53" s="25"/>
      <c r="AN53" s="26"/>
      <c r="AO53" s="5"/>
      <c r="AP53" s="25"/>
      <c r="AQ53" s="26"/>
      <c r="AR53" s="26"/>
      <c r="AT53" s="5"/>
      <c r="AW53" s="40"/>
      <c r="AX53" s="40" t="s">
        <v>114</v>
      </c>
      <c r="AY53" s="40"/>
      <c r="AZ53" s="40"/>
      <c r="BA53" s="39"/>
      <c r="BB53" s="39"/>
    </row>
    <row r="54" spans="4:83" x14ac:dyDescent="0.2">
      <c r="H54" s="5"/>
      <c r="I54" s="5"/>
      <c r="J54" s="5"/>
      <c r="K54" s="23"/>
      <c r="L54" s="23"/>
      <c r="M54" s="23"/>
      <c r="N54" s="23"/>
      <c r="O54" s="23"/>
      <c r="P54" s="23"/>
      <c r="Q54" s="26"/>
      <c r="R54" s="5"/>
      <c r="S54" s="5"/>
      <c r="T54" s="5"/>
      <c r="U54" s="5"/>
      <c r="V54" s="5"/>
      <c r="W54" s="25"/>
      <c r="X54" s="25"/>
      <c r="Y54" s="5"/>
      <c r="Z54" s="5"/>
      <c r="AA54" s="5"/>
      <c r="AB54" s="5"/>
      <c r="AC54" s="5"/>
      <c r="AD54" s="5"/>
      <c r="AE54" s="5"/>
      <c r="AF54" s="5"/>
      <c r="AG54" s="25"/>
      <c r="AH54" s="25"/>
      <c r="AI54" s="25"/>
      <c r="AJ54" s="25"/>
      <c r="AK54" s="25"/>
      <c r="AL54" s="25"/>
      <c r="AM54" s="25"/>
      <c r="AN54" s="26"/>
      <c r="AO54" s="5"/>
      <c r="AP54" s="25"/>
      <c r="AQ54" s="26"/>
      <c r="AR54" s="26"/>
      <c r="AT54" s="5"/>
      <c r="AW54" s="40" t="s">
        <v>99</v>
      </c>
      <c r="AX54" s="40" t="s">
        <v>100</v>
      </c>
      <c r="AY54" s="40" t="s">
        <v>106</v>
      </c>
      <c r="AZ54" s="40" t="s">
        <v>109</v>
      </c>
      <c r="BA54" s="39"/>
      <c r="BB54" s="39"/>
    </row>
    <row r="55" spans="4:83" x14ac:dyDescent="0.2">
      <c r="H55" s="5"/>
      <c r="I55" s="5"/>
      <c r="J55" s="5"/>
      <c r="K55" s="23"/>
      <c r="L55" s="23"/>
      <c r="M55" s="23"/>
      <c r="N55" s="23"/>
      <c r="O55" s="23"/>
      <c r="P55" s="23"/>
      <c r="Q55" s="26"/>
      <c r="R55" s="5"/>
      <c r="S55" s="5"/>
      <c r="T55" s="5"/>
      <c r="U55" s="5"/>
      <c r="V55" s="5"/>
      <c r="W55" s="25"/>
      <c r="X55" s="25"/>
      <c r="Y55" s="5"/>
      <c r="Z55" s="5"/>
      <c r="AA55" s="5"/>
      <c r="AB55" s="5"/>
      <c r="AC55" s="5"/>
      <c r="AD55" s="5"/>
      <c r="AE55" s="5"/>
      <c r="AF55" s="5"/>
      <c r="AG55" s="25"/>
      <c r="AH55" s="25"/>
      <c r="AI55" s="25"/>
      <c r="AJ55" s="25"/>
      <c r="AK55" s="25"/>
      <c r="AL55" s="25"/>
      <c r="AM55" s="25"/>
      <c r="AN55" s="26"/>
      <c r="AO55" s="5"/>
      <c r="AP55" s="25"/>
      <c r="AQ55" s="26"/>
      <c r="AR55" s="26"/>
      <c r="AT55" s="5"/>
      <c r="AW55" s="5">
        <v>0.2</v>
      </c>
      <c r="AX55" s="5">
        <v>0.2</v>
      </c>
      <c r="AY55" s="5">
        <v>0.5</v>
      </c>
      <c r="AZ55" s="5">
        <v>1</v>
      </c>
      <c r="BA55" s="39"/>
      <c r="BB55" s="39"/>
    </row>
    <row r="56" spans="4:83" x14ac:dyDescent="0.2">
      <c r="H56" s="5"/>
      <c r="I56" s="5"/>
      <c r="J56" s="5"/>
      <c r="K56" s="23"/>
      <c r="L56" s="23"/>
      <c r="M56" s="23"/>
      <c r="N56" s="23"/>
      <c r="O56" s="23"/>
      <c r="P56" s="23"/>
      <c r="Q56" s="26"/>
      <c r="R56" s="5"/>
      <c r="S56" s="5"/>
      <c r="T56" s="5"/>
      <c r="U56" s="5"/>
      <c r="V56" s="5"/>
      <c r="W56" s="25"/>
      <c r="X56" s="25"/>
      <c r="Y56" s="5"/>
      <c r="Z56" s="5"/>
      <c r="AA56" s="5"/>
      <c r="AB56" s="5"/>
      <c r="AC56" s="5"/>
      <c r="AD56" s="5"/>
      <c r="AE56" s="5"/>
      <c r="AF56" s="5"/>
      <c r="AG56" s="25"/>
      <c r="AH56" s="25"/>
      <c r="AI56" s="25"/>
      <c r="AJ56" s="25"/>
      <c r="AK56" s="25"/>
      <c r="AL56" s="25"/>
      <c r="AM56" s="25"/>
      <c r="AN56" s="26"/>
      <c r="AO56" s="5"/>
      <c r="AP56" s="25"/>
      <c r="AQ56" s="26"/>
      <c r="AR56" s="26"/>
      <c r="AT56" s="5"/>
      <c r="AW56" s="5">
        <v>0.2</v>
      </c>
      <c r="AX56" s="5">
        <v>0.2</v>
      </c>
      <c r="AY56" s="5">
        <v>2.5</v>
      </c>
      <c r="AZ56" s="5">
        <v>1</v>
      </c>
      <c r="BA56" s="39"/>
      <c r="BB56" s="39"/>
    </row>
    <row r="57" spans="4:83" x14ac:dyDescent="0.2">
      <c r="H57" s="5"/>
      <c r="I57" s="5"/>
      <c r="J57" s="5"/>
      <c r="K57" s="23"/>
      <c r="L57" s="23"/>
      <c r="M57" s="23"/>
      <c r="N57" s="23"/>
      <c r="O57" s="23"/>
      <c r="P57" s="23"/>
      <c r="Q57" s="26"/>
      <c r="R57" s="5"/>
      <c r="S57" s="5"/>
      <c r="T57" s="5"/>
      <c r="U57" s="5"/>
      <c r="V57" s="5"/>
      <c r="W57" s="25"/>
      <c r="X57" s="25"/>
      <c r="Y57" s="5"/>
      <c r="Z57" s="5"/>
      <c r="AA57" s="5"/>
      <c r="AB57" s="5"/>
      <c r="AC57" s="5"/>
      <c r="AD57" s="5"/>
      <c r="AE57" s="5"/>
      <c r="AF57" s="5"/>
      <c r="AG57" s="25"/>
      <c r="AH57" s="25"/>
      <c r="AI57" s="25"/>
      <c r="AJ57" s="25"/>
      <c r="AK57" s="25"/>
      <c r="AL57" s="25"/>
      <c r="AM57" s="25"/>
      <c r="AN57" s="26"/>
      <c r="AO57" s="5"/>
      <c r="AP57" s="25"/>
      <c r="AQ57" s="26"/>
      <c r="AR57" s="26"/>
      <c r="AT57" s="5"/>
      <c r="AW57" s="5">
        <v>0.2</v>
      </c>
      <c r="AX57" s="5">
        <v>0.2</v>
      </c>
      <c r="AY57" s="5">
        <v>5</v>
      </c>
      <c r="AZ57" s="5">
        <v>1</v>
      </c>
      <c r="BA57" s="39"/>
      <c r="BB57" s="39"/>
    </row>
    <row r="58" spans="4:83" x14ac:dyDescent="0.2">
      <c r="H58" s="5"/>
      <c r="I58" s="5"/>
      <c r="J58" s="5"/>
      <c r="K58" s="23"/>
      <c r="L58" s="23"/>
      <c r="M58" s="23"/>
      <c r="N58" s="23"/>
      <c r="O58" s="23"/>
      <c r="P58" s="23"/>
      <c r="Q58" s="26"/>
      <c r="R58" s="5"/>
      <c r="S58" s="5"/>
      <c r="T58" s="5"/>
      <c r="U58" s="5"/>
      <c r="V58" s="5"/>
      <c r="W58" s="25"/>
      <c r="X58" s="25"/>
      <c r="Y58" s="5"/>
      <c r="Z58" s="5"/>
      <c r="AA58" s="5"/>
      <c r="AB58" s="5"/>
      <c r="AC58" s="5"/>
      <c r="AD58" s="5"/>
      <c r="AE58" s="5"/>
      <c r="AF58" s="5"/>
      <c r="AG58" s="25"/>
      <c r="AH58" s="25"/>
      <c r="AI58" s="25"/>
      <c r="AJ58" s="25"/>
      <c r="AK58" s="25"/>
      <c r="AL58" s="25"/>
      <c r="AM58" s="25"/>
      <c r="AN58" s="26"/>
      <c r="AO58" s="5"/>
      <c r="AP58" s="25"/>
      <c r="AQ58" s="26"/>
      <c r="AR58" s="26"/>
      <c r="AT58" s="5"/>
      <c r="AW58" s="5">
        <v>0.2</v>
      </c>
      <c r="AX58" s="5">
        <v>0.2</v>
      </c>
      <c r="AY58" s="5">
        <v>7.5</v>
      </c>
      <c r="AZ58" s="5">
        <v>1</v>
      </c>
      <c r="BA58" s="39"/>
      <c r="BB58" s="39"/>
    </row>
    <row r="59" spans="4:83" x14ac:dyDescent="0.2">
      <c r="H59" s="5"/>
      <c r="I59" s="5"/>
      <c r="J59" s="5"/>
      <c r="K59" s="23"/>
      <c r="L59" s="23"/>
      <c r="M59" s="23"/>
      <c r="N59" s="23"/>
      <c r="O59" s="23"/>
      <c r="P59" s="23"/>
      <c r="Q59" s="26"/>
      <c r="R59" s="5"/>
      <c r="S59" s="5"/>
      <c r="T59" s="5"/>
      <c r="U59" s="5"/>
      <c r="V59" s="5"/>
      <c r="W59" s="25"/>
      <c r="X59" s="25"/>
      <c r="Y59" s="5"/>
      <c r="Z59" s="5"/>
      <c r="AA59" s="5"/>
      <c r="AB59" s="5"/>
      <c r="AC59" s="5"/>
      <c r="AD59" s="5"/>
      <c r="AE59" s="5"/>
      <c r="AF59" s="5"/>
      <c r="AG59" s="25"/>
      <c r="AH59" s="25"/>
      <c r="AI59" s="25"/>
      <c r="AJ59" s="25"/>
      <c r="AK59" s="25"/>
      <c r="AL59" s="25"/>
      <c r="AM59" s="25"/>
      <c r="AN59" s="26"/>
      <c r="AO59" s="5"/>
      <c r="AP59" s="25"/>
      <c r="AQ59" s="26"/>
      <c r="AR59" s="26"/>
      <c r="AT59" s="5"/>
      <c r="BB59" s="39"/>
    </row>
    <row r="60" spans="4:83" x14ac:dyDescent="0.2">
      <c r="H60" s="5"/>
      <c r="I60" s="5"/>
      <c r="J60" s="5"/>
      <c r="K60" s="23"/>
      <c r="L60" s="23"/>
      <c r="M60" s="23"/>
      <c r="N60" s="23"/>
      <c r="O60" s="23"/>
      <c r="P60" s="23"/>
      <c r="Q60" s="26"/>
      <c r="R60" s="5"/>
      <c r="S60" s="5"/>
      <c r="T60" s="5"/>
      <c r="U60" s="5"/>
      <c r="V60" s="5"/>
      <c r="W60" s="25"/>
      <c r="X60" s="25"/>
      <c r="Y60" s="5"/>
      <c r="Z60" s="5"/>
      <c r="AA60" s="5"/>
      <c r="AB60" s="5"/>
      <c r="AC60" s="5"/>
      <c r="AD60" s="5"/>
      <c r="AE60" s="5"/>
      <c r="AF60" s="5"/>
      <c r="AG60" s="25"/>
      <c r="AH60" s="25"/>
      <c r="AI60" s="25"/>
      <c r="AJ60" s="25"/>
      <c r="AK60" s="25"/>
      <c r="AL60" s="25"/>
      <c r="AM60" s="25"/>
      <c r="AN60" s="26"/>
      <c r="AO60" s="5"/>
      <c r="AP60" s="25"/>
      <c r="AQ60" s="26"/>
      <c r="AR60" s="26"/>
      <c r="AT60" s="5"/>
      <c r="AV60" s="1" t="s">
        <v>115</v>
      </c>
      <c r="AX60" s="5">
        <v>0.5</v>
      </c>
      <c r="AY60" s="5">
        <v>2.5</v>
      </c>
      <c r="AZ60" s="5">
        <v>5</v>
      </c>
      <c r="BA60" s="5">
        <v>7.5</v>
      </c>
    </row>
    <row r="61" spans="4:83" x14ac:dyDescent="0.2">
      <c r="H61" s="5"/>
      <c r="I61" s="5"/>
      <c r="J61" s="5"/>
      <c r="K61" s="23"/>
      <c r="L61" s="23"/>
      <c r="M61" s="23"/>
      <c r="N61" s="23"/>
      <c r="O61" s="23"/>
      <c r="P61" s="23"/>
      <c r="Q61" s="26"/>
      <c r="R61" s="5"/>
      <c r="S61" s="5"/>
      <c r="T61" s="5"/>
      <c r="U61" s="5"/>
      <c r="V61" s="5"/>
      <c r="W61" s="25"/>
      <c r="X61" s="25"/>
      <c r="Y61" s="5"/>
      <c r="Z61" s="5"/>
      <c r="AA61" s="5"/>
      <c r="AB61" s="5"/>
      <c r="AC61" s="5"/>
      <c r="AD61" s="5"/>
      <c r="AE61" s="5"/>
      <c r="AF61" s="5"/>
      <c r="AG61" s="25"/>
      <c r="AH61" s="25"/>
      <c r="AI61" s="25"/>
      <c r="AJ61" s="25"/>
      <c r="AK61" s="25"/>
      <c r="AL61" s="25"/>
      <c r="AM61" s="25"/>
      <c r="AN61" s="26"/>
      <c r="AO61" s="5"/>
      <c r="AP61" s="25"/>
      <c r="AQ61" s="26"/>
      <c r="AR61" s="26"/>
      <c r="AT61" s="5"/>
    </row>
    <row r="62" spans="4:83" x14ac:dyDescent="0.2">
      <c r="H62" s="5"/>
      <c r="I62" s="5"/>
      <c r="J62" s="5"/>
      <c r="K62" s="23"/>
      <c r="L62" s="23"/>
      <c r="M62" s="23"/>
      <c r="N62" s="23"/>
      <c r="O62" s="23"/>
      <c r="P62" s="23"/>
      <c r="Q62" s="26"/>
      <c r="R62" s="5"/>
      <c r="S62" s="5"/>
      <c r="T62" s="5"/>
      <c r="U62" s="5"/>
      <c r="V62" s="5"/>
      <c r="W62" s="25"/>
      <c r="X62" s="25"/>
      <c r="Y62" s="5"/>
      <c r="Z62" s="5"/>
      <c r="AA62" s="5"/>
      <c r="AB62" s="5"/>
      <c r="AC62" s="5"/>
      <c r="AD62" s="5"/>
      <c r="AE62" s="5"/>
      <c r="AF62" s="5"/>
      <c r="AG62" s="25"/>
      <c r="AH62" s="25"/>
      <c r="AI62" s="25"/>
      <c r="AJ62" s="25"/>
      <c r="AK62" s="25"/>
      <c r="AL62" s="25"/>
      <c r="AM62" s="25"/>
      <c r="AN62" s="26"/>
      <c r="AO62" s="5"/>
      <c r="AP62" s="25"/>
      <c r="AQ62" s="26"/>
      <c r="AR62" s="26"/>
      <c r="AT62" s="5"/>
      <c r="AV62" s="5" t="s">
        <v>25</v>
      </c>
      <c r="AW62" s="5"/>
      <c r="AX62" s="5">
        <v>0.12852000000000002</v>
      </c>
      <c r="AY62" s="5">
        <v>0.13732</v>
      </c>
      <c r="AZ62" s="5">
        <v>0.14832000000000001</v>
      </c>
      <c r="BA62" s="5">
        <v>0.15932000000000002</v>
      </c>
    </row>
    <row r="63" spans="4:83" x14ac:dyDescent="0.2">
      <c r="H63" s="5"/>
      <c r="I63" s="5"/>
      <c r="J63" s="5"/>
      <c r="K63" s="23"/>
      <c r="L63" s="23"/>
      <c r="M63" s="23"/>
      <c r="N63" s="23"/>
      <c r="O63" s="23"/>
      <c r="P63" s="23"/>
      <c r="Q63" s="26"/>
      <c r="R63" s="5"/>
      <c r="S63" s="5"/>
      <c r="T63" s="5"/>
      <c r="U63" s="5"/>
      <c r="V63" s="5"/>
      <c r="W63" s="25"/>
      <c r="X63" s="25"/>
      <c r="Y63" s="5"/>
      <c r="Z63" s="5"/>
      <c r="AA63" s="5"/>
      <c r="AB63" s="5"/>
      <c r="AC63" s="5"/>
      <c r="AD63" s="5"/>
      <c r="AE63" s="5"/>
      <c r="AF63" s="5"/>
      <c r="AG63" s="25"/>
      <c r="AH63" s="25"/>
      <c r="AI63" s="25"/>
      <c r="AJ63" s="25"/>
      <c r="AK63" s="25"/>
      <c r="AL63" s="25"/>
      <c r="AM63" s="25"/>
      <c r="AN63" s="26"/>
      <c r="AO63" s="5"/>
      <c r="AP63" s="25"/>
      <c r="AQ63" s="26"/>
      <c r="AR63" s="26"/>
      <c r="AT63" s="5"/>
      <c r="AV63" s="5" t="s">
        <v>26</v>
      </c>
      <c r="AW63" s="5"/>
      <c r="AX63" s="5">
        <v>0.30133351390719998</v>
      </c>
      <c r="AY63" s="5">
        <v>0.32087754731520002</v>
      </c>
      <c r="AZ63" s="5">
        <v>0.3459750056751999</v>
      </c>
      <c r="BA63" s="5">
        <v>0.37181403803519997</v>
      </c>
    </row>
    <row r="64" spans="4:83" x14ac:dyDescent="0.2">
      <c r="F64" s="5"/>
      <c r="G64" s="5"/>
      <c r="H64" s="5"/>
      <c r="I64" s="5"/>
      <c r="J64" s="5"/>
      <c r="K64" s="5"/>
      <c r="M64" s="23"/>
      <c r="N64" s="23"/>
      <c r="O64" s="23"/>
      <c r="P64" s="23"/>
      <c r="Q64" s="26"/>
      <c r="R64" s="5"/>
      <c r="S64" s="5"/>
      <c r="T64" s="5"/>
      <c r="U64" s="5"/>
      <c r="V64" s="5"/>
      <c r="W64" s="25"/>
      <c r="X64" s="25"/>
      <c r="Y64" s="5"/>
      <c r="Z64" s="5"/>
      <c r="AA64" s="5"/>
      <c r="AB64" s="5"/>
      <c r="AC64" s="5"/>
      <c r="AD64" s="5"/>
      <c r="AE64" s="5"/>
      <c r="AF64" s="5"/>
      <c r="AG64" s="25"/>
      <c r="AH64" s="25"/>
      <c r="AI64" s="25"/>
      <c r="AJ64" s="25"/>
      <c r="AK64" s="25"/>
      <c r="AL64" s="25"/>
      <c r="AM64" s="25"/>
      <c r="AN64" s="26"/>
      <c r="AO64" s="5"/>
      <c r="AP64" s="25"/>
      <c r="AQ64" s="26"/>
      <c r="AR64" s="26"/>
      <c r="AT64" s="5"/>
      <c r="AV64" s="5" t="s">
        <v>85</v>
      </c>
      <c r="AW64" s="5"/>
      <c r="AX64" s="5">
        <v>0.42004495390719998</v>
      </c>
      <c r="AY64" s="5">
        <v>0.48212498731520004</v>
      </c>
      <c r="AZ64" s="5">
        <v>0.56039244567519986</v>
      </c>
      <c r="BA64" s="5">
        <v>0.63940147803519987</v>
      </c>
    </row>
    <row r="65" spans="1:53" ht="15.75" x14ac:dyDescent="0.2">
      <c r="A65" s="23"/>
      <c r="B65" s="5"/>
      <c r="C65" s="23"/>
      <c r="F65" s="5"/>
      <c r="G65" s="5"/>
      <c r="K65" s="42"/>
      <c r="L65" s="42"/>
      <c r="M65" s="23"/>
      <c r="N65" s="23"/>
      <c r="O65" s="23"/>
      <c r="P65" s="23"/>
      <c r="Q65" s="26"/>
      <c r="R65" s="5"/>
      <c r="S65" s="5"/>
      <c r="T65" s="5"/>
      <c r="U65" s="5"/>
      <c r="V65" s="5"/>
      <c r="W65" s="25"/>
      <c r="X65" s="25"/>
      <c r="Y65" s="5"/>
      <c r="Z65" s="5"/>
      <c r="AA65" s="5"/>
      <c r="AB65" s="5"/>
      <c r="AC65" s="5"/>
      <c r="AD65" s="5"/>
      <c r="AE65" s="5"/>
      <c r="AF65" s="5"/>
      <c r="AG65" s="25"/>
      <c r="AH65" s="25"/>
      <c r="AI65" s="25"/>
      <c r="AJ65" s="25"/>
      <c r="AK65" s="25"/>
      <c r="AL65" s="25"/>
      <c r="AM65" s="25"/>
      <c r="AN65" s="26"/>
      <c r="AO65" s="5"/>
      <c r="AP65" s="25"/>
      <c r="AQ65" s="26"/>
      <c r="AR65" s="26"/>
      <c r="AT65" s="5"/>
      <c r="AV65" s="5" t="s">
        <v>86</v>
      </c>
      <c r="AW65" s="5"/>
      <c r="AX65" s="5">
        <v>0.15316594172034209</v>
      </c>
      <c r="AY65" s="5">
        <v>0.19887392506685519</v>
      </c>
      <c r="AZ65" s="5">
        <v>0.27628965250504267</v>
      </c>
      <c r="BA65" s="5">
        <v>0.38320402041341184</v>
      </c>
    </row>
    <row r="66" spans="1:53" ht="15.75" x14ac:dyDescent="0.2">
      <c r="A66" s="23"/>
      <c r="B66" s="5"/>
      <c r="C66" s="23"/>
      <c r="E66" s="5"/>
      <c r="F66" s="5"/>
      <c r="G66" s="5"/>
      <c r="K66" s="42"/>
      <c r="L66" s="42"/>
      <c r="M66" s="23"/>
      <c r="N66" s="23"/>
      <c r="O66" s="23"/>
      <c r="P66" s="23"/>
      <c r="Q66" s="26"/>
      <c r="R66" s="5"/>
      <c r="S66" s="5"/>
      <c r="T66" s="5"/>
      <c r="U66" s="5"/>
      <c r="V66" s="5"/>
      <c r="W66" s="25"/>
      <c r="X66" s="25"/>
      <c r="Y66" s="5"/>
      <c r="Z66" s="5"/>
      <c r="AA66" s="5"/>
      <c r="AB66" s="5"/>
      <c r="AC66" s="5"/>
      <c r="AD66" s="5"/>
      <c r="AE66" s="5"/>
      <c r="AF66" s="5"/>
      <c r="AG66" s="25"/>
      <c r="AH66" s="25"/>
      <c r="AI66" s="25"/>
      <c r="AJ66" s="25"/>
      <c r="AK66" s="25"/>
      <c r="AL66" s="25"/>
      <c r="AM66" s="25"/>
      <c r="AN66" s="26"/>
      <c r="AO66" s="5"/>
      <c r="AP66" s="25"/>
      <c r="AQ66" s="26"/>
      <c r="AR66" s="26"/>
      <c r="AT66" s="5"/>
      <c r="AV66" s="5" t="s">
        <v>87</v>
      </c>
      <c r="AW66" s="5"/>
      <c r="AX66" s="5">
        <v>4.4790099822770131</v>
      </c>
      <c r="AY66" s="5">
        <v>4.4968866809428123</v>
      </c>
      <c r="AZ66" s="5">
        <v>4.506184076637175</v>
      </c>
      <c r="BA66" s="5">
        <v>4.5036071641837303</v>
      </c>
    </row>
    <row r="67" spans="1:53" ht="15.75" x14ac:dyDescent="0.2">
      <c r="A67" s="23"/>
      <c r="B67" s="5"/>
      <c r="C67" s="23"/>
      <c r="E67" s="5"/>
      <c r="F67" s="5"/>
      <c r="G67" s="5"/>
      <c r="K67" s="42"/>
      <c r="L67" s="42"/>
      <c r="M67" s="23"/>
      <c r="N67" s="23"/>
      <c r="O67" s="23"/>
      <c r="P67" s="23"/>
      <c r="Q67" s="26"/>
      <c r="R67" s="5"/>
      <c r="S67" s="5"/>
      <c r="T67" s="5"/>
      <c r="U67" s="5"/>
      <c r="V67" s="5"/>
      <c r="W67" s="25"/>
      <c r="X67" s="25"/>
      <c r="Y67" s="5"/>
      <c r="Z67" s="5"/>
      <c r="AA67" s="5"/>
      <c r="AB67" s="5"/>
      <c r="AC67" s="5"/>
      <c r="AD67" s="5"/>
      <c r="AE67" s="5"/>
      <c r="AF67" s="5"/>
      <c r="AG67" s="25"/>
      <c r="AH67" s="25"/>
      <c r="AI67" s="25"/>
      <c r="AJ67" s="25"/>
      <c r="AK67" s="25"/>
      <c r="AL67" s="25"/>
      <c r="AM67" s="25"/>
      <c r="AN67" s="26"/>
      <c r="AO67" s="5"/>
      <c r="AP67" s="25"/>
      <c r="AQ67" s="26"/>
      <c r="AR67" s="26"/>
      <c r="AT67" s="5"/>
      <c r="AV67" s="5" t="s">
        <v>88</v>
      </c>
      <c r="AW67" s="5"/>
      <c r="AX67" s="5">
        <v>5.1959764067422096</v>
      </c>
      <c r="AY67" s="5">
        <v>12.141446393783953</v>
      </c>
      <c r="AZ67" s="5">
        <v>26.775805826090828</v>
      </c>
      <c r="BA67" s="5">
        <v>49.554422271778733</v>
      </c>
    </row>
    <row r="68" spans="1:53" ht="15.75" x14ac:dyDescent="0.2">
      <c r="A68" s="23"/>
      <c r="C68" s="23"/>
      <c r="E68" s="5"/>
      <c r="F68" s="5"/>
      <c r="G68" s="5"/>
      <c r="K68" s="42"/>
      <c r="L68" s="42"/>
      <c r="M68" s="23"/>
      <c r="N68" s="23"/>
      <c r="O68" s="23"/>
      <c r="P68" s="23"/>
      <c r="Q68" s="26"/>
      <c r="R68" s="5"/>
      <c r="S68" s="5"/>
      <c r="T68" s="5"/>
      <c r="U68" s="5"/>
      <c r="V68" s="5"/>
      <c r="W68" s="25"/>
      <c r="X68" s="25"/>
      <c r="Y68" s="5"/>
      <c r="Z68" s="5"/>
      <c r="AA68" s="5"/>
      <c r="AB68" s="5"/>
      <c r="AC68" s="5"/>
      <c r="AD68" s="5"/>
      <c r="AE68" s="5"/>
      <c r="AF68" s="5"/>
      <c r="AG68" s="25"/>
      <c r="AH68" s="25"/>
      <c r="AI68" s="25"/>
      <c r="AJ68" s="25"/>
      <c r="AK68" s="25"/>
      <c r="AL68" s="25"/>
      <c r="AM68" s="25"/>
      <c r="AN68" s="26"/>
      <c r="AO68" s="5"/>
      <c r="AP68" s="25"/>
      <c r="AQ68" s="26"/>
      <c r="AR68" s="26"/>
      <c r="AV68" s="5" t="s">
        <v>89</v>
      </c>
      <c r="AW68" s="5"/>
      <c r="AX68" s="5">
        <v>9.955923507520005</v>
      </c>
      <c r="AY68" s="5">
        <v>7.1446341955200019</v>
      </c>
      <c r="AZ68" s="5">
        <v>3.630522555520006</v>
      </c>
      <c r="BA68" s="5">
        <v>0.1164109155200066</v>
      </c>
    </row>
    <row r="69" spans="1:53" ht="15.75" x14ac:dyDescent="0.2">
      <c r="A69" s="23"/>
      <c r="C69" s="23"/>
      <c r="E69" s="5"/>
      <c r="F69" s="5"/>
      <c r="G69" s="5"/>
      <c r="K69" s="42"/>
      <c r="L69" s="42"/>
      <c r="M69" s="23"/>
      <c r="N69" s="23"/>
      <c r="O69" s="23"/>
      <c r="P69" s="23"/>
      <c r="Q69" s="26"/>
      <c r="R69" s="5"/>
      <c r="S69" s="5"/>
      <c r="T69" s="5"/>
      <c r="U69" s="5"/>
      <c r="V69" s="5"/>
      <c r="W69" s="25"/>
      <c r="X69" s="25"/>
      <c r="Y69" s="5"/>
      <c r="Z69" s="5"/>
      <c r="AA69" s="5"/>
      <c r="AB69" s="5"/>
      <c r="AC69" s="5"/>
      <c r="AD69" s="5"/>
      <c r="AE69" s="5"/>
      <c r="AF69" s="5"/>
      <c r="AG69" s="25"/>
      <c r="AH69" s="25"/>
      <c r="AI69" s="25"/>
      <c r="AJ69" s="25"/>
      <c r="AK69" s="25"/>
      <c r="AL69" s="25"/>
      <c r="AM69" s="25"/>
      <c r="AN69" s="26"/>
      <c r="AO69" s="5"/>
      <c r="AP69" s="25"/>
      <c r="AQ69" s="26"/>
      <c r="AR69" s="26"/>
      <c r="AV69" s="5" t="s">
        <v>116</v>
      </c>
      <c r="AW69" s="5"/>
      <c r="AX69" s="5">
        <v>0.17281351390719996</v>
      </c>
      <c r="AY69" s="5">
        <v>0.18355754731520002</v>
      </c>
      <c r="AZ69" s="5">
        <v>0.19765500567519989</v>
      </c>
      <c r="BA69" s="5">
        <v>0.21249403803519995</v>
      </c>
    </row>
    <row r="70" spans="1:53" ht="15.75" x14ac:dyDescent="0.2">
      <c r="A70" s="23"/>
      <c r="C70" s="23"/>
      <c r="E70" s="5"/>
      <c r="F70" s="5"/>
      <c r="G70" s="5"/>
      <c r="K70" s="42"/>
      <c r="L70" s="42"/>
      <c r="M70" s="23"/>
      <c r="N70" s="23"/>
      <c r="O70" s="23"/>
      <c r="P70" s="23"/>
      <c r="Q70" s="26"/>
      <c r="R70" s="5"/>
      <c r="S70" s="5"/>
      <c r="T70" s="5"/>
      <c r="U70" s="5"/>
      <c r="V70" s="5"/>
      <c r="W70" s="25"/>
      <c r="X70" s="25"/>
      <c r="Y70" s="5"/>
      <c r="Z70" s="5"/>
      <c r="AA70" s="5"/>
      <c r="AB70" s="5"/>
      <c r="AC70" s="5"/>
      <c r="AD70" s="5"/>
      <c r="AE70" s="5"/>
      <c r="AF70" s="5"/>
      <c r="AG70" s="25"/>
      <c r="AH70" s="25"/>
      <c r="AI70" s="25"/>
      <c r="AJ70" s="25"/>
      <c r="AK70" s="25"/>
      <c r="AL70" s="25"/>
      <c r="AM70" s="25"/>
      <c r="AN70" s="26"/>
      <c r="AO70" s="5"/>
      <c r="AP70" s="25"/>
      <c r="AQ70" s="26"/>
      <c r="AR70" s="26"/>
    </row>
    <row r="71" spans="1:53" ht="15.75" x14ac:dyDescent="0.2">
      <c r="A71" s="23"/>
      <c r="C71" s="23"/>
      <c r="E71" s="5"/>
      <c r="F71" s="5"/>
      <c r="G71" s="5"/>
      <c r="K71" s="42"/>
      <c r="L71" s="42"/>
      <c r="M71" s="23"/>
      <c r="N71" s="23"/>
      <c r="O71" s="23"/>
      <c r="P71" s="23"/>
      <c r="Q71" s="26"/>
      <c r="R71" s="5"/>
      <c r="S71" s="5"/>
      <c r="T71" s="5"/>
      <c r="U71" s="5"/>
      <c r="V71" s="5"/>
      <c r="W71" s="25"/>
      <c r="X71" s="25"/>
      <c r="Y71" s="5"/>
      <c r="Z71" s="5"/>
      <c r="AA71" s="5"/>
      <c r="AB71" s="5"/>
      <c r="AC71" s="5"/>
      <c r="AD71" s="5"/>
      <c r="AE71" s="5"/>
      <c r="AF71" s="5"/>
      <c r="AG71" s="25"/>
      <c r="AH71" s="25"/>
      <c r="AI71" s="25"/>
      <c r="AJ71" s="25"/>
      <c r="AK71" s="25"/>
      <c r="AL71" s="25"/>
      <c r="AM71" s="25"/>
      <c r="AN71" s="26"/>
      <c r="AO71" s="5"/>
      <c r="AP71" s="25"/>
      <c r="AQ71" s="26"/>
      <c r="AR71" s="26"/>
    </row>
    <row r="72" spans="1:53" ht="15.75" x14ac:dyDescent="0.2">
      <c r="A72" s="23"/>
      <c r="C72" s="23"/>
      <c r="E72" s="5"/>
      <c r="F72" s="5"/>
      <c r="G72" s="5"/>
      <c r="K72" s="42"/>
      <c r="L72" s="42"/>
      <c r="M72" s="23"/>
      <c r="N72" s="23"/>
      <c r="O72" s="23"/>
      <c r="P72" s="23"/>
      <c r="Q72" s="26"/>
      <c r="R72" s="5"/>
      <c r="S72" s="5"/>
      <c r="T72" s="5"/>
      <c r="U72" s="5"/>
      <c r="V72" s="5"/>
      <c r="W72" s="25"/>
      <c r="X72" s="25"/>
      <c r="Y72" s="5"/>
      <c r="Z72" s="5"/>
      <c r="AA72" s="5"/>
      <c r="AB72" s="5"/>
      <c r="AC72" s="5"/>
      <c r="AD72" s="5"/>
      <c r="AE72" s="5"/>
      <c r="AF72" s="5"/>
      <c r="AG72" s="25"/>
      <c r="AH72" s="25"/>
      <c r="AI72" s="25"/>
      <c r="AJ72" s="25"/>
      <c r="AK72" s="25"/>
      <c r="AL72" s="25"/>
      <c r="AM72" s="25"/>
      <c r="AN72" s="26"/>
      <c r="AO72" s="5"/>
      <c r="AP72" s="25"/>
      <c r="AQ72" s="26"/>
      <c r="AR72" s="26"/>
    </row>
    <row r="73" spans="1:53" ht="15.75" x14ac:dyDescent="0.2">
      <c r="A73" s="23"/>
      <c r="C73" s="23"/>
      <c r="E73" s="5"/>
      <c r="F73" s="5"/>
      <c r="G73" s="5"/>
      <c r="K73" s="42"/>
      <c r="L73" s="42"/>
      <c r="M73" s="23"/>
      <c r="N73" s="23"/>
      <c r="O73" s="23"/>
      <c r="P73" s="23"/>
      <c r="Q73" s="26"/>
      <c r="R73" s="5"/>
      <c r="S73" s="5"/>
      <c r="T73" s="5"/>
      <c r="U73" s="5"/>
      <c r="V73" s="5"/>
      <c r="W73" s="25"/>
      <c r="X73" s="25"/>
      <c r="Y73" s="5"/>
      <c r="Z73" s="5"/>
      <c r="AA73" s="5"/>
      <c r="AB73" s="5"/>
      <c r="AC73" s="5"/>
      <c r="AD73" s="5"/>
      <c r="AE73" s="5"/>
      <c r="AF73" s="5"/>
      <c r="AG73" s="25"/>
      <c r="AH73" s="25"/>
      <c r="AI73" s="25"/>
      <c r="AJ73" s="25"/>
      <c r="AK73" s="25"/>
      <c r="AL73" s="25"/>
      <c r="AM73" s="25"/>
      <c r="AN73" s="26"/>
      <c r="AO73" s="5"/>
      <c r="AP73" s="25"/>
      <c r="AQ73" s="26"/>
      <c r="AR73" s="26"/>
    </row>
    <row r="74" spans="1:53" ht="15.75" x14ac:dyDescent="0.2">
      <c r="A74" s="23"/>
      <c r="C74" s="23"/>
      <c r="E74" s="5"/>
      <c r="F74" s="5"/>
      <c r="G74" s="5"/>
      <c r="K74" s="42"/>
      <c r="L74" s="42"/>
      <c r="M74" s="23"/>
      <c r="N74" s="23"/>
      <c r="O74" s="23"/>
      <c r="P74" s="23"/>
      <c r="Q74" s="26"/>
      <c r="R74" s="5"/>
      <c r="S74" s="5"/>
      <c r="T74" s="5"/>
      <c r="U74" s="5"/>
      <c r="V74" s="5"/>
      <c r="W74" s="25"/>
      <c r="X74" s="25"/>
      <c r="Y74" s="5"/>
      <c r="Z74" s="5"/>
      <c r="AA74" s="5"/>
      <c r="AB74" s="5"/>
      <c r="AC74" s="5"/>
      <c r="AD74" s="5"/>
      <c r="AE74" s="5"/>
      <c r="AF74" s="5"/>
      <c r="AG74" s="25"/>
      <c r="AH74" s="25"/>
      <c r="AI74" s="25"/>
      <c r="AJ74" s="25"/>
      <c r="AK74" s="25"/>
      <c r="AL74" s="25"/>
      <c r="AM74" s="25"/>
      <c r="AN74" s="26"/>
      <c r="AO74" s="5"/>
      <c r="AP74" s="25"/>
      <c r="AQ74" s="26"/>
      <c r="AR74" s="26"/>
    </row>
    <row r="75" spans="1:53" ht="15.75" x14ac:dyDescent="0.2">
      <c r="A75" s="23"/>
      <c r="B75" s="5"/>
      <c r="C75" s="23"/>
      <c r="E75" s="5"/>
      <c r="F75" s="5"/>
      <c r="G75" s="5"/>
      <c r="K75" s="42"/>
      <c r="L75" s="42"/>
      <c r="M75" s="23"/>
      <c r="N75" s="23"/>
      <c r="O75" s="23"/>
      <c r="P75" s="23"/>
      <c r="Q75" s="26"/>
      <c r="R75" s="5"/>
      <c r="S75" s="5"/>
      <c r="T75" s="5"/>
      <c r="U75" s="5"/>
      <c r="V75" s="5"/>
      <c r="W75" s="25"/>
      <c r="X75" s="25"/>
      <c r="Y75" s="5"/>
      <c r="Z75" s="5"/>
      <c r="AA75" s="5"/>
      <c r="AB75" s="5"/>
      <c r="AC75" s="5"/>
      <c r="AD75" s="5"/>
      <c r="AE75" s="5"/>
      <c r="AF75" s="5"/>
      <c r="AG75" s="25"/>
      <c r="AH75" s="25"/>
      <c r="AI75" s="25"/>
      <c r="AJ75" s="25"/>
      <c r="AK75" s="25"/>
      <c r="AL75" s="25"/>
      <c r="AM75" s="25"/>
      <c r="AN75" s="26"/>
      <c r="AO75" s="5"/>
      <c r="AP75" s="25"/>
      <c r="AQ75" s="26"/>
      <c r="AR75" s="26"/>
    </row>
    <row r="76" spans="1:53" x14ac:dyDescent="0.2">
      <c r="C76" s="23"/>
      <c r="D76" s="5"/>
      <c r="E76" s="5"/>
      <c r="F76" s="23"/>
      <c r="G76" s="5"/>
      <c r="H76" s="5"/>
      <c r="I76" s="5"/>
      <c r="J76" s="5"/>
      <c r="K76" s="5"/>
      <c r="L76" s="5"/>
      <c r="M76" s="5"/>
      <c r="N76" s="5"/>
      <c r="P76" s="5"/>
      <c r="Q76" s="5"/>
      <c r="R76" s="5"/>
      <c r="S76" s="5"/>
      <c r="T76" s="26"/>
      <c r="U76" s="5"/>
      <c r="V76" s="5"/>
      <c r="W76" s="5"/>
      <c r="X76" s="5"/>
      <c r="Z76" s="5"/>
      <c r="AB76" s="5"/>
      <c r="AP76" s="5"/>
    </row>
    <row r="77" spans="1:53" x14ac:dyDescent="0.2">
      <c r="C77" s="23"/>
      <c r="D77" s="23"/>
      <c r="F77" s="23"/>
      <c r="G77" s="5"/>
      <c r="H77" s="5"/>
      <c r="I77" s="5"/>
      <c r="J77" s="5"/>
      <c r="K77" s="5"/>
      <c r="L77" s="5"/>
      <c r="M77" s="5"/>
      <c r="N77" s="5"/>
      <c r="P77" s="5"/>
      <c r="Q77" s="5"/>
      <c r="R77" s="5"/>
      <c r="S77" s="5"/>
      <c r="T77" s="26"/>
      <c r="U77" s="5"/>
      <c r="V77" s="5"/>
      <c r="W77" s="5"/>
      <c r="X77" s="5"/>
      <c r="Z77" s="5"/>
      <c r="AB77" s="5"/>
      <c r="AP77" s="5"/>
    </row>
    <row r="78" spans="1:53" ht="18" x14ac:dyDescent="0.25">
      <c r="C78" s="23"/>
      <c r="D78" s="5"/>
      <c r="F78" s="23"/>
      <c r="G78" s="5"/>
      <c r="H78" s="5"/>
      <c r="I78" s="5"/>
      <c r="J78" s="5"/>
      <c r="K78" s="43"/>
      <c r="L78" s="43"/>
      <c r="M78" s="5"/>
      <c r="N78" s="5"/>
      <c r="O78" s="5"/>
      <c r="S78" s="5"/>
      <c r="T78" s="26"/>
      <c r="U78" s="5"/>
      <c r="V78" s="5"/>
      <c r="W78" s="5"/>
      <c r="X78" s="5"/>
      <c r="Z78" s="5"/>
      <c r="AB78" s="5"/>
      <c r="AP78" s="5"/>
    </row>
    <row r="79" spans="1:53" x14ac:dyDescent="0.2">
      <c r="D79" s="23"/>
      <c r="F79" s="23"/>
      <c r="G79" s="5"/>
      <c r="H79" s="5"/>
      <c r="I79" s="5"/>
      <c r="J79" s="5"/>
      <c r="K79" s="5"/>
      <c r="L79" s="5"/>
      <c r="S79" s="5"/>
      <c r="T79" s="26"/>
      <c r="U79" s="5"/>
      <c r="V79" s="5"/>
      <c r="W79" s="5"/>
      <c r="X79" s="5"/>
      <c r="Z79" s="5"/>
      <c r="AB79" s="5"/>
      <c r="AP79" s="5"/>
    </row>
    <row r="80" spans="1:53" x14ac:dyDescent="0.2">
      <c r="D80" s="23"/>
      <c r="E80" s="5"/>
      <c r="F80" s="5"/>
      <c r="G80" s="5"/>
      <c r="K80" s="23"/>
      <c r="L80" s="23"/>
      <c r="M80" s="23"/>
      <c r="N80" s="23"/>
      <c r="O80" s="23"/>
      <c r="P80" s="23"/>
      <c r="Q80" s="26"/>
      <c r="R80" s="5"/>
      <c r="S80" s="5"/>
      <c r="T80" s="5"/>
      <c r="U80" s="5"/>
      <c r="V80" s="5"/>
      <c r="W80" s="5"/>
      <c r="X80" s="5"/>
      <c r="Z80" s="5"/>
      <c r="AB80" s="5"/>
      <c r="AP80" s="5"/>
    </row>
    <row r="81" spans="3:42" x14ac:dyDescent="0.2">
      <c r="D81" s="23"/>
      <c r="E81" s="5"/>
      <c r="F81" s="5"/>
      <c r="G81" s="5"/>
      <c r="K81" s="23"/>
      <c r="L81" s="23"/>
      <c r="M81" s="23"/>
      <c r="N81" s="23"/>
      <c r="O81" s="23"/>
      <c r="P81" s="23"/>
      <c r="Q81" s="26"/>
      <c r="R81" s="5"/>
      <c r="S81" s="5"/>
      <c r="T81" s="5"/>
      <c r="U81" s="5"/>
      <c r="V81" s="5"/>
      <c r="W81" s="5"/>
      <c r="X81" s="5"/>
      <c r="Z81" s="5"/>
      <c r="AB81" s="5"/>
      <c r="AP81" s="5"/>
    </row>
    <row r="82" spans="3:42" x14ac:dyDescent="0.2">
      <c r="D82" s="23"/>
      <c r="E82" s="5"/>
      <c r="F82" s="5"/>
      <c r="G82" s="5"/>
      <c r="K82" s="23"/>
      <c r="L82" s="23"/>
      <c r="M82" s="23"/>
      <c r="N82" s="23"/>
      <c r="O82" s="23"/>
      <c r="P82" s="23"/>
      <c r="Q82" s="26"/>
      <c r="R82" s="5"/>
      <c r="S82" s="5"/>
      <c r="T82" s="5"/>
      <c r="U82" s="5"/>
      <c r="V82" s="5"/>
      <c r="W82" s="5"/>
      <c r="X82" s="5"/>
      <c r="Z82" s="5"/>
      <c r="AB82" s="5"/>
      <c r="AP82" s="5"/>
    </row>
    <row r="83" spans="3:42" x14ac:dyDescent="0.2">
      <c r="D83" s="23"/>
      <c r="E83" s="5"/>
      <c r="F83" s="5"/>
      <c r="G83" s="5"/>
      <c r="K83" s="23"/>
      <c r="L83" s="23"/>
      <c r="M83" s="23"/>
      <c r="N83" s="23"/>
      <c r="O83" s="23"/>
      <c r="P83" s="23"/>
      <c r="Q83" s="26"/>
      <c r="R83" s="5"/>
      <c r="S83" s="5"/>
      <c r="T83" s="5"/>
      <c r="U83" s="5"/>
      <c r="V83" s="5"/>
      <c r="W83" s="5"/>
      <c r="X83" s="5"/>
      <c r="Z83" s="5"/>
      <c r="AB83" s="5"/>
      <c r="AP83" s="5"/>
    </row>
    <row r="84" spans="3:42" x14ac:dyDescent="0.2">
      <c r="D84" s="23"/>
      <c r="F84" s="5"/>
      <c r="G84" s="5"/>
      <c r="K84" s="23"/>
      <c r="L84" s="23"/>
      <c r="M84" s="23"/>
      <c r="N84" s="23"/>
      <c r="O84" s="23"/>
      <c r="P84" s="23"/>
      <c r="Q84" s="26"/>
      <c r="R84" s="5"/>
      <c r="S84" s="5"/>
      <c r="T84" s="5"/>
      <c r="U84" s="5"/>
      <c r="V84" s="5"/>
      <c r="W84" s="5"/>
      <c r="X84" s="5"/>
      <c r="Z84" s="5"/>
      <c r="AB84" s="5"/>
      <c r="AP84" s="5"/>
    </row>
    <row r="85" spans="3:42" x14ac:dyDescent="0.2">
      <c r="D85" s="23"/>
      <c r="F85" s="5"/>
      <c r="G85" s="5"/>
      <c r="K85" s="23"/>
      <c r="L85" s="23"/>
      <c r="M85" s="23"/>
      <c r="N85" s="23"/>
      <c r="O85" s="23"/>
      <c r="P85" s="23"/>
      <c r="Q85" s="26"/>
      <c r="R85" s="5"/>
      <c r="S85" s="5"/>
      <c r="T85" s="5"/>
      <c r="U85" s="5"/>
      <c r="V85" s="5"/>
      <c r="W85" s="5"/>
      <c r="X85" s="5"/>
      <c r="Z85" s="5"/>
      <c r="AB85" s="5"/>
      <c r="AP85" s="5"/>
    </row>
    <row r="86" spans="3:42" x14ac:dyDescent="0.2">
      <c r="D86" s="23"/>
      <c r="F86" s="5"/>
      <c r="G86" s="5"/>
      <c r="K86" s="23"/>
      <c r="L86" s="23"/>
      <c r="M86" s="23"/>
      <c r="N86" s="23"/>
      <c r="O86" s="23"/>
      <c r="P86" s="23"/>
      <c r="Q86" s="26"/>
      <c r="R86" s="5"/>
      <c r="S86" s="5"/>
      <c r="T86" s="5"/>
      <c r="U86" s="5"/>
      <c r="V86" s="5"/>
      <c r="W86" s="5"/>
      <c r="X86" s="5"/>
      <c r="Z86" s="5"/>
      <c r="AB86" s="5"/>
      <c r="AP86" s="5"/>
    </row>
    <row r="87" spans="3:42" x14ac:dyDescent="0.2">
      <c r="C87" s="5"/>
      <c r="D87" s="23"/>
      <c r="F87" s="5"/>
      <c r="G87" s="5"/>
      <c r="K87" s="23"/>
      <c r="L87" s="23"/>
      <c r="M87" s="23"/>
      <c r="N87" s="23"/>
      <c r="O87" s="23"/>
      <c r="P87" s="23"/>
      <c r="Q87" s="26"/>
      <c r="R87" s="5"/>
      <c r="S87" s="5"/>
      <c r="T87" s="5"/>
      <c r="U87" s="5"/>
      <c r="V87" s="5"/>
      <c r="W87" s="5"/>
      <c r="X87" s="5"/>
      <c r="Z87" s="5"/>
      <c r="AB87" s="5"/>
      <c r="AP87" s="5"/>
    </row>
    <row r="88" spans="3:42" x14ac:dyDescent="0.2">
      <c r="C88" s="5"/>
      <c r="D88" s="23"/>
      <c r="F88" s="5"/>
      <c r="G88" s="5"/>
      <c r="K88" s="23"/>
      <c r="L88" s="23"/>
      <c r="M88" s="23"/>
      <c r="N88" s="23"/>
      <c r="O88" s="23"/>
      <c r="P88" s="23"/>
      <c r="Q88" s="26"/>
      <c r="R88" s="5"/>
      <c r="S88" s="5"/>
      <c r="T88" s="5"/>
      <c r="U88" s="5"/>
      <c r="V88" s="5"/>
      <c r="W88" s="5"/>
      <c r="X88" s="5"/>
      <c r="Z88" s="5"/>
      <c r="AB88" s="5"/>
      <c r="AP88" s="5"/>
    </row>
    <row r="89" spans="3:42" x14ac:dyDescent="0.2">
      <c r="C89" s="5"/>
      <c r="D89" s="23"/>
      <c r="F89" s="5"/>
      <c r="G89" s="5"/>
      <c r="K89" s="23"/>
      <c r="L89" s="23"/>
      <c r="M89" s="23"/>
      <c r="N89" s="23"/>
      <c r="O89" s="23"/>
      <c r="P89" s="23"/>
      <c r="Q89" s="26"/>
      <c r="R89" s="5"/>
      <c r="S89" s="5"/>
      <c r="T89" s="5"/>
      <c r="U89" s="5"/>
      <c r="V89" s="5"/>
      <c r="W89" s="5"/>
      <c r="X89" s="5"/>
      <c r="Z89" s="5"/>
      <c r="AB89" s="5"/>
      <c r="AP89" s="5"/>
    </row>
    <row r="90" spans="3:42" x14ac:dyDescent="0.2">
      <c r="C90" s="5"/>
      <c r="F90" s="5"/>
      <c r="G90" s="5"/>
      <c r="K90" s="23"/>
      <c r="L90" s="23"/>
      <c r="M90" s="23"/>
      <c r="N90" s="23"/>
      <c r="O90" s="23"/>
      <c r="P90" s="23"/>
      <c r="Q90" s="26"/>
      <c r="R90" s="5"/>
      <c r="S90" s="5"/>
      <c r="T90" s="5"/>
      <c r="U90" s="5"/>
      <c r="V90" s="5"/>
      <c r="W90" s="5"/>
      <c r="X90" s="5"/>
      <c r="Z90" s="5"/>
      <c r="AB90" s="5"/>
      <c r="AP90" s="5"/>
    </row>
    <row r="91" spans="3:42" x14ac:dyDescent="0.2">
      <c r="C91" s="5"/>
      <c r="D91" s="23"/>
      <c r="F91" s="5"/>
      <c r="G91" s="5"/>
      <c r="K91" s="23"/>
      <c r="L91" s="23"/>
      <c r="M91" s="23"/>
      <c r="N91" s="23"/>
      <c r="O91" s="23"/>
      <c r="P91" s="23"/>
      <c r="Q91" s="26"/>
      <c r="R91" s="5"/>
      <c r="S91" s="5"/>
      <c r="T91" s="5"/>
      <c r="U91" s="5"/>
      <c r="V91" s="5"/>
      <c r="W91" s="5"/>
      <c r="X91" s="5"/>
      <c r="Z91" s="5"/>
      <c r="AB91" s="5"/>
      <c r="AP91" s="5"/>
    </row>
    <row r="92" spans="3:42" x14ac:dyDescent="0.2">
      <c r="C92" s="5"/>
      <c r="E92" s="5"/>
      <c r="G92" s="5"/>
      <c r="H92" s="5"/>
      <c r="I92" s="5"/>
      <c r="J92" s="5"/>
      <c r="K92" s="5"/>
      <c r="L92" s="5"/>
      <c r="M92" s="5"/>
      <c r="N92" s="5"/>
      <c r="P92" s="5"/>
      <c r="Q92" s="5"/>
      <c r="R92" s="5"/>
      <c r="S92" s="5"/>
      <c r="T92" s="26"/>
      <c r="U92" s="5"/>
      <c r="V92" s="5"/>
      <c r="W92" s="5"/>
      <c r="X92" s="5"/>
      <c r="Z92" s="5"/>
      <c r="AB92" s="5"/>
      <c r="AP92" s="5"/>
    </row>
    <row r="93" spans="3:42" x14ac:dyDescent="0.2">
      <c r="C93" s="5"/>
      <c r="G93" s="5"/>
      <c r="H93" s="5"/>
      <c r="I93" s="5"/>
      <c r="J93" s="5"/>
      <c r="K93" s="5"/>
      <c r="L93" s="5"/>
      <c r="M93" s="5"/>
      <c r="N93" s="5"/>
      <c r="P93" s="5"/>
      <c r="Q93" s="5"/>
      <c r="R93" s="5"/>
      <c r="S93" s="5"/>
      <c r="T93" s="26"/>
      <c r="U93" s="5"/>
      <c r="V93" s="5"/>
      <c r="W93" s="5"/>
      <c r="X93" s="5"/>
      <c r="Z93" s="5"/>
      <c r="AB93" s="5"/>
      <c r="AP93" s="5"/>
    </row>
    <row r="94" spans="3:42" x14ac:dyDescent="0.2">
      <c r="C94" s="5"/>
      <c r="G94" s="5"/>
      <c r="H94" s="5"/>
      <c r="I94" s="5"/>
      <c r="J94" s="5"/>
      <c r="K94" s="5"/>
      <c r="L94" s="5"/>
      <c r="M94" s="5"/>
      <c r="N94" s="5"/>
      <c r="P94" s="5"/>
      <c r="Q94" s="5"/>
      <c r="R94" s="5"/>
      <c r="S94" s="5"/>
      <c r="T94" s="26"/>
      <c r="U94" s="5"/>
      <c r="V94" s="5"/>
      <c r="W94" s="5"/>
      <c r="X94" s="5"/>
      <c r="Z94" s="5"/>
      <c r="AB94" s="5"/>
      <c r="AP94" s="5"/>
    </row>
    <row r="95" spans="3:42" x14ac:dyDescent="0.2">
      <c r="C95" s="5"/>
      <c r="G95" s="5"/>
      <c r="H95" s="5"/>
      <c r="I95" s="5"/>
      <c r="J95" s="5"/>
      <c r="K95" s="5"/>
      <c r="L95" s="5"/>
      <c r="M95" s="5"/>
      <c r="N95" s="5"/>
      <c r="P95" s="5"/>
      <c r="Q95" s="5"/>
      <c r="R95" s="5"/>
      <c r="S95" s="5"/>
      <c r="T95" s="26"/>
      <c r="U95" s="5"/>
      <c r="V95" s="5"/>
      <c r="W95" s="5"/>
      <c r="X95" s="5"/>
      <c r="Z95" s="5"/>
      <c r="AB95" s="5"/>
      <c r="AP95" s="5"/>
    </row>
    <row r="96" spans="3:42" x14ac:dyDescent="0.2">
      <c r="C96" s="5"/>
      <c r="G96" s="5"/>
      <c r="H96" s="5"/>
      <c r="I96" s="5"/>
      <c r="J96" s="5"/>
      <c r="K96" s="5"/>
      <c r="L96" s="5"/>
      <c r="M96" s="5"/>
      <c r="N96" s="5"/>
      <c r="P96" s="5"/>
      <c r="Q96" s="5"/>
      <c r="R96" s="5"/>
      <c r="S96" s="5"/>
      <c r="T96" s="26"/>
      <c r="U96" s="5"/>
      <c r="V96" s="5"/>
      <c r="W96" s="5"/>
      <c r="X96" s="5"/>
      <c r="Z96" s="5"/>
      <c r="AB96" s="5"/>
      <c r="AP96" s="5"/>
    </row>
    <row r="97" spans="7:42" x14ac:dyDescent="0.2">
      <c r="G97" s="5"/>
      <c r="H97" s="5"/>
      <c r="I97" s="5"/>
      <c r="J97" s="5"/>
      <c r="K97" s="5"/>
      <c r="L97" s="5"/>
      <c r="M97" s="5"/>
      <c r="N97" s="5"/>
      <c r="P97" s="5"/>
      <c r="Q97" s="5"/>
      <c r="R97" s="5"/>
      <c r="S97" s="5"/>
      <c r="T97" s="26"/>
      <c r="U97" s="5"/>
      <c r="V97" s="5"/>
      <c r="W97" s="5"/>
      <c r="X97" s="5"/>
      <c r="Z97" s="5"/>
      <c r="AB97" s="5"/>
      <c r="AP97" s="5"/>
    </row>
    <row r="98" spans="7:42" x14ac:dyDescent="0.2">
      <c r="AP98" s="5"/>
    </row>
    <row r="99" spans="7:42" x14ac:dyDescent="0.2">
      <c r="AP99" s="5"/>
    </row>
    <row r="100" spans="7:42" x14ac:dyDescent="0.2">
      <c r="AP100" s="5"/>
    </row>
    <row r="101" spans="7:42" x14ac:dyDescent="0.2">
      <c r="AP101" s="5"/>
    </row>
    <row r="102" spans="7:42" x14ac:dyDescent="0.2">
      <c r="AP102" s="5"/>
    </row>
    <row r="103" spans="7:42" x14ac:dyDescent="0.2">
      <c r="AP103" s="5"/>
    </row>
    <row r="105" spans="7:42" x14ac:dyDescent="0.2">
      <c r="AP105" s="5"/>
    </row>
    <row r="107" spans="7:42" x14ac:dyDescent="0.2">
      <c r="I107" s="5"/>
      <c r="J107" s="5"/>
      <c r="K107" s="5"/>
      <c r="L107" s="5"/>
      <c r="M107" s="5"/>
      <c r="N107" s="5"/>
      <c r="W107" s="5"/>
      <c r="X107" s="5"/>
      <c r="Y107" s="5"/>
      <c r="Z107" s="5"/>
      <c r="AA107" s="5"/>
      <c r="AB107" s="5"/>
      <c r="AC107" s="5"/>
    </row>
    <row r="108" spans="7:42" x14ac:dyDescent="0.2">
      <c r="I108" s="5"/>
      <c r="J108" s="5"/>
      <c r="K108" s="5"/>
      <c r="L108" s="5"/>
      <c r="M108" s="5"/>
      <c r="N108" s="5"/>
      <c r="W108" s="5"/>
      <c r="X108" s="5"/>
      <c r="Y108" s="5"/>
      <c r="Z108" s="5"/>
      <c r="AA108" s="5"/>
      <c r="AB108" s="5"/>
      <c r="AC108" s="5"/>
    </row>
    <row r="109" spans="7:42" x14ac:dyDescent="0.2">
      <c r="I109" s="5"/>
      <c r="J109" s="5"/>
      <c r="K109" s="5"/>
      <c r="L109" s="5"/>
      <c r="M109" s="5"/>
      <c r="N109" s="5"/>
      <c r="W109" s="5"/>
      <c r="X109" s="5"/>
      <c r="Y109" s="5"/>
      <c r="Z109" s="5"/>
      <c r="AA109" s="5"/>
      <c r="AB109" s="5"/>
      <c r="AC109" s="5"/>
    </row>
    <row r="110" spans="7:42" x14ac:dyDescent="0.2">
      <c r="I110" s="5"/>
      <c r="J110" s="5"/>
      <c r="K110" s="5"/>
      <c r="L110" s="5"/>
      <c r="M110" s="5"/>
      <c r="N110" s="5"/>
      <c r="W110" s="5"/>
      <c r="X110" s="5"/>
      <c r="Y110" s="5"/>
      <c r="Z110" s="5"/>
      <c r="AA110" s="5"/>
      <c r="AB110" s="5"/>
      <c r="AC110" s="5"/>
    </row>
    <row r="111" spans="7:42" x14ac:dyDescent="0.2">
      <c r="I111" s="5"/>
      <c r="J111" s="5"/>
      <c r="K111" s="5"/>
      <c r="L111" s="5"/>
      <c r="M111" s="5"/>
      <c r="N111" s="5"/>
      <c r="W111" s="5"/>
      <c r="X111" s="5"/>
      <c r="Y111" s="5"/>
      <c r="Z111" s="5"/>
      <c r="AA111" s="5"/>
      <c r="AB111" s="5"/>
      <c r="AC111" s="5"/>
    </row>
    <row r="112" spans="7:42" x14ac:dyDescent="0.2">
      <c r="I112" s="5"/>
      <c r="J112" s="5"/>
      <c r="K112" s="5"/>
      <c r="L112" s="5"/>
      <c r="M112" s="5"/>
      <c r="N112" s="5"/>
      <c r="W112" s="5"/>
      <c r="X112" s="5"/>
      <c r="Y112" s="5"/>
      <c r="Z112" s="5"/>
      <c r="AA112" s="5"/>
      <c r="AB112" s="5"/>
      <c r="AC112" s="5"/>
    </row>
    <row r="113" spans="9:29" x14ac:dyDescent="0.2">
      <c r="I113" s="5"/>
      <c r="J113" s="5"/>
      <c r="K113" s="5"/>
      <c r="L113" s="5"/>
      <c r="M113" s="5"/>
      <c r="N113" s="5"/>
      <c r="W113" s="5"/>
      <c r="X113" s="5"/>
      <c r="Y113" s="5"/>
      <c r="Z113" s="5"/>
      <c r="AA113" s="5"/>
      <c r="AB113" s="5"/>
      <c r="AC113" s="5"/>
    </row>
    <row r="114" spans="9:29" x14ac:dyDescent="0.2">
      <c r="I114" s="5"/>
      <c r="J114" s="5"/>
      <c r="K114" s="5"/>
      <c r="L114" s="5"/>
      <c r="M114" s="5"/>
      <c r="N114" s="5"/>
      <c r="W114" s="5"/>
      <c r="X114" s="5"/>
      <c r="Y114" s="5"/>
      <c r="Z114" s="5"/>
      <c r="AA114" s="5"/>
      <c r="AB114" s="5"/>
      <c r="AC114" s="5"/>
    </row>
    <row r="115" spans="9:29" x14ac:dyDescent="0.2">
      <c r="I115" s="5"/>
      <c r="J115" s="5"/>
      <c r="K115" s="5"/>
      <c r="L115" s="5"/>
      <c r="M115" s="5"/>
      <c r="N115" s="5"/>
      <c r="W115" s="5"/>
      <c r="X115" s="5"/>
      <c r="Y115" s="5"/>
      <c r="Z115" s="5"/>
      <c r="AA115" s="5"/>
      <c r="AB115" s="5"/>
      <c r="AC115" s="5"/>
    </row>
    <row r="116" spans="9:29" x14ac:dyDescent="0.2">
      <c r="I116" s="5"/>
      <c r="J116" s="5"/>
      <c r="K116" s="5"/>
      <c r="L116" s="5"/>
      <c r="M116" s="5"/>
      <c r="N116" s="5"/>
      <c r="W116" s="5"/>
      <c r="X116" s="5"/>
      <c r="Y116" s="5"/>
      <c r="Z116" s="5"/>
      <c r="AA116" s="5"/>
      <c r="AB116" s="5"/>
      <c r="AC116" s="5"/>
    </row>
    <row r="117" spans="9:29" x14ac:dyDescent="0.2">
      <c r="I117" s="5"/>
      <c r="J117" s="5"/>
      <c r="K117" s="5"/>
      <c r="L117" s="5"/>
      <c r="M117" s="5"/>
      <c r="N117" s="5"/>
      <c r="W117" s="5"/>
      <c r="X117" s="5"/>
      <c r="Y117" s="5"/>
      <c r="Z117" s="5"/>
      <c r="AA117" s="5"/>
      <c r="AB117" s="5"/>
      <c r="AC117" s="5"/>
    </row>
    <row r="118" spans="9:29" x14ac:dyDescent="0.2">
      <c r="I118" s="5"/>
      <c r="J118" s="5"/>
      <c r="K118" s="5"/>
      <c r="L118" s="5"/>
      <c r="M118" s="5"/>
      <c r="N118" s="5"/>
      <c r="W118" s="5"/>
      <c r="X118" s="5"/>
      <c r="Y118" s="5"/>
      <c r="Z118" s="5"/>
      <c r="AA118" s="5"/>
      <c r="AB118" s="5"/>
      <c r="AC118" s="5"/>
    </row>
    <row r="119" spans="9:29" x14ac:dyDescent="0.2">
      <c r="I119" s="5"/>
      <c r="J119" s="5"/>
      <c r="K119" s="5"/>
      <c r="L119" s="5"/>
      <c r="M119" s="5"/>
      <c r="N119" s="5"/>
      <c r="W119" s="5"/>
      <c r="X119" s="5"/>
      <c r="Y119" s="5"/>
      <c r="Z119" s="5"/>
      <c r="AA119" s="5"/>
      <c r="AB119" s="5"/>
      <c r="AC119" s="5"/>
    </row>
    <row r="120" spans="9:29" x14ac:dyDescent="0.2">
      <c r="I120" s="5"/>
      <c r="J120" s="5"/>
      <c r="K120" s="5"/>
      <c r="L120" s="5"/>
      <c r="M120" s="5"/>
      <c r="N120" s="5"/>
      <c r="W120" s="5"/>
      <c r="X120" s="5"/>
      <c r="Y120" s="5"/>
      <c r="Z120" s="5"/>
      <c r="AA120" s="5"/>
      <c r="AB120" s="5"/>
      <c r="AC120" s="5"/>
    </row>
    <row r="121" spans="9:29" x14ac:dyDescent="0.2">
      <c r="I121" s="5"/>
      <c r="W121" s="44"/>
      <c r="X121" s="44"/>
    </row>
  </sheetData>
  <sheetProtection sheet="1" objects="1" scenarios="1" selectLockedCells="1" selectUnlockedCells="1"/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Equations</vt:lpstr>
      <vt:lpstr>Equations-Protected</vt:lpstr>
      <vt:lpstr>Chart1</vt:lpstr>
      <vt:lpstr>Water-Tension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Miranda, Brian R -FS</cp:lastModifiedBy>
  <dcterms:created xsi:type="dcterms:W3CDTF">2005-10-05T20:44:33Z</dcterms:created>
  <dcterms:modified xsi:type="dcterms:W3CDTF">2021-05-28T21:48:07Z</dcterms:modified>
</cp:coreProperties>
</file>