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355" yWindow="465" windowWidth="26535" windowHeight="16440"/>
  </bookViews>
  <sheets>
    <sheet name="PSU" sheetId="1" r:id="rId1"/>
    <sheet name="breakdowns" sheetId="2" r:id="rId2"/>
  </sheets>
  <definedNames>
    <definedName name="_xlnm.Print_Area" localSheetId="0">PSU!$A$1:$G$53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14" i="1"/>
  <c r="D17" i="1"/>
  <c r="D42" i="1"/>
  <c r="D43" i="1"/>
  <c r="D47" i="1"/>
  <c r="D48" i="1"/>
  <c r="D50" i="1"/>
  <c r="D53" i="1"/>
  <c r="E9" i="1"/>
  <c r="E14" i="1"/>
  <c r="E17" i="1"/>
  <c r="E42" i="1"/>
  <c r="E43" i="1"/>
  <c r="E47" i="1"/>
  <c r="E48" i="1"/>
  <c r="E50" i="1"/>
  <c r="E53" i="1"/>
  <c r="F53" i="1"/>
  <c r="E61" i="1"/>
  <c r="E60" i="1"/>
  <c r="F17" i="1"/>
  <c r="F12" i="1"/>
  <c r="D12" i="1"/>
  <c r="E8" i="1"/>
  <c r="D8" i="1"/>
  <c r="E7" i="1"/>
  <c r="D7" i="1"/>
  <c r="B9" i="1"/>
  <c r="B8" i="1"/>
  <c r="B7" i="1"/>
  <c r="J50" i="1"/>
  <c r="J37" i="1"/>
  <c r="J61" i="1"/>
  <c r="I50" i="1"/>
  <c r="D34" i="1"/>
  <c r="E34" i="1"/>
  <c r="J47" i="1"/>
  <c r="I47" i="1"/>
  <c r="I37" i="1"/>
  <c r="I34" i="1"/>
  <c r="I58" i="1"/>
  <c r="I35" i="1"/>
  <c r="I61" i="1"/>
  <c r="J35" i="1"/>
  <c r="B36" i="1"/>
  <c r="E35" i="1"/>
  <c r="D36" i="1"/>
  <c r="D35" i="1"/>
  <c r="J34" i="1"/>
  <c r="J58" i="1"/>
  <c r="E13" i="1"/>
  <c r="E12" i="1"/>
  <c r="E28" i="1"/>
  <c r="I26" i="1"/>
  <c r="I27" i="1"/>
  <c r="I30" i="1"/>
  <c r="E45" i="1"/>
  <c r="D13" i="1"/>
  <c r="D28" i="1"/>
  <c r="F28" i="1"/>
  <c r="F34" i="1"/>
  <c r="F35" i="1"/>
  <c r="F15" i="1"/>
  <c r="F30" i="1"/>
  <c r="F45" i="1"/>
  <c r="F9" i="1"/>
  <c r="D11" i="2"/>
  <c r="F26" i="1"/>
  <c r="F25" i="1"/>
  <c r="F23" i="1"/>
  <c r="F22" i="1"/>
  <c r="F14" i="1"/>
  <c r="I48" i="1"/>
  <c r="D37" i="1"/>
  <c r="E36" i="1"/>
  <c r="F36" i="1"/>
  <c r="F8" i="1"/>
  <c r="F13" i="1"/>
  <c r="J36" i="1"/>
  <c r="I36" i="1"/>
  <c r="F7" i="1"/>
  <c r="J48" i="1"/>
  <c r="E37" i="1"/>
  <c r="J49" i="1"/>
  <c r="J60" i="1"/>
  <c r="I49" i="1"/>
  <c r="I60" i="1"/>
  <c r="F37" i="1"/>
  <c r="I39" i="1"/>
  <c r="I51" i="1"/>
  <c r="I62" i="1"/>
  <c r="I53" i="1"/>
  <c r="I59" i="1"/>
  <c r="I63" i="1"/>
  <c r="I38" i="1"/>
  <c r="I41" i="1"/>
  <c r="J59" i="1"/>
  <c r="F47" i="1"/>
  <c r="J51" i="1"/>
  <c r="J53" i="1"/>
  <c r="F42" i="1"/>
  <c r="F43" i="1"/>
  <c r="J38" i="1"/>
  <c r="K53" i="1"/>
  <c r="F48" i="1"/>
  <c r="F50" i="1"/>
  <c r="J39" i="1"/>
  <c r="J41" i="1"/>
  <c r="K41" i="1"/>
  <c r="J62" i="1"/>
  <c r="J63" i="1"/>
  <c r="J65" i="1"/>
</calcChain>
</file>

<file path=xl/sharedStrings.xml><?xml version="1.0" encoding="utf-8"?>
<sst xmlns="http://schemas.openxmlformats.org/spreadsheetml/2006/main" count="137" uniqueCount="125">
  <si>
    <t>SUPPLIES</t>
  </si>
  <si>
    <t>lab supplies</t>
  </si>
  <si>
    <t>software</t>
  </si>
  <si>
    <t>PERSONNEL</t>
  </si>
  <si>
    <t>YEAR 1</t>
  </si>
  <si>
    <t>costs</t>
  </si>
  <si>
    <t>YEAR 2</t>
  </si>
  <si>
    <t>TOTAL</t>
  </si>
  <si>
    <t>NOTES</t>
  </si>
  <si>
    <t>total per year</t>
  </si>
  <si>
    <t>Statistica</t>
  </si>
  <si>
    <t>PAY</t>
  </si>
  <si>
    <t>Scheller summer salary</t>
  </si>
  <si>
    <t>100 Y1; 150 Y2, Y3</t>
  </si>
  <si>
    <t>Year 1 includes a 4% increase because AAUP contract implements in Jan/Feb of this year</t>
  </si>
  <si>
    <t>FLAASH</t>
  </si>
  <si>
    <t>year 1</t>
  </si>
  <si>
    <t>operating supplies</t>
  </si>
  <si>
    <t>field gear</t>
  </si>
  <si>
    <t>hypsometer; transponder</t>
  </si>
  <si>
    <t>year 1</t>
  </si>
  <si>
    <t>GPS</t>
  </si>
  <si>
    <t>year 1</t>
  </si>
  <si>
    <t>measurement; recording equipment</t>
  </si>
  <si>
    <t>year 1</t>
  </si>
  <si>
    <t>total</t>
  </si>
  <si>
    <t>SERVICES</t>
  </si>
  <si>
    <t>publishing fees</t>
  </si>
  <si>
    <t>costs</t>
  </si>
  <si>
    <t>total per year</t>
  </si>
  <si>
    <t>variable</t>
  </si>
  <si>
    <t>$3000 year 3</t>
  </si>
  <si>
    <t>FRINGE BENEFITS (OPE)</t>
  </si>
  <si>
    <t>TRAVEL</t>
  </si>
  <si>
    <t>costs</t>
  </si>
  <si>
    <t>total per year</t>
  </si>
  <si>
    <t>field work (food/drink (30*28*4: 3360; transportation: to/from/around field sites: 1000; accomadation 75*28*2: 4200) (3 people for 4 weeks)</t>
  </si>
  <si>
    <t>$8560 year 1</t>
  </si>
  <si>
    <t>ASD work: UBC (food/drink (65*7*2: 910); accomadation (100*7*1: 700); transportation (150*2: 300)</t>
  </si>
  <si>
    <t>$1910 year 1</t>
  </si>
  <si>
    <t>conferences</t>
  </si>
  <si>
    <t>$5000 in year 3</t>
  </si>
  <si>
    <t/>
  </si>
  <si>
    <t>est. 62%</t>
  </si>
  <si>
    <t>SUBCONTRACTORS</t>
  </si>
  <si>
    <t>OSU</t>
  </si>
  <si>
    <t>costs</t>
  </si>
  <si>
    <t>total per year</t>
  </si>
  <si>
    <t>Thomas Hilker's costs</t>
  </si>
  <si>
    <t>as indicated</t>
  </si>
  <si>
    <t>as indicated</t>
  </si>
  <si>
    <t>CAPITAL EQUIPMENT</t>
  </si>
  <si>
    <t>DELL workstations</t>
  </si>
  <si>
    <t/>
  </si>
  <si>
    <t/>
  </si>
  <si>
    <t>DELL workstations</t>
  </si>
  <si>
    <t>8120.17 each</t>
  </si>
  <si>
    <t>x3 in year 1</t>
  </si>
  <si>
    <t>Student OPE (Msc)</t>
  </si>
  <si>
    <t>9% SU (1 term)</t>
  </si>
  <si>
    <t>PERSONNEL TOTAL</t>
  </si>
  <si>
    <t>SUPPLIES AND SERVICES</t>
  </si>
  <si>
    <t>SUPPLIES</t>
  </si>
  <si>
    <t>Lab supplies</t>
  </si>
  <si>
    <t>Operating supplies</t>
  </si>
  <si>
    <t>SERVICES</t>
  </si>
  <si>
    <t>Publishing services</t>
  </si>
  <si>
    <t>Contractual services</t>
  </si>
  <si>
    <t/>
  </si>
  <si>
    <t>SUPPLIES/SERVICES TOTAL</t>
  </si>
  <si>
    <t>TRAVEL</t>
  </si>
  <si>
    <t>TUITION</t>
  </si>
  <si>
    <t>TOTAL DIRECT</t>
  </si>
  <si>
    <t>Modified Total Direct Costs</t>
  </si>
  <si>
    <t>INDIRECT @48.5% MTDC</t>
  </si>
  <si>
    <t>TOTAL</t>
  </si>
  <si>
    <t>3 nights</t>
  </si>
  <si>
    <t>4 days</t>
  </si>
  <si>
    <t>ESTCP - DOD Proposed Budget, March 2016</t>
  </si>
  <si>
    <t>Lucash salary</t>
  </si>
  <si>
    <t>5/01/17-4/30/18</t>
  </si>
  <si>
    <t>5/01/18-4/30/19</t>
  </si>
  <si>
    <t>Effort</t>
  </si>
  <si>
    <t>Monthly Salary Base</t>
  </si>
  <si>
    <t>2 weeks at 1.0 FTE @ $7087/mo with annual 3% raises</t>
  </si>
  <si>
    <t>Scheller OPE 32% su</t>
  </si>
  <si>
    <t>32% for summer</t>
  </si>
  <si>
    <t>Years 1-2, $3402/term x 3 terms/GRA plus 5% escalation</t>
  </si>
  <si>
    <t>4 trips</t>
  </si>
  <si>
    <t>Airfare</t>
  </si>
  <si>
    <t>Registration</t>
  </si>
  <si>
    <t>Misc</t>
  </si>
  <si>
    <t>SUBCONTRACTS (WSU)</t>
  </si>
  <si>
    <t>Stirgul summer salary</t>
  </si>
  <si>
    <t>WSU Indirect</t>
  </si>
  <si>
    <t>SUBCONTRACT TOTAL (WSU)</t>
  </si>
  <si>
    <t>Travel</t>
  </si>
  <si>
    <t>Strigul OPE 28.7% su</t>
  </si>
  <si>
    <t>WSU</t>
  </si>
  <si>
    <t>Lienard Post-doc salary</t>
  </si>
  <si>
    <t>Strigul post-doc OPE 46.7%</t>
  </si>
  <si>
    <t>Kretchun salary</t>
  </si>
  <si>
    <t>Faculty Total</t>
  </si>
  <si>
    <t>Year 1</t>
  </si>
  <si>
    <t>year 2</t>
  </si>
  <si>
    <t>Research technician</t>
  </si>
  <si>
    <t>Fringes</t>
  </si>
  <si>
    <t>Overhead</t>
  </si>
  <si>
    <t>12 months at 0.25 FTE @ $4378/mo w/ annual 3% raise</t>
  </si>
  <si>
    <t>Total</t>
  </si>
  <si>
    <t>Subcontract to WSU</t>
  </si>
  <si>
    <t>est 62%</t>
  </si>
  <si>
    <t>PSU Budget</t>
  </si>
  <si>
    <t>WSU Subcontract Budget</t>
  </si>
  <si>
    <t>Post-Doc Total</t>
  </si>
  <si>
    <t>Faculty</t>
  </si>
  <si>
    <t>Other Staff</t>
  </si>
  <si>
    <t>Fringe</t>
  </si>
  <si>
    <t xml:space="preserve">Grand Total </t>
  </si>
  <si>
    <t>10 mos at 0.34 FTE</t>
  </si>
  <si>
    <t>Lucash OPE 22%</t>
  </si>
  <si>
    <t>Kretchun OPE 62%</t>
  </si>
  <si>
    <t>Original budget</t>
  </si>
  <si>
    <t>10% Increase</t>
  </si>
  <si>
    <t>Difference from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</si>
</sst>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&quot;$&quot;#,##0.00"/>
    <numFmt numFmtId="167" formatCode="0.000"/>
  </numFmts>
  <fonts count="13" x14ac:knownFonts="1">
    <font>
      <sz val="10"/>
      <name val="Arial"/>
    </font>
    <font>
      <sz val="8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i/>
      <sz val="9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121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2" borderId="1" xfId="0" applyFont="1" applyFill="1" applyBorder="1" applyAlignme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3" fillId="0" borderId="2" xfId="0" applyFont="1" applyBorder="1" applyAlignment="1"/>
    <xf numFmtId="42" fontId="0" fillId="0" borderId="1" xfId="0" applyNumberFormat="1" applyFont="1" applyBorder="1"/>
    <xf numFmtId="164" fontId="0" fillId="0" borderId="1" xfId="0" applyNumberFormat="1" applyFont="1" applyBorder="1"/>
    <xf numFmtId="0" fontId="0" fillId="0" borderId="1" xfId="0" applyFont="1" applyBorder="1"/>
    <xf numFmtId="0" fontId="3" fillId="0" borderId="3" xfId="0" applyFont="1" applyBorder="1" applyAlignment="1"/>
    <xf numFmtId="0" fontId="1" fillId="2" borderId="3" xfId="0" applyFont="1" applyFill="1" applyBorder="1"/>
    <xf numFmtId="0" fontId="1" fillId="2" borderId="4" xfId="0" applyFont="1" applyFill="1" applyBorder="1"/>
    <xf numFmtId="42" fontId="4" fillId="0" borderId="1" xfId="0" applyNumberFormat="1" applyFont="1" applyBorder="1" applyAlignment="1">
      <alignment wrapText="1"/>
    </xf>
    <xf numFmtId="0" fontId="1" fillId="2" borderId="5" xfId="0" applyFont="1" applyFill="1" applyBorder="1"/>
    <xf numFmtId="0" fontId="0" fillId="0" borderId="1" xfId="0" applyFont="1" applyBorder="1"/>
    <xf numFmtId="0" fontId="5" fillId="0" borderId="1" xfId="0" applyFont="1" applyBorder="1"/>
    <xf numFmtId="42" fontId="7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/>
    <xf numFmtId="0" fontId="3" fillId="3" borderId="6" xfId="0" applyFont="1" applyFill="1" applyBorder="1" applyAlignment="1"/>
    <xf numFmtId="0" fontId="8" fillId="0" borderId="1" xfId="0" applyFont="1" applyBorder="1" applyAlignment="1">
      <alignment wrapText="1"/>
    </xf>
    <xf numFmtId="0" fontId="10" fillId="0" borderId="1" xfId="0" applyFont="1" applyBorder="1"/>
    <xf numFmtId="165" fontId="1" fillId="0" borderId="1" xfId="0" applyNumberFormat="1" applyFont="1" applyBorder="1" applyAlignment="1"/>
    <xf numFmtId="0" fontId="1" fillId="0" borderId="6" xfId="0" applyFont="1" applyBorder="1" applyAlignment="1"/>
    <xf numFmtId="0" fontId="1" fillId="0" borderId="1" xfId="0" applyFont="1" applyBorder="1"/>
    <xf numFmtId="0" fontId="1" fillId="0" borderId="6" xfId="0" applyFont="1" applyBorder="1"/>
    <xf numFmtId="44" fontId="0" fillId="0" borderId="1" xfId="0" applyNumberFormat="1" applyFont="1" applyBorder="1"/>
    <xf numFmtId="166" fontId="1" fillId="0" borderId="1" xfId="0" applyNumberFormat="1" applyFont="1" applyBorder="1" applyAlignment="1"/>
    <xf numFmtId="0" fontId="4" fillId="0" borderId="1" xfId="0" applyFont="1" applyBorder="1" applyAlignment="1"/>
    <xf numFmtId="42" fontId="0" fillId="0" borderId="1" xfId="0" applyNumberFormat="1" applyFont="1" applyBorder="1" applyAlignment="1"/>
    <xf numFmtId="0" fontId="1" fillId="2" borderId="7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3" fillId="0" borderId="4" xfId="0" applyFont="1" applyBorder="1" applyAlignment="1"/>
    <xf numFmtId="0" fontId="1" fillId="0" borderId="8" xfId="0" applyFont="1" applyBorder="1" applyAlignment="1"/>
    <xf numFmtId="165" fontId="1" fillId="0" borderId="8" xfId="0" applyNumberFormat="1" applyFont="1" applyBorder="1" applyAlignment="1"/>
    <xf numFmtId="0" fontId="1" fillId="0" borderId="9" xfId="0" applyFont="1" applyBorder="1" applyAlignment="1"/>
    <xf numFmtId="0" fontId="3" fillId="0" borderId="5" xfId="0" applyFont="1" applyBorder="1" applyAlignment="1"/>
    <xf numFmtId="166" fontId="1" fillId="2" borderId="1" xfId="0" applyNumberFormat="1" applyFont="1" applyFill="1" applyBorder="1" applyAlignment="1"/>
    <xf numFmtId="0" fontId="1" fillId="2" borderId="6" xfId="0" applyFont="1" applyFill="1" applyBorder="1" applyAlignment="1"/>
    <xf numFmtId="0" fontId="1" fillId="0" borderId="5" xfId="0" applyFont="1" applyBorder="1"/>
    <xf numFmtId="42" fontId="0" fillId="3" borderId="1" xfId="0" applyNumberFormat="1" applyFont="1" applyFill="1" applyBorder="1" applyAlignment="1"/>
    <xf numFmtId="0" fontId="5" fillId="0" borderId="1" xfId="0" applyFont="1" applyBorder="1" applyAlignment="1"/>
    <xf numFmtId="42" fontId="0" fillId="3" borderId="1" xfId="0" applyNumberFormat="1" applyFont="1" applyFill="1" applyBorder="1"/>
    <xf numFmtId="42" fontId="0" fillId="3" borderId="10" xfId="0" applyNumberFormat="1" applyFont="1" applyFill="1" applyBorder="1"/>
    <xf numFmtId="0" fontId="4" fillId="3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42" fontId="7" fillId="0" borderId="1" xfId="0" applyNumberFormat="1" applyFont="1" applyFill="1" applyBorder="1" applyAlignment="1">
      <alignment horizontal="center"/>
    </xf>
    <xf numFmtId="42" fontId="9" fillId="0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42" fontId="0" fillId="0" borderId="1" xfId="0" applyNumberFormat="1" applyFont="1" applyFill="1" applyBorder="1"/>
    <xf numFmtId="164" fontId="0" fillId="0" borderId="1" xfId="0" applyNumberFormat="1" applyFont="1" applyFill="1" applyBorder="1"/>
    <xf numFmtId="42" fontId="0" fillId="0" borderId="1" xfId="0" applyNumberFormat="1" applyFont="1" applyFill="1" applyBorder="1" applyAlignment="1"/>
    <xf numFmtId="9" fontId="4" fillId="0" borderId="1" xfId="0" applyNumberFormat="1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11" fillId="4" borderId="13" xfId="0" applyFont="1" applyFill="1" applyBorder="1"/>
    <xf numFmtId="0" fontId="0" fillId="4" borderId="15" xfId="0" applyFont="1" applyFill="1" applyBorder="1"/>
    <xf numFmtId="0" fontId="4" fillId="4" borderId="1" xfId="0" applyFont="1" applyFill="1" applyBorder="1" applyAlignment="1">
      <alignment wrapText="1"/>
    </xf>
    <xf numFmtId="42" fontId="11" fillId="0" borderId="1" xfId="0" applyNumberFormat="1" applyFont="1" applyBorder="1"/>
    <xf numFmtId="0" fontId="11" fillId="0" borderId="1" xfId="0" applyFont="1" applyBorder="1"/>
    <xf numFmtId="0" fontId="11" fillId="4" borderId="11" xfId="0" applyFont="1" applyFill="1" applyBorder="1"/>
    <xf numFmtId="1" fontId="0" fillId="4" borderId="12" xfId="0" applyNumberFormat="1" applyFont="1" applyFill="1" applyBorder="1"/>
    <xf numFmtId="1" fontId="0" fillId="4" borderId="14" xfId="0" applyNumberFormat="1" applyFont="1" applyFill="1" applyBorder="1"/>
    <xf numFmtId="1" fontId="0" fillId="4" borderId="16" xfId="0" applyNumberFormat="1" applyFont="1" applyFill="1" applyBorder="1"/>
    <xf numFmtId="42" fontId="11" fillId="0" borderId="1" xfId="0" applyNumberFormat="1" applyFont="1" applyFill="1" applyBorder="1"/>
    <xf numFmtId="0" fontId="4" fillId="0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wrapText="1"/>
    </xf>
    <xf numFmtId="42" fontId="0" fillId="0" borderId="0" xfId="0" applyNumberFormat="1"/>
    <xf numFmtId="0" fontId="5" fillId="0" borderId="17" xfId="0" applyFont="1" applyBorder="1"/>
    <xf numFmtId="0" fontId="0" fillId="0" borderId="18" xfId="0" applyBorder="1"/>
    <xf numFmtId="0" fontId="0" fillId="0" borderId="18" xfId="0" applyFont="1" applyBorder="1"/>
    <xf numFmtId="0" fontId="0" fillId="0" borderId="19" xfId="0" applyBorder="1"/>
    <xf numFmtId="0" fontId="0" fillId="0" borderId="20" xfId="0" applyBorder="1"/>
    <xf numFmtId="42" fontId="0" fillId="0" borderId="1" xfId="0" applyNumberFormat="1" applyBorder="1"/>
    <xf numFmtId="0" fontId="0" fillId="0" borderId="21" xfId="0" applyBorder="1"/>
    <xf numFmtId="0" fontId="0" fillId="0" borderId="20" xfId="0" applyFont="1" applyBorder="1"/>
    <xf numFmtId="0" fontId="0" fillId="0" borderId="20" xfId="0" applyFont="1" applyFill="1" applyBorder="1"/>
    <xf numFmtId="164" fontId="0" fillId="0" borderId="1" xfId="0" applyNumberFormat="1" applyBorder="1"/>
    <xf numFmtId="0" fontId="5" fillId="0" borderId="20" xfId="0" applyFont="1" applyBorder="1"/>
    <xf numFmtId="0" fontId="0" fillId="0" borderId="1" xfId="0" applyBorder="1"/>
    <xf numFmtId="0" fontId="11" fillId="0" borderId="20" xfId="0" applyFont="1" applyBorder="1"/>
    <xf numFmtId="42" fontId="5" fillId="0" borderId="1" xfId="0" applyNumberFormat="1" applyFont="1" applyBorder="1"/>
    <xf numFmtId="42" fontId="5" fillId="0" borderId="21" xfId="0" applyNumberFormat="1" applyFont="1" applyBorder="1"/>
    <xf numFmtId="0" fontId="5" fillId="0" borderId="22" xfId="0" applyFont="1" applyBorder="1"/>
    <xf numFmtId="42" fontId="5" fillId="0" borderId="23" xfId="0" applyNumberFormat="1" applyFont="1" applyBorder="1"/>
    <xf numFmtId="42" fontId="5" fillId="0" borderId="24" xfId="0" applyNumberFormat="1" applyFont="1" applyBorder="1"/>
    <xf numFmtId="0" fontId="5" fillId="5" borderId="1" xfId="0" applyFont="1" applyFill="1" applyBorder="1"/>
    <xf numFmtId="0" fontId="0" fillId="5" borderId="1" xfId="0" applyFont="1" applyFill="1" applyBorder="1"/>
    <xf numFmtId="0" fontId="0" fillId="5" borderId="17" xfId="0" applyFont="1" applyFill="1" applyBorder="1"/>
    <xf numFmtId="42" fontId="0" fillId="5" borderId="18" xfId="0" applyNumberFormat="1" applyFont="1" applyFill="1" applyBorder="1"/>
    <xf numFmtId="42" fontId="0" fillId="5" borderId="19" xfId="0" applyNumberFormat="1" applyFont="1" applyFill="1" applyBorder="1"/>
    <xf numFmtId="0" fontId="0" fillId="5" borderId="20" xfId="0" applyFont="1" applyFill="1" applyBorder="1"/>
    <xf numFmtId="42" fontId="0" fillId="5" borderId="1" xfId="0" applyNumberFormat="1" applyFont="1" applyFill="1" applyBorder="1"/>
    <xf numFmtId="42" fontId="0" fillId="5" borderId="21" xfId="0" applyNumberFormat="1" applyFont="1" applyFill="1" applyBorder="1"/>
    <xf numFmtId="164" fontId="0" fillId="5" borderId="1" xfId="0" applyNumberFormat="1" applyFont="1" applyFill="1" applyBorder="1"/>
    <xf numFmtId="164" fontId="0" fillId="5" borderId="21" xfId="0" applyNumberFormat="1" applyFont="1" applyFill="1" applyBorder="1"/>
    <xf numFmtId="164" fontId="0" fillId="5" borderId="25" xfId="0" applyNumberFormat="1" applyFill="1" applyBorder="1"/>
    <xf numFmtId="164" fontId="0" fillId="5" borderId="26" xfId="0" applyNumberFormat="1" applyFill="1" applyBorder="1"/>
    <xf numFmtId="42" fontId="0" fillId="5" borderId="1" xfId="0" applyNumberFormat="1" applyFill="1" applyBorder="1"/>
    <xf numFmtId="42" fontId="0" fillId="5" borderId="21" xfId="0" applyNumberFormat="1" applyFill="1" applyBorder="1"/>
    <xf numFmtId="0" fontId="0" fillId="5" borderId="20" xfId="0" applyFill="1" applyBorder="1"/>
    <xf numFmtId="0" fontId="0" fillId="5" borderId="1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42" fontId="5" fillId="5" borderId="24" xfId="0" applyNumberFormat="1" applyFont="1" applyFill="1" applyBorder="1"/>
    <xf numFmtId="167" fontId="4" fillId="0" borderId="1" xfId="0" applyNumberFormat="1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65"/>
  <sheetViews>
    <sheetView tabSelected="1" topLeftCell="A31" zoomScale="150" zoomScaleNormal="150" zoomScalePageLayoutView="150" workbookViewId="0">
      <selection activeCell="D40" sqref="D40"/>
    </sheetView>
  </sheetViews>
  <sheetFormatPr defaultColWidth="17.28515625" defaultRowHeight="15" customHeight="1" x14ac:dyDescent="0.2"/>
  <cols>
    <col min="1" max="1" width="27.42578125" customWidth="1"/>
    <col min="2" max="2" width="11.7109375" style="79" customWidth="1"/>
    <col min="3" max="3" width="10.7109375" customWidth="1"/>
    <col min="4" max="5" width="15.28515625" bestFit="1" customWidth="1"/>
    <col min="6" max="6" width="10.28515625" customWidth="1"/>
    <col min="7" max="7" width="28.7109375" customWidth="1"/>
    <col min="8" max="8" width="26.7109375" customWidth="1"/>
    <col min="9" max="9" width="12.28515625" customWidth="1"/>
    <col min="10" max="10" width="11.85546875" customWidth="1"/>
  </cols>
  <sheetData>
    <row r="1" spans="1:10" ht="18" customHeight="1" x14ac:dyDescent="0.25">
      <c r="A1" s="2" t="s">
        <v>78</v>
      </c>
      <c r="B1" s="74"/>
      <c r="C1" s="5"/>
      <c r="D1" s="7"/>
      <c r="E1" s="7"/>
      <c r="F1" s="7"/>
      <c r="G1" s="5"/>
      <c r="I1" s="9"/>
    </row>
    <row r="2" spans="1:10" ht="12.75" customHeight="1" x14ac:dyDescent="0.2">
      <c r="A2" s="4"/>
      <c r="B2" s="75"/>
      <c r="C2" s="5"/>
      <c r="D2" s="7"/>
      <c r="E2" s="7"/>
      <c r="F2" s="7"/>
      <c r="G2" s="13"/>
      <c r="I2" s="9"/>
    </row>
    <row r="3" spans="1:10" ht="12.75" customHeight="1" x14ac:dyDescent="0.2">
      <c r="A3" s="4"/>
      <c r="B3" s="75"/>
      <c r="C3" s="5"/>
      <c r="D3" s="66" t="s">
        <v>80</v>
      </c>
      <c r="E3" s="66" t="s">
        <v>81</v>
      </c>
      <c r="F3" s="7"/>
      <c r="G3" s="5"/>
      <c r="H3" s="15"/>
      <c r="I3" s="15"/>
      <c r="J3" s="15"/>
    </row>
    <row r="4" spans="1:10" ht="25.5" customHeight="1" x14ac:dyDescent="0.2">
      <c r="A4" s="16" t="s">
        <v>3</v>
      </c>
      <c r="B4" s="80" t="s">
        <v>83</v>
      </c>
      <c r="C4" s="5" t="s">
        <v>82</v>
      </c>
      <c r="D4" s="17" t="s">
        <v>4</v>
      </c>
      <c r="E4" s="17" t="s">
        <v>6</v>
      </c>
      <c r="F4" s="17" t="s">
        <v>7</v>
      </c>
      <c r="G4" s="20" t="s">
        <v>8</v>
      </c>
      <c r="H4" s="15"/>
      <c r="I4" s="15"/>
      <c r="J4" s="15"/>
    </row>
    <row r="5" spans="1:10" ht="12.75" customHeight="1" x14ac:dyDescent="0.2">
      <c r="A5" s="4"/>
      <c r="B5" s="75"/>
      <c r="C5" s="46"/>
      <c r="D5" s="47"/>
      <c r="E5" s="48"/>
      <c r="F5" s="47"/>
      <c r="G5" s="46"/>
      <c r="H5" s="49"/>
      <c r="I5" s="15"/>
      <c r="J5" s="15"/>
    </row>
    <row r="6" spans="1:10" ht="36" x14ac:dyDescent="0.2">
      <c r="A6" s="21" t="s">
        <v>11</v>
      </c>
      <c r="B6" s="77"/>
      <c r="C6" s="46"/>
      <c r="D6" s="50"/>
      <c r="E6" s="50"/>
      <c r="F6" s="50"/>
      <c r="G6" s="46" t="s">
        <v>14</v>
      </c>
      <c r="H6" s="49"/>
      <c r="I6" s="15"/>
      <c r="J6" s="15"/>
    </row>
    <row r="7" spans="1:10" ht="24" x14ac:dyDescent="0.2">
      <c r="A7" s="4" t="s">
        <v>12</v>
      </c>
      <c r="B7" s="78">
        <f>71676/9*1.03</f>
        <v>8202.92</v>
      </c>
      <c r="C7" s="46">
        <v>1</v>
      </c>
      <c r="D7" s="50">
        <f>C7*B7*1.03</f>
        <v>8449.0076000000008</v>
      </c>
      <c r="E7" s="50">
        <f>D7*1.03</f>
        <v>8702.477828000001</v>
      </c>
      <c r="F7" s="50">
        <f>SUM(D7:E7)</f>
        <v>17151.485428</v>
      </c>
      <c r="G7" s="46" t="s">
        <v>84</v>
      </c>
      <c r="H7" s="49"/>
      <c r="I7" s="15"/>
      <c r="J7" s="15"/>
    </row>
    <row r="8" spans="1:10" ht="24" x14ac:dyDescent="0.2">
      <c r="A8" s="4" t="s">
        <v>79</v>
      </c>
      <c r="B8" s="78">
        <f>51000/12*1.03</f>
        <v>4377.5</v>
      </c>
      <c r="C8" s="46">
        <v>4</v>
      </c>
      <c r="D8" s="50">
        <f>C8*B8*1.03</f>
        <v>18035.3</v>
      </c>
      <c r="E8" s="50">
        <f>D8*1.03</f>
        <v>18576.359</v>
      </c>
      <c r="F8" s="50">
        <f>SUM(D8:E8)</f>
        <v>36611.659</v>
      </c>
      <c r="G8" s="46" t="s">
        <v>108</v>
      </c>
      <c r="H8" s="49"/>
      <c r="I8" s="26"/>
      <c r="J8" s="15"/>
    </row>
    <row r="9" spans="1:10" ht="12.75" x14ac:dyDescent="0.2">
      <c r="A9" s="28" t="s">
        <v>101</v>
      </c>
      <c r="B9" s="78">
        <f>50808/12*1.03</f>
        <v>4361.0200000000004</v>
      </c>
      <c r="C9" s="120">
        <v>9.5</v>
      </c>
      <c r="D9" s="52">
        <f>B9*C9*1.03</f>
        <v>42672.580700000006</v>
      </c>
      <c r="E9" s="50">
        <f>B9*C9*1.03*1.03</f>
        <v>43952.758121000006</v>
      </c>
      <c r="F9" s="50">
        <f>SUM(D9:E9)</f>
        <v>86625.338821000012</v>
      </c>
      <c r="G9" s="46" t="s">
        <v>119</v>
      </c>
      <c r="H9" s="49"/>
      <c r="I9" s="26"/>
      <c r="J9" s="15"/>
    </row>
    <row r="10" spans="1:10" ht="12.75" x14ac:dyDescent="0.2">
      <c r="A10" s="28"/>
      <c r="B10" s="75"/>
      <c r="C10" s="46"/>
      <c r="D10" s="50"/>
      <c r="E10" s="50"/>
      <c r="F10" s="50"/>
      <c r="G10" s="46"/>
      <c r="H10" s="49"/>
      <c r="I10" s="26"/>
      <c r="J10" s="15"/>
    </row>
    <row r="11" spans="1:10" ht="12.75" customHeight="1" x14ac:dyDescent="0.2">
      <c r="A11" s="21" t="s">
        <v>32</v>
      </c>
      <c r="B11" s="77"/>
      <c r="C11" s="46"/>
      <c r="D11" s="50"/>
      <c r="E11" s="50"/>
      <c r="F11" s="50"/>
      <c r="G11" s="46"/>
      <c r="H11" s="49"/>
      <c r="I11" s="26"/>
      <c r="J11" s="15"/>
    </row>
    <row r="12" spans="1:10" ht="12.75" customHeight="1" x14ac:dyDescent="0.2">
      <c r="A12" s="28" t="s">
        <v>85</v>
      </c>
      <c r="B12" s="75">
        <v>0.32</v>
      </c>
      <c r="C12" s="46"/>
      <c r="D12" s="51">
        <f t="shared" ref="D12:E14" si="0">D7*$B12</f>
        <v>2703.6824320000005</v>
      </c>
      <c r="E12" s="51">
        <f t="shared" si="0"/>
        <v>2784.7929049600002</v>
      </c>
      <c r="F12" s="50">
        <f>SUM(D12:E12)</f>
        <v>5488.4753369600003</v>
      </c>
      <c r="G12" s="46" t="s">
        <v>86</v>
      </c>
      <c r="H12" s="49"/>
      <c r="I12" s="15"/>
      <c r="J12" s="15"/>
    </row>
    <row r="13" spans="1:10" ht="12.75" customHeight="1" x14ac:dyDescent="0.2">
      <c r="A13" s="28" t="s">
        <v>120</v>
      </c>
      <c r="B13" s="75">
        <v>0.22</v>
      </c>
      <c r="C13" s="46"/>
      <c r="D13" s="51">
        <f t="shared" si="0"/>
        <v>3967.7660000000001</v>
      </c>
      <c r="E13" s="51">
        <f t="shared" si="0"/>
        <v>4086.79898</v>
      </c>
      <c r="F13" s="50">
        <f>SUM(D13:E13)</f>
        <v>8054.5649800000001</v>
      </c>
      <c r="G13" s="53" t="s">
        <v>43</v>
      </c>
      <c r="H13" s="49"/>
      <c r="I13" s="15"/>
      <c r="J13" s="15"/>
    </row>
    <row r="14" spans="1:10" ht="12.75" x14ac:dyDescent="0.2">
      <c r="A14" s="28" t="s">
        <v>121</v>
      </c>
      <c r="B14" s="75">
        <v>0.62</v>
      </c>
      <c r="C14" s="46"/>
      <c r="D14" s="51">
        <f t="shared" si="0"/>
        <v>26457.000034000004</v>
      </c>
      <c r="E14" s="51">
        <f t="shared" si="0"/>
        <v>27250.710035020005</v>
      </c>
      <c r="F14" s="50">
        <f>SUM(D14:E14)</f>
        <v>53707.71006902001</v>
      </c>
      <c r="G14" s="54" t="s">
        <v>111</v>
      </c>
      <c r="H14" s="49"/>
      <c r="I14" s="15"/>
      <c r="J14" s="15"/>
    </row>
    <row r="15" spans="1:10" ht="12.75" x14ac:dyDescent="0.2">
      <c r="A15" s="28" t="s">
        <v>58</v>
      </c>
      <c r="B15" s="75">
        <v>0.09</v>
      </c>
      <c r="C15" s="46"/>
      <c r="D15" s="50"/>
      <c r="E15" s="50"/>
      <c r="F15" s="50">
        <f>SUM(D15:E15)</f>
        <v>0</v>
      </c>
      <c r="G15" s="54" t="s">
        <v>59</v>
      </c>
      <c r="H15" s="49"/>
      <c r="I15" s="15"/>
      <c r="J15" s="15"/>
    </row>
    <row r="16" spans="1:10" ht="12.75" customHeight="1" x14ac:dyDescent="0.2">
      <c r="A16" s="4"/>
      <c r="B16" s="75"/>
      <c r="C16" s="5"/>
      <c r="D16" s="7"/>
      <c r="E16" s="7"/>
      <c r="F16" s="7"/>
      <c r="G16" s="5"/>
      <c r="H16" s="15"/>
      <c r="I16" s="15"/>
      <c r="J16" s="15"/>
    </row>
    <row r="17" spans="1:10" ht="12.75" customHeight="1" x14ac:dyDescent="0.2">
      <c r="A17" s="16" t="s">
        <v>60</v>
      </c>
      <c r="B17" s="76"/>
      <c r="C17" s="5"/>
      <c r="D17" s="7">
        <f>SUM(D7:D16)</f>
        <v>102285.33676600002</v>
      </c>
      <c r="E17" s="7">
        <f>SUM(E7:E16)</f>
        <v>105353.89686898002</v>
      </c>
      <c r="F17" s="7">
        <f>SUM(D17:E17)</f>
        <v>207639.23363498005</v>
      </c>
      <c r="G17" s="5"/>
      <c r="H17" s="15"/>
      <c r="I17" s="15"/>
      <c r="J17" s="15"/>
    </row>
    <row r="18" spans="1:10" ht="12.75" customHeight="1" x14ac:dyDescent="0.2">
      <c r="A18" s="4"/>
      <c r="B18" s="75"/>
      <c r="C18" s="5"/>
      <c r="D18" s="7"/>
      <c r="E18" s="7"/>
      <c r="F18" s="7"/>
      <c r="G18" s="5"/>
      <c r="H18" s="15"/>
      <c r="I18" s="15"/>
      <c r="J18" s="15"/>
    </row>
    <row r="19" spans="1:10" ht="12.75" customHeight="1" x14ac:dyDescent="0.2">
      <c r="A19" s="16" t="s">
        <v>61</v>
      </c>
      <c r="B19" s="76"/>
      <c r="C19" s="5"/>
      <c r="D19" s="7"/>
      <c r="E19" s="7"/>
      <c r="F19" s="7"/>
      <c r="G19" s="5"/>
      <c r="H19" s="15"/>
      <c r="I19" s="15"/>
      <c r="J19" s="15"/>
    </row>
    <row r="20" spans="1:10" ht="12.75" customHeight="1" x14ac:dyDescent="0.2">
      <c r="A20" s="4"/>
      <c r="B20" s="75"/>
      <c r="C20" s="5"/>
      <c r="D20" s="7"/>
      <c r="E20" s="7"/>
      <c r="F20" s="7"/>
      <c r="G20" s="5"/>
      <c r="H20" s="15"/>
      <c r="I20" s="15"/>
      <c r="J20" s="15"/>
    </row>
    <row r="21" spans="1:10" ht="12.75" customHeight="1" x14ac:dyDescent="0.2">
      <c r="A21" s="21" t="s">
        <v>62</v>
      </c>
      <c r="B21" s="77"/>
      <c r="C21" s="5"/>
      <c r="D21" s="7"/>
      <c r="E21" s="7"/>
      <c r="F21" s="7"/>
      <c r="G21" s="5"/>
      <c r="H21" s="15"/>
      <c r="I21" s="15"/>
      <c r="J21" s="15"/>
    </row>
    <row r="22" spans="1:10" ht="12.75" customHeight="1" x14ac:dyDescent="0.2">
      <c r="A22" s="4" t="s">
        <v>63</v>
      </c>
      <c r="B22" s="75"/>
      <c r="C22" s="5"/>
      <c r="D22" s="29"/>
      <c r="E22" s="29"/>
      <c r="F22" s="7">
        <f>SUM(D22:E22)</f>
        <v>0</v>
      </c>
      <c r="G22" s="5"/>
      <c r="H22" s="15"/>
      <c r="I22" s="15"/>
      <c r="J22" s="15"/>
    </row>
    <row r="23" spans="1:10" ht="12.75" customHeight="1" x14ac:dyDescent="0.2">
      <c r="A23" s="4" t="s">
        <v>64</v>
      </c>
      <c r="B23" s="75"/>
      <c r="C23" s="5"/>
      <c r="D23" s="29"/>
      <c r="E23" s="7">
        <v>0</v>
      </c>
      <c r="F23" s="7">
        <f>SUM(D23:E23)</f>
        <v>0</v>
      </c>
      <c r="G23" s="5"/>
      <c r="H23" s="65" t="s">
        <v>88</v>
      </c>
      <c r="I23" s="15"/>
      <c r="J23" s="15"/>
    </row>
    <row r="24" spans="1:10" ht="12.75" customHeight="1" x14ac:dyDescent="0.2">
      <c r="A24" s="21" t="s">
        <v>65</v>
      </c>
      <c r="B24" s="77"/>
      <c r="C24" s="5"/>
      <c r="D24" s="7"/>
      <c r="E24" s="7"/>
      <c r="F24" s="7"/>
      <c r="G24" s="5"/>
      <c r="H24" s="15"/>
      <c r="I24" s="15"/>
      <c r="J24" s="15"/>
    </row>
    <row r="25" spans="1:10" ht="12.75" customHeight="1" x14ac:dyDescent="0.2">
      <c r="A25" s="4" t="s">
        <v>66</v>
      </c>
      <c r="B25" s="75"/>
      <c r="C25" s="5"/>
      <c r="D25" s="7">
        <v>0</v>
      </c>
      <c r="E25" s="29">
        <v>0</v>
      </c>
      <c r="F25" s="7">
        <f>SUM(D25:E25)</f>
        <v>0</v>
      </c>
      <c r="G25" s="5"/>
      <c r="H25" s="68" t="s">
        <v>89</v>
      </c>
      <c r="I25" s="69">
        <v>400</v>
      </c>
      <c r="J25" s="15"/>
    </row>
    <row r="26" spans="1:10" ht="12.75" customHeight="1" x14ac:dyDescent="0.2">
      <c r="A26" s="4" t="s">
        <v>67</v>
      </c>
      <c r="B26" s="75"/>
      <c r="C26" s="5"/>
      <c r="D26" s="41">
        <v>0</v>
      </c>
      <c r="E26" s="29">
        <v>0</v>
      </c>
      <c r="F26" s="7">
        <f>SUM(D26:E26)</f>
        <v>0</v>
      </c>
      <c r="G26" s="5"/>
      <c r="H26" s="63" t="s">
        <v>76</v>
      </c>
      <c r="I26" s="70">
        <f>158.7*3</f>
        <v>476.09999999999997</v>
      </c>
      <c r="J26" s="15"/>
    </row>
    <row r="27" spans="1:10" ht="12.75" customHeight="1" x14ac:dyDescent="0.2">
      <c r="A27" s="4"/>
      <c r="B27" s="75"/>
      <c r="C27" s="5"/>
      <c r="D27" s="7"/>
      <c r="E27" s="7"/>
      <c r="F27" s="29" t="s">
        <v>68</v>
      </c>
      <c r="G27" s="5"/>
      <c r="H27" s="63" t="s">
        <v>77</v>
      </c>
      <c r="I27" s="70">
        <f>2*64+2*64*0.75</f>
        <v>224</v>
      </c>
      <c r="J27" s="15"/>
    </row>
    <row r="28" spans="1:10" ht="12.75" customHeight="1" x14ac:dyDescent="0.2">
      <c r="A28" s="16" t="s">
        <v>69</v>
      </c>
      <c r="B28" s="76"/>
      <c r="C28" s="5"/>
      <c r="D28" s="7">
        <f>SUM(D22:D27)</f>
        <v>0</v>
      </c>
      <c r="E28" s="7">
        <f>SUM(E22:E27)</f>
        <v>0</v>
      </c>
      <c r="F28" s="7">
        <f>SUM(D28:E28)</f>
        <v>0</v>
      </c>
      <c r="G28" s="5"/>
      <c r="H28" s="63" t="s">
        <v>90</v>
      </c>
      <c r="I28" s="70">
        <v>350</v>
      </c>
      <c r="J28" s="15"/>
    </row>
    <row r="29" spans="1:10" ht="12.75" customHeight="1" x14ac:dyDescent="0.2">
      <c r="A29" s="4"/>
      <c r="B29" s="75"/>
      <c r="C29" s="5"/>
      <c r="D29" s="7"/>
      <c r="E29" s="7"/>
      <c r="F29" s="7"/>
      <c r="G29" s="5"/>
      <c r="H29" s="63" t="s">
        <v>91</v>
      </c>
      <c r="I29" s="71">
        <v>50</v>
      </c>
      <c r="J29" s="67"/>
    </row>
    <row r="30" spans="1:10" ht="12.75" customHeight="1" x14ac:dyDescent="0.2">
      <c r="A30" s="16" t="s">
        <v>70</v>
      </c>
      <c r="B30" s="76"/>
      <c r="C30" s="5"/>
      <c r="D30" s="29">
        <v>3500</v>
      </c>
      <c r="E30" s="29">
        <v>3500</v>
      </c>
      <c r="F30" s="7">
        <f>SUM(D30:E30)</f>
        <v>7000</v>
      </c>
      <c r="H30" s="64"/>
      <c r="I30" s="71">
        <f>SUM(I25:I29)</f>
        <v>1500.1</v>
      </c>
      <c r="J30" s="15"/>
    </row>
    <row r="31" spans="1:10" ht="12.75" customHeight="1" x14ac:dyDescent="0.2">
      <c r="A31" s="4"/>
      <c r="B31" s="75"/>
      <c r="C31" s="5"/>
      <c r="D31" s="7"/>
      <c r="E31" s="7"/>
      <c r="F31" s="7"/>
      <c r="G31" s="5"/>
      <c r="H31" s="15"/>
      <c r="I31" s="15"/>
      <c r="J31" s="15"/>
    </row>
    <row r="32" spans="1:10" ht="12.75" customHeight="1" thickBot="1" x14ac:dyDescent="0.25">
      <c r="A32" s="42" t="s">
        <v>92</v>
      </c>
      <c r="B32" s="76"/>
      <c r="C32" s="5"/>
      <c r="D32" s="29"/>
      <c r="E32" s="29"/>
      <c r="F32" s="43"/>
      <c r="G32" s="5"/>
      <c r="J32" s="15"/>
    </row>
    <row r="33" spans="1:11" ht="12.75" customHeight="1" x14ac:dyDescent="0.2">
      <c r="A33" s="21" t="s">
        <v>11</v>
      </c>
      <c r="B33" s="75"/>
      <c r="C33" s="5"/>
      <c r="D33" s="7"/>
      <c r="E33" s="7"/>
      <c r="F33" s="7"/>
      <c r="G33" s="5"/>
      <c r="H33" s="82" t="s">
        <v>112</v>
      </c>
      <c r="I33" s="83" t="s">
        <v>103</v>
      </c>
      <c r="J33" s="84" t="s">
        <v>104</v>
      </c>
      <c r="K33" s="85"/>
    </row>
    <row r="34" spans="1:11" ht="12.75" customHeight="1" x14ac:dyDescent="0.2">
      <c r="A34" s="4" t="s">
        <v>93</v>
      </c>
      <c r="B34" s="78">
        <v>7345</v>
      </c>
      <c r="C34" s="73">
        <v>1</v>
      </c>
      <c r="D34" s="50">
        <f>B34*C34</f>
        <v>7345</v>
      </c>
      <c r="E34" s="72">
        <f>1.04*D34</f>
        <v>7638.8</v>
      </c>
      <c r="F34" s="50">
        <f>SUM(D34:E34)</f>
        <v>14983.8</v>
      </c>
      <c r="G34" s="46" t="s">
        <v>98</v>
      </c>
      <c r="H34" s="86" t="s">
        <v>102</v>
      </c>
      <c r="I34" s="87">
        <f>+SUM(D7,D8)</f>
        <v>26484.3076</v>
      </c>
      <c r="J34" s="87">
        <f>+SUM(E7,E8)</f>
        <v>27278.836828</v>
      </c>
      <c r="K34" s="88"/>
    </row>
    <row r="35" spans="1:11" ht="12.75" customHeight="1" x14ac:dyDescent="0.2">
      <c r="A35" s="28" t="s">
        <v>97</v>
      </c>
      <c r="B35" s="75">
        <v>0.28699999999999998</v>
      </c>
      <c r="C35" s="46"/>
      <c r="D35" s="51">
        <f>D34*$B35</f>
        <v>2108.0149999999999</v>
      </c>
      <c r="E35" s="51">
        <f>E34*$B35</f>
        <v>2192.3355999999999</v>
      </c>
      <c r="F35" s="50">
        <f>SUM(D35:E35)</f>
        <v>4300.3505999999998</v>
      </c>
      <c r="G35" s="46"/>
      <c r="H35" s="86" t="s">
        <v>105</v>
      </c>
      <c r="I35" s="87">
        <f>+D9</f>
        <v>42672.580700000006</v>
      </c>
      <c r="J35" s="87">
        <f>+E9</f>
        <v>43952.758121000006</v>
      </c>
      <c r="K35" s="88"/>
    </row>
    <row r="36" spans="1:11" ht="12.75" customHeight="1" x14ac:dyDescent="0.2">
      <c r="A36" s="28" t="s">
        <v>99</v>
      </c>
      <c r="B36" s="78">
        <f>44000</f>
        <v>44000</v>
      </c>
      <c r="C36" s="46">
        <v>0.6</v>
      </c>
      <c r="D36" s="50">
        <f>B36*C36</f>
        <v>26400</v>
      </c>
      <c r="E36" s="72">
        <f>1.04*D36</f>
        <v>27456</v>
      </c>
      <c r="F36" s="50">
        <f>SUM(D36:E36)</f>
        <v>53856</v>
      </c>
      <c r="G36" s="46"/>
      <c r="H36" s="89" t="s">
        <v>106</v>
      </c>
      <c r="I36" s="8">
        <f>+SUM(D12,D13,D14)</f>
        <v>33128.448466000002</v>
      </c>
      <c r="J36" s="8">
        <f>+SUM(E12,E13,E14)</f>
        <v>34122.301919980004</v>
      </c>
      <c r="K36" s="88"/>
    </row>
    <row r="37" spans="1:11" ht="12.75" customHeight="1" x14ac:dyDescent="0.2">
      <c r="A37" s="28" t="s">
        <v>100</v>
      </c>
      <c r="B37" s="75">
        <v>0.46700000000000003</v>
      </c>
      <c r="C37" s="46"/>
      <c r="D37" s="51">
        <f>D36*$B37</f>
        <v>12328.800000000001</v>
      </c>
      <c r="E37" s="51">
        <f>E36*$B37</f>
        <v>12821.952000000001</v>
      </c>
      <c r="F37" s="50">
        <f>SUM(D37:E37)</f>
        <v>25150.752</v>
      </c>
      <c r="G37" s="46"/>
      <c r="H37" s="89" t="s">
        <v>96</v>
      </c>
      <c r="I37" s="7">
        <f>+SUM(D30)</f>
        <v>3500</v>
      </c>
      <c r="J37" s="7">
        <f>+SUM(E30)</f>
        <v>3500</v>
      </c>
      <c r="K37" s="88"/>
    </row>
    <row r="38" spans="1:11" ht="12.75" customHeight="1" x14ac:dyDescent="0.2">
      <c r="A38" s="28"/>
      <c r="B38" s="75"/>
      <c r="C38" s="46"/>
      <c r="D38" s="51"/>
      <c r="E38" s="51"/>
      <c r="F38" s="50"/>
      <c r="G38" s="46"/>
      <c r="H38" s="90" t="s">
        <v>110</v>
      </c>
      <c r="I38" s="91">
        <f>I53</f>
        <v>78556.358800000002</v>
      </c>
      <c r="J38" s="91">
        <f>J53</f>
        <v>81485.813152000002</v>
      </c>
      <c r="K38" s="88"/>
    </row>
    <row r="39" spans="1:11" ht="12.75" customHeight="1" x14ac:dyDescent="0.2">
      <c r="A39" s="28" t="s">
        <v>96</v>
      </c>
      <c r="B39" s="75"/>
      <c r="C39" s="46"/>
      <c r="D39" s="51">
        <v>3500</v>
      </c>
      <c r="E39" s="51">
        <v>3500</v>
      </c>
      <c r="F39" s="50"/>
      <c r="G39" s="46"/>
      <c r="H39" s="89" t="s">
        <v>107</v>
      </c>
      <c r="I39" s="8">
        <f>+SUM(D50)</f>
        <v>63430.888331510003</v>
      </c>
      <c r="J39" s="8">
        <f>+SUM(E50)</f>
        <v>52794.139981455315</v>
      </c>
      <c r="K39" s="88"/>
    </row>
    <row r="40" spans="1:11" ht="12.75" customHeight="1" x14ac:dyDescent="0.2">
      <c r="A40" s="28"/>
      <c r="B40" s="75"/>
      <c r="C40" s="46"/>
      <c r="D40" s="51"/>
      <c r="E40" s="51"/>
      <c r="F40" s="50"/>
      <c r="G40" s="46"/>
      <c r="H40" s="89"/>
      <c r="I40" s="15"/>
      <c r="J40" s="15"/>
      <c r="K40" s="88"/>
    </row>
    <row r="41" spans="1:11" ht="12.75" customHeight="1" x14ac:dyDescent="0.2">
      <c r="A41" s="28"/>
      <c r="B41" s="75"/>
      <c r="C41" s="46"/>
      <c r="D41" s="51"/>
      <c r="E41" s="51"/>
      <c r="F41" s="50"/>
      <c r="G41" s="46"/>
      <c r="H41" s="92" t="s">
        <v>109</v>
      </c>
      <c r="I41" s="95">
        <f>SUM(I34:I40)</f>
        <v>247772.58389751002</v>
      </c>
      <c r="J41" s="95">
        <f>SUM(J34:J40)</f>
        <v>243133.85000243533</v>
      </c>
      <c r="K41" s="96">
        <f>SUM(I41:J41)</f>
        <v>490906.43389994535</v>
      </c>
    </row>
    <row r="42" spans="1:11" ht="12.75" customHeight="1" x14ac:dyDescent="0.2">
      <c r="A42" s="28" t="s">
        <v>94</v>
      </c>
      <c r="B42" s="75">
        <v>0.52</v>
      </c>
      <c r="C42" s="46"/>
      <c r="D42" s="51">
        <f>SUM(D34:D39)*$B42</f>
        <v>26874.543800000003</v>
      </c>
      <c r="E42" s="51">
        <f>SUM(E34:E39)*$B42</f>
        <v>27876.725552</v>
      </c>
      <c r="F42" s="50">
        <f>SUM(D42:E42)</f>
        <v>54751.269352000003</v>
      </c>
      <c r="G42" s="46"/>
      <c r="H42" s="89"/>
      <c r="I42" s="15"/>
      <c r="J42" s="15"/>
      <c r="K42" s="88"/>
    </row>
    <row r="43" spans="1:11" ht="12.75" customHeight="1" x14ac:dyDescent="0.2">
      <c r="A43" s="42" t="s">
        <v>95</v>
      </c>
      <c r="B43" s="75"/>
      <c r="C43" s="46"/>
      <c r="D43" s="51">
        <f>SUM(D34:D42)</f>
        <v>78556.358800000002</v>
      </c>
      <c r="E43" s="51">
        <f>SUM(E34:E42)</f>
        <v>81485.813152000002</v>
      </c>
      <c r="F43" s="50">
        <f>SUM(D43:E43)</f>
        <v>160042.171952</v>
      </c>
      <c r="G43" s="46"/>
      <c r="H43" s="89"/>
      <c r="I43" s="15"/>
      <c r="J43" s="15"/>
      <c r="K43" s="88"/>
    </row>
    <row r="44" spans="1:11" ht="12.75" customHeight="1" x14ac:dyDescent="0.2">
      <c r="A44" s="28"/>
      <c r="B44" s="75"/>
      <c r="C44" s="46"/>
      <c r="D44" s="51"/>
      <c r="E44" s="51"/>
      <c r="F44" s="50"/>
      <c r="G44" s="46"/>
      <c r="H44" s="89"/>
      <c r="I44" s="15"/>
      <c r="J44" s="15"/>
      <c r="K44" s="88"/>
    </row>
    <row r="45" spans="1:11" ht="38.25" customHeight="1" x14ac:dyDescent="0.2">
      <c r="A45" s="16" t="s">
        <v>71</v>
      </c>
      <c r="B45" s="76"/>
      <c r="C45" s="46"/>
      <c r="D45" s="51"/>
      <c r="E45" s="51">
        <f>D45*1.05</f>
        <v>0</v>
      </c>
      <c r="F45" s="50">
        <f>SUM(D45:E45)</f>
        <v>0</v>
      </c>
      <c r="G45" s="46" t="s">
        <v>87</v>
      </c>
      <c r="H45" s="89"/>
      <c r="I45" s="15"/>
      <c r="J45" s="15"/>
      <c r="K45" s="88"/>
    </row>
    <row r="46" spans="1:11" ht="12.75" customHeight="1" x14ac:dyDescent="0.2">
      <c r="A46" s="4"/>
      <c r="B46" s="75"/>
      <c r="C46" s="46"/>
      <c r="D46" s="50"/>
      <c r="E46" s="48"/>
      <c r="F46" s="50"/>
      <c r="G46" s="46"/>
      <c r="H46" s="92" t="s">
        <v>113</v>
      </c>
      <c r="I46" s="93" t="s">
        <v>103</v>
      </c>
      <c r="J46" s="15" t="s">
        <v>104</v>
      </c>
      <c r="K46" s="88"/>
    </row>
    <row r="47" spans="1:11" ht="12.75" customHeight="1" x14ac:dyDescent="0.2">
      <c r="A47" s="16" t="s">
        <v>72</v>
      </c>
      <c r="B47" s="76"/>
      <c r="C47" s="46"/>
      <c r="D47" s="50">
        <f>D17+D28+D30+D43+D45</f>
        <v>184341.69556600001</v>
      </c>
      <c r="E47" s="50">
        <f>E17+E28+E30+E43+E45</f>
        <v>190339.71002098004</v>
      </c>
      <c r="F47" s="50">
        <f>SUM(D47:E47)</f>
        <v>374681.40558698005</v>
      </c>
      <c r="G47" s="46"/>
      <c r="H47" s="86" t="s">
        <v>102</v>
      </c>
      <c r="I47" s="87">
        <f>D34</f>
        <v>7345</v>
      </c>
      <c r="J47" s="87">
        <f>E34</f>
        <v>7638.8</v>
      </c>
      <c r="K47" s="88"/>
    </row>
    <row r="48" spans="1:11" ht="12.75" customHeight="1" x14ac:dyDescent="0.2">
      <c r="A48" s="16" t="s">
        <v>73</v>
      </c>
      <c r="B48" s="76"/>
      <c r="C48" s="46"/>
      <c r="D48" s="50">
        <f>D47-D45-D43+25000</f>
        <v>130785.33676600001</v>
      </c>
      <c r="E48" s="50">
        <f>E47-E45-E43</f>
        <v>108853.89686898004</v>
      </c>
      <c r="F48" s="50">
        <f>SUM(D48:E48)</f>
        <v>239639.23363498005</v>
      </c>
      <c r="G48" s="46"/>
      <c r="H48" s="94" t="s">
        <v>114</v>
      </c>
      <c r="I48" s="87">
        <f>D36</f>
        <v>26400</v>
      </c>
      <c r="J48" s="87">
        <f>E36</f>
        <v>27456</v>
      </c>
      <c r="K48" s="88"/>
    </row>
    <row r="49" spans="1:11" ht="12.75" customHeight="1" x14ac:dyDescent="0.2">
      <c r="A49" s="4"/>
      <c r="B49" s="75"/>
      <c r="C49" s="46"/>
      <c r="D49" s="50"/>
      <c r="E49" s="50"/>
      <c r="F49" s="50"/>
      <c r="G49" s="46"/>
      <c r="H49" s="89" t="s">
        <v>106</v>
      </c>
      <c r="I49" s="8">
        <f>SUM(D35,D37)</f>
        <v>14436.815000000001</v>
      </c>
      <c r="J49" s="8">
        <f>SUM(E35,E37)</f>
        <v>15014.287600000001</v>
      </c>
      <c r="K49" s="88"/>
    </row>
    <row r="50" spans="1:11" ht="12.75" customHeight="1" x14ac:dyDescent="0.2">
      <c r="A50" s="16" t="s">
        <v>74</v>
      </c>
      <c r="B50" s="76">
        <v>0.48499999999999999</v>
      </c>
      <c r="C50" s="46"/>
      <c r="D50" s="50">
        <f>D48*0.485</f>
        <v>63430.888331510003</v>
      </c>
      <c r="E50" s="50">
        <f>E48*0.485</f>
        <v>52794.139981455315</v>
      </c>
      <c r="F50" s="50">
        <f>SUM(D50:E50)</f>
        <v>116225.02831296533</v>
      </c>
      <c r="G50" s="46"/>
      <c r="H50" s="89" t="s">
        <v>96</v>
      </c>
      <c r="I50" s="7">
        <f>D39</f>
        <v>3500</v>
      </c>
      <c r="J50" s="7">
        <f>E39</f>
        <v>3500</v>
      </c>
      <c r="K50" s="88"/>
    </row>
    <row r="51" spans="1:11" ht="12.75" customHeight="1" x14ac:dyDescent="0.2">
      <c r="A51" s="4"/>
      <c r="B51" s="75"/>
      <c r="C51" s="5"/>
      <c r="D51" s="7"/>
      <c r="E51" s="7"/>
      <c r="F51" s="7"/>
      <c r="G51" s="5"/>
      <c r="H51" s="89" t="s">
        <v>107</v>
      </c>
      <c r="I51" s="8">
        <f>D42</f>
        <v>26874.543800000003</v>
      </c>
      <c r="J51" s="8">
        <f>E42</f>
        <v>27876.725552</v>
      </c>
      <c r="K51" s="88"/>
    </row>
    <row r="52" spans="1:11" ht="12.75" customHeight="1" x14ac:dyDescent="0.2">
      <c r="A52" s="4"/>
      <c r="B52" s="75"/>
      <c r="C52" s="5"/>
      <c r="D52" s="7"/>
      <c r="E52" s="7"/>
      <c r="F52" s="7"/>
      <c r="G52" s="5"/>
      <c r="H52" s="86"/>
      <c r="I52" s="93"/>
      <c r="J52" s="93"/>
      <c r="K52" s="88"/>
    </row>
    <row r="53" spans="1:11" ht="13.5" customHeight="1" thickBot="1" x14ac:dyDescent="0.25">
      <c r="A53" s="16" t="s">
        <v>75</v>
      </c>
      <c r="B53" s="76"/>
      <c r="C53" s="5"/>
      <c r="D53" s="7">
        <f>SUM(D47,D50)</f>
        <v>247772.58389751002</v>
      </c>
      <c r="E53" s="7">
        <f>SUM(E47,E50)</f>
        <v>243133.85000243536</v>
      </c>
      <c r="F53" s="44">
        <f>SUM(D53:E53)</f>
        <v>490906.43389994535</v>
      </c>
      <c r="G53" s="45"/>
      <c r="H53" s="97" t="s">
        <v>109</v>
      </c>
      <c r="I53" s="98">
        <f>SUM(I47:I51)</f>
        <v>78556.358800000002</v>
      </c>
      <c r="J53" s="98">
        <f>SUM(J47:J51)</f>
        <v>81485.813152000002</v>
      </c>
      <c r="K53" s="99">
        <f>SUM(I53:J53)</f>
        <v>160042.171952</v>
      </c>
    </row>
    <row r="54" spans="1:11" ht="13.5" customHeight="1" thickTop="1" x14ac:dyDescent="0.2">
      <c r="A54" s="4"/>
      <c r="B54" s="75"/>
      <c r="C54" s="5"/>
      <c r="D54" s="7"/>
      <c r="E54" s="7"/>
      <c r="F54" s="43"/>
      <c r="G54" s="45"/>
    </row>
    <row r="55" spans="1:11" ht="12.75" customHeight="1" x14ac:dyDescent="0.2">
      <c r="A55" s="4"/>
      <c r="B55" s="75"/>
      <c r="C55" s="5"/>
      <c r="D55" s="7"/>
      <c r="E55" s="7"/>
      <c r="F55" s="43"/>
      <c r="G55" s="45"/>
      <c r="I55" s="9"/>
    </row>
    <row r="56" spans="1:11" ht="12.75" customHeight="1" x14ac:dyDescent="0.2">
      <c r="A56" s="4"/>
      <c r="B56" s="75"/>
      <c r="C56" s="5"/>
      <c r="D56" s="7"/>
      <c r="E56" s="7"/>
      <c r="F56" s="43"/>
      <c r="G56" s="45"/>
      <c r="I56" s="9"/>
    </row>
    <row r="57" spans="1:11" ht="12.75" customHeight="1" thickBot="1" x14ac:dyDescent="0.25">
      <c r="A57" s="4"/>
      <c r="B57" s="75"/>
      <c r="C57" s="5"/>
      <c r="D57" s="7"/>
      <c r="E57" s="7"/>
      <c r="F57" s="7"/>
      <c r="G57" s="5"/>
      <c r="H57" s="100" t="s">
        <v>118</v>
      </c>
      <c r="I57" s="101"/>
      <c r="J57" s="101"/>
    </row>
    <row r="58" spans="1:11" ht="12.75" customHeight="1" x14ac:dyDescent="0.2">
      <c r="A58" s="4"/>
      <c r="B58" s="75"/>
      <c r="C58" s="5"/>
      <c r="D58" s="7"/>
      <c r="F58" s="7"/>
      <c r="G58" s="5"/>
      <c r="H58" s="102" t="s">
        <v>115</v>
      </c>
      <c r="I58" s="103">
        <f>SUM(I47,I34)</f>
        <v>33829.3076</v>
      </c>
      <c r="J58" s="104">
        <f>SUM(J47,J34)</f>
        <v>34917.636828000002</v>
      </c>
    </row>
    <row r="59" spans="1:11" ht="12.75" customHeight="1" x14ac:dyDescent="0.2">
      <c r="A59" s="4"/>
      <c r="B59" s="75"/>
      <c r="C59" s="5"/>
      <c r="D59" s="7" t="s">
        <v>122</v>
      </c>
      <c r="E59" s="7">
        <v>448448</v>
      </c>
      <c r="F59" s="7"/>
      <c r="H59" s="105" t="s">
        <v>116</v>
      </c>
      <c r="I59" s="106">
        <f>SUM(I35,I48)</f>
        <v>69072.580700000006</v>
      </c>
      <c r="J59" s="107">
        <f>SUM(J35,J48)</f>
        <v>71408.758121000006</v>
      </c>
    </row>
    <row r="60" spans="1:11" ht="12.75" customHeight="1" x14ac:dyDescent="0.2">
      <c r="A60" s="4"/>
      <c r="B60" s="75"/>
      <c r="C60" s="5"/>
      <c r="D60" s="7" t="s">
        <v>123</v>
      </c>
      <c r="E60" s="7">
        <f>E59*1.1</f>
        <v>493292.80000000005</v>
      </c>
      <c r="F60" s="7"/>
      <c r="G60" s="5"/>
      <c r="H60" s="105" t="s">
        <v>117</v>
      </c>
      <c r="I60" s="108">
        <f>I36+I49</f>
        <v>47565.263466000004</v>
      </c>
      <c r="J60" s="109">
        <f>J36+J49</f>
        <v>49136.589519980007</v>
      </c>
    </row>
    <row r="61" spans="1:11" ht="12.75" customHeight="1" x14ac:dyDescent="0.2">
      <c r="A61" s="4"/>
      <c r="B61" s="75"/>
      <c r="C61" s="5"/>
      <c r="D61" s="7" t="s">
        <v>124</v>
      </c>
      <c r="E61" s="7">
        <f>E60-F53</f>
        <v>2386.3661000546999</v>
      </c>
      <c r="F61" s="7"/>
      <c r="G61" s="5"/>
      <c r="H61" s="105" t="s">
        <v>96</v>
      </c>
      <c r="I61" s="106">
        <f>SUM(I37,I50)</f>
        <v>7000</v>
      </c>
      <c r="J61" s="107">
        <f>SUM(J37,J50)</f>
        <v>7000</v>
      </c>
    </row>
    <row r="62" spans="1:11" ht="15" customHeight="1" x14ac:dyDescent="0.2">
      <c r="G62" s="5"/>
      <c r="H62" s="105" t="s">
        <v>107</v>
      </c>
      <c r="I62" s="110">
        <f>I51+I39</f>
        <v>90305.43213151001</v>
      </c>
      <c r="J62" s="111">
        <f>J51+J39</f>
        <v>80670.865533455319</v>
      </c>
    </row>
    <row r="63" spans="1:11" ht="15" customHeight="1" x14ac:dyDescent="0.2">
      <c r="E63" s="81"/>
      <c r="H63" s="105" t="s">
        <v>109</v>
      </c>
      <c r="I63" s="112">
        <f>SUM(I58:I62)</f>
        <v>247772.58389751002</v>
      </c>
      <c r="J63" s="113">
        <f>SUM(J58:J62)</f>
        <v>243133.85000243533</v>
      </c>
    </row>
    <row r="64" spans="1:11" ht="15" customHeight="1" x14ac:dyDescent="0.2">
      <c r="H64" s="114"/>
      <c r="I64" s="115"/>
      <c r="J64" s="116"/>
    </row>
    <row r="65" spans="8:10" ht="15" customHeight="1" thickBot="1" x14ac:dyDescent="0.25">
      <c r="H65" s="117"/>
      <c r="I65" s="118"/>
      <c r="J65" s="119">
        <f>SUM(I63:J63)</f>
        <v>490906.43389994535</v>
      </c>
    </row>
  </sheetData>
  <pageMargins left="0.7" right="0.7" top="0.75" bottom="0.75" header="0.3" footer="0.3"/>
  <pageSetup scale="7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G22" sqref="G22"/>
    </sheetView>
  </sheetViews>
  <sheetFormatPr defaultColWidth="17.28515625" defaultRowHeight="15" customHeight="1" x14ac:dyDescent="0.2"/>
  <cols>
    <col min="1" max="1" width="1.85546875" customWidth="1"/>
    <col min="2" max="2" width="19.28515625" customWidth="1"/>
    <col min="3" max="3" width="38" style="62" customWidth="1"/>
    <col min="6" max="6" width="2.42578125" customWidth="1"/>
  </cols>
  <sheetData>
    <row r="1" spans="1:6" ht="9.75" customHeight="1" x14ac:dyDescent="0.2">
      <c r="A1" s="1"/>
      <c r="B1" s="1"/>
      <c r="C1" s="55"/>
      <c r="D1" s="1"/>
      <c r="E1" s="1"/>
      <c r="F1" s="1"/>
    </row>
    <row r="2" spans="1:6" ht="12.75" x14ac:dyDescent="0.2">
      <c r="A2" s="3"/>
      <c r="B2" s="6" t="s">
        <v>0</v>
      </c>
      <c r="C2" s="56" t="s">
        <v>1</v>
      </c>
      <c r="D2" s="11"/>
      <c r="E2" s="12"/>
      <c r="F2" s="1"/>
    </row>
    <row r="3" spans="1:6" ht="12.75" x14ac:dyDescent="0.2">
      <c r="A3" s="1"/>
      <c r="B3" s="14"/>
      <c r="C3" s="57" t="s">
        <v>2</v>
      </c>
      <c r="D3" s="18" t="s">
        <v>5</v>
      </c>
      <c r="E3" s="19" t="s">
        <v>9</v>
      </c>
      <c r="F3" s="1"/>
    </row>
    <row r="4" spans="1:6" ht="12.75" x14ac:dyDescent="0.2">
      <c r="A4" s="1"/>
      <c r="B4" s="14"/>
      <c r="C4" s="58" t="s">
        <v>10</v>
      </c>
      <c r="D4" s="22">
        <v>50</v>
      </c>
      <c r="E4" s="23" t="s">
        <v>13</v>
      </c>
      <c r="F4" s="1"/>
    </row>
    <row r="5" spans="1:6" ht="12.75" x14ac:dyDescent="0.2">
      <c r="A5" s="1"/>
      <c r="B5" s="14"/>
      <c r="C5" s="58" t="s">
        <v>15</v>
      </c>
      <c r="D5" s="22">
        <v>1990</v>
      </c>
      <c r="E5" s="23" t="s">
        <v>16</v>
      </c>
      <c r="F5" s="1"/>
    </row>
    <row r="6" spans="1:6" ht="12.75" x14ac:dyDescent="0.2">
      <c r="A6" s="1"/>
      <c r="B6" s="14"/>
      <c r="C6" s="59" t="s">
        <v>17</v>
      </c>
      <c r="D6" s="24"/>
      <c r="E6" s="25"/>
      <c r="F6" s="1"/>
    </row>
    <row r="7" spans="1:6" ht="12.75" x14ac:dyDescent="0.2">
      <c r="A7" s="1"/>
      <c r="B7" s="14"/>
      <c r="C7" s="57" t="s">
        <v>18</v>
      </c>
      <c r="D7" s="24"/>
      <c r="E7" s="25"/>
      <c r="F7" s="1"/>
    </row>
    <row r="8" spans="1:6" ht="12.75" x14ac:dyDescent="0.2">
      <c r="A8" s="1"/>
      <c r="B8" s="14"/>
      <c r="C8" s="58" t="s">
        <v>19</v>
      </c>
      <c r="D8" s="22">
        <v>1859</v>
      </c>
      <c r="E8" s="23" t="s">
        <v>20</v>
      </c>
      <c r="F8" s="1"/>
    </row>
    <row r="9" spans="1:6" ht="12.75" x14ac:dyDescent="0.2">
      <c r="A9" s="1"/>
      <c r="B9" s="14"/>
      <c r="C9" s="58" t="s">
        <v>21</v>
      </c>
      <c r="D9" s="22">
        <v>2000</v>
      </c>
      <c r="E9" s="23" t="s">
        <v>22</v>
      </c>
      <c r="F9" s="1"/>
    </row>
    <row r="10" spans="1:6" ht="12.75" x14ac:dyDescent="0.2">
      <c r="A10" s="1"/>
      <c r="B10" s="14"/>
      <c r="C10" s="58" t="s">
        <v>23</v>
      </c>
      <c r="D10" s="27">
        <v>1000</v>
      </c>
      <c r="E10" s="23" t="s">
        <v>24</v>
      </c>
      <c r="F10" s="1"/>
    </row>
    <row r="11" spans="1:6" ht="12.75" x14ac:dyDescent="0.2">
      <c r="A11" s="1"/>
      <c r="B11" s="14"/>
      <c r="C11" s="58" t="s">
        <v>25</v>
      </c>
      <c r="D11" s="24">
        <f>SUM(D8:D10)</f>
        <v>4859</v>
      </c>
      <c r="E11" s="25"/>
      <c r="F11" s="1"/>
    </row>
    <row r="12" spans="1:6" ht="12.75" x14ac:dyDescent="0.2">
      <c r="A12" s="1"/>
      <c r="B12" s="30"/>
      <c r="C12" s="60"/>
      <c r="D12" s="31"/>
      <c r="E12" s="32"/>
      <c r="F12" s="1"/>
    </row>
    <row r="13" spans="1:6" ht="12.75" x14ac:dyDescent="0.2">
      <c r="A13" s="3"/>
      <c r="B13" s="6" t="s">
        <v>26</v>
      </c>
      <c r="C13" s="56" t="s">
        <v>27</v>
      </c>
      <c r="D13" s="10" t="s">
        <v>28</v>
      </c>
      <c r="E13" s="33" t="s">
        <v>29</v>
      </c>
      <c r="F13" s="1"/>
    </row>
    <row r="14" spans="1:6" ht="12.75" x14ac:dyDescent="0.2">
      <c r="A14" s="1"/>
      <c r="B14" s="30"/>
      <c r="C14" s="60" t="s">
        <v>30</v>
      </c>
      <c r="D14" s="35">
        <v>3000</v>
      </c>
      <c r="E14" s="36" t="s">
        <v>31</v>
      </c>
      <c r="F14" s="1"/>
    </row>
    <row r="15" spans="1:6" ht="12.75" x14ac:dyDescent="0.2">
      <c r="A15" s="3"/>
      <c r="B15" s="6" t="s">
        <v>33</v>
      </c>
      <c r="C15" s="61"/>
      <c r="D15" s="10" t="s">
        <v>34</v>
      </c>
      <c r="E15" s="33" t="s">
        <v>35</v>
      </c>
      <c r="F15" s="1"/>
    </row>
    <row r="16" spans="1:6" ht="45" x14ac:dyDescent="0.2">
      <c r="A16" s="1"/>
      <c r="B16" s="14"/>
      <c r="C16" s="58" t="s">
        <v>36</v>
      </c>
      <c r="D16" s="22">
        <v>8560</v>
      </c>
      <c r="E16" s="23" t="s">
        <v>37</v>
      </c>
      <c r="F16" s="1"/>
    </row>
    <row r="17" spans="1:6" ht="33.75" x14ac:dyDescent="0.2">
      <c r="A17" s="1"/>
      <c r="B17" s="14"/>
      <c r="C17" s="58" t="s">
        <v>38</v>
      </c>
      <c r="D17" s="22">
        <v>1910</v>
      </c>
      <c r="E17" s="23" t="s">
        <v>39</v>
      </c>
      <c r="F17" s="1"/>
    </row>
    <row r="18" spans="1:6" ht="12.75" x14ac:dyDescent="0.2">
      <c r="A18" s="1"/>
      <c r="B18" s="14"/>
      <c r="C18" s="58" t="s">
        <v>40</v>
      </c>
      <c r="D18" s="22">
        <v>5000</v>
      </c>
      <c r="E18" s="23" t="s">
        <v>41</v>
      </c>
      <c r="F18" s="1"/>
    </row>
    <row r="19" spans="1:6" ht="12.75" x14ac:dyDescent="0.2">
      <c r="A19" s="1"/>
      <c r="B19" s="14"/>
      <c r="C19" s="58" t="s">
        <v>42</v>
      </c>
      <c r="D19" s="24"/>
      <c r="E19" s="25"/>
      <c r="F19" s="1"/>
    </row>
    <row r="20" spans="1:6" ht="12.75" x14ac:dyDescent="0.2">
      <c r="A20" s="3"/>
      <c r="B20" s="6" t="s">
        <v>44</v>
      </c>
      <c r="C20" s="56" t="s">
        <v>45</v>
      </c>
      <c r="D20" s="10" t="s">
        <v>46</v>
      </c>
      <c r="E20" s="33" t="s">
        <v>47</v>
      </c>
      <c r="F20" s="1"/>
    </row>
    <row r="21" spans="1:6" ht="12.75" x14ac:dyDescent="0.2">
      <c r="A21" s="1"/>
      <c r="B21" s="30"/>
      <c r="C21" s="60" t="s">
        <v>48</v>
      </c>
      <c r="D21" s="34" t="s">
        <v>49</v>
      </c>
      <c r="E21" s="36" t="s">
        <v>50</v>
      </c>
      <c r="F21" s="1"/>
    </row>
    <row r="22" spans="1:6" ht="12.75" x14ac:dyDescent="0.2">
      <c r="A22" s="3"/>
      <c r="B22" s="37" t="s">
        <v>51</v>
      </c>
      <c r="C22" s="58" t="s">
        <v>52</v>
      </c>
      <c r="D22" s="38" t="s">
        <v>53</v>
      </c>
      <c r="E22" s="39" t="s">
        <v>54</v>
      </c>
      <c r="F22" s="1"/>
    </row>
    <row r="23" spans="1:6" ht="12.75" x14ac:dyDescent="0.2">
      <c r="A23" s="1"/>
      <c r="B23" s="40"/>
      <c r="C23" s="58" t="s">
        <v>55</v>
      </c>
      <c r="D23" s="27" t="s">
        <v>56</v>
      </c>
      <c r="E23" s="23" t="s">
        <v>57</v>
      </c>
      <c r="F23" s="1"/>
    </row>
    <row r="24" spans="1:6" ht="9" customHeight="1" x14ac:dyDescent="0.2">
      <c r="A24" s="1"/>
      <c r="B24" s="1"/>
      <c r="C24" s="55"/>
      <c r="D24" s="1"/>
      <c r="E24" s="1"/>
      <c r="F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PSU</vt:lpstr>
      <vt:lpstr>breakdowns</vt:lpstr>
      <vt:lpstr>PSU!Print_Area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Braman</dc:creator>
  <cp:lastModifiedBy>Robert Scheller</cp:lastModifiedBy>
  <cp:lastPrinted>2015-01-23T00:31:26Z</cp:lastPrinted>
  <dcterms:created xsi:type="dcterms:W3CDTF">2015-01-23T00:16:57Z</dcterms:created>
  <dcterms:modified xsi:type="dcterms:W3CDTF">2016-08-01T17:13:40Z</dcterms:modified>
</cp:coreProperties>
</file>