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asdrss/ENVIRONMENTAL SCIENCE &amp; MANAGEMENT/Scheller/USFS Lake Tahoe 2016-10/"/>
    </mc:Choice>
  </mc:AlternateContent>
  <bookViews>
    <workbookView xWindow="65160" yWindow="1260" windowWidth="29200" windowHeight="17160" activeTab="1"/>
  </bookViews>
  <sheets>
    <sheet name="48.5 IDC" sheetId="1" r:id="rId1"/>
    <sheet name="37.4 IDC" sheetId="2" r:id="rId2"/>
  </sheets>
  <definedNames>
    <definedName name="_xlnm.Print_Area" localSheetId="0">'48.5 IDC'!$A$1:$J$54</definedName>
    <definedName name="Z_81AC4E53_F99F_4836_B032_227F9E8FCF57_.wvu.PrintArea" localSheetId="0" hidden="1">'48.5 IDC'!$A$1:$I$54</definedName>
    <definedName name="Z_9DB0A077_28AD_433E_9D96_33B21ABCA4D8_.wvu.PrintArea" localSheetId="0" hidden="1">'48.5 IDC'!$A$1:$I$54</definedName>
    <definedName name="Z_A47F1B80_7681_4676_9923_D9D4F64EB46B_.wvu.PrintArea" localSheetId="0" hidden="1">'48.5 IDC'!$A$1:$I$54</definedName>
    <definedName name="Z_A7202596_ED82_49DB_9D54_0C5933B5F4AB_.wvu.PrintArea" localSheetId="0" hidden="1">'48.5 IDC'!$A$1:$I$54</definedName>
    <definedName name="Z_DE0885C5_016B_E241_BDCD_7B91209561D7_.wvu.PrintArea" localSheetId="0" hidden="1">'48.5 IDC'!$A$1:$I$54</definedName>
    <definedName name="Z_E3CF66F7_6813_4515_8288_FEBCAE0F0009_.wvu.PrintArea" localSheetId="0" hidden="1">'48.5 IDC'!$A$1:$J$54</definedName>
    <definedName name="Z_E7A55D62_BF7A_11E0_B75E_001B63BB0B47_.wvu.PrintArea" localSheetId="0" hidden="1">'48.5 IDC'!$A$1:$I$54</definedName>
    <definedName name="Z_FE5D4A4A_65B2_7E41_8096_7C416D25A57C_.wvu.PrintArea" localSheetId="0" hidden="1">'48.5 IDC'!$A$1:$J$54</definedName>
  </definedNames>
  <calcPr calcId="150001" concurrentCalc="0"/>
  <customWorkbookViews>
    <customWorkbookView name="Nicole Braman - Personal View" guid="{A7202596-ED82-49DB-9D54-0C5933B5F4AB}" mergeInterval="0" personalView="1" xWindow="182" yWindow="4" windowWidth="1730" windowHeight="1010" activeSheetId="1"/>
    <customWorkbookView name="rmschell-admin - Personal View" guid="{9DB0A077-28AD-433E-9D96-33B21ABCA4D8}" mergeInterval="0" personalView="1" maximized="1" windowWidth="1184" windowHeight="594" activeSheetId="1"/>
    <customWorkbookView name="Erika Marin-Spiotta - Personal View" guid="{E7A55D62-BF7A-11E0-B75E-001B63BB0B47}" mergeInterval="0" personalView="1" xWindow="-17" yWindow="36" windowWidth="1280" windowHeight="781" activeSheetId="1" showFormulaBar="0"/>
    <customWorkbookView name="rmschell - Personal View" guid="{81AC4E53-F99F-4836-B032-227F9E8FCF57}" mergeInterval="0" personalView="1" maximized="1" windowWidth="1920" windowHeight="894" activeSheetId="1"/>
    <customWorkbookView name="Megan Hagler - Personal View" guid="{E3CF66F7-6813-4515-8288-FEBCAE0F0009}" mergeInterval="0" personalView="1" maximized="1" windowWidth="1830" windowHeight="752" activeSheetId="1"/>
    <customWorkbookView name="Robert Scheller - Personal View" guid="{A47F1B80-7681-4676-9923-D9D4F64EB46B}" mergeInterval="0" personalView="1" maximized="1" windowWidth="1564" windowHeight="595" activeSheetId="1"/>
    <customWorkbookView name="Alec Kretchun - Personal View" guid="{DE0885C5-016B-E241-BDCD-7B91209561D7}" mergeInterval="0" personalView="1" xWindow="26" yWindow="74" windowWidth="1300" windowHeight="1190" activeSheetId="1"/>
    <customWorkbookView name="Microsoft Office User - Personal View" guid="{FE5D4A4A-65B2-7E41-8096-7C416D25A57C}" mergeInterval="0" personalView="1" windowWidth="1553" windowHeight="680" activeSheetId="2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12" i="2"/>
  <c r="I17" i="2"/>
  <c r="I20" i="2"/>
  <c r="I46" i="2"/>
  <c r="I48" i="2"/>
  <c r="I50" i="2"/>
  <c r="I55" i="2"/>
  <c r="P9" i="2"/>
  <c r="O9" i="2"/>
  <c r="Q9" i="2"/>
  <c r="I25" i="2"/>
  <c r="E2" i="1"/>
  <c r="H6" i="2"/>
  <c r="I6" i="2"/>
  <c r="H9" i="2"/>
  <c r="I15" i="2"/>
  <c r="R27" i="2"/>
  <c r="R28" i="2"/>
  <c r="R29" i="2"/>
  <c r="R30" i="2"/>
  <c r="R31" i="2"/>
  <c r="R32" i="2"/>
  <c r="I28" i="2"/>
  <c r="I32" i="2"/>
  <c r="I41" i="2"/>
  <c r="J6" i="2"/>
  <c r="J7" i="2"/>
  <c r="J9" i="2"/>
  <c r="J12" i="2"/>
  <c r="J15" i="2"/>
  <c r="J16" i="2"/>
  <c r="J17" i="2"/>
  <c r="J20" i="2"/>
  <c r="J25" i="2"/>
  <c r="J28" i="2"/>
  <c r="J32" i="2"/>
  <c r="J41" i="2"/>
  <c r="J46" i="2"/>
  <c r="J48" i="2"/>
  <c r="K6" i="2"/>
  <c r="K9" i="2"/>
  <c r="K12" i="2"/>
  <c r="K15" i="2"/>
  <c r="K17" i="2"/>
  <c r="K20" i="2"/>
  <c r="K25" i="2"/>
  <c r="K28" i="2"/>
  <c r="K32" i="2"/>
  <c r="K41" i="2"/>
  <c r="K46" i="2"/>
  <c r="K48" i="2"/>
  <c r="L51" i="2"/>
  <c r="L7" i="2"/>
  <c r="L12" i="2"/>
  <c r="L16" i="2"/>
  <c r="L20" i="2"/>
  <c r="L28" i="2"/>
  <c r="L32" i="2"/>
  <c r="L41" i="2"/>
  <c r="L46" i="2"/>
  <c r="L48" i="2"/>
  <c r="L50" i="2"/>
  <c r="M12" i="2"/>
  <c r="M6" i="2"/>
  <c r="M7" i="2"/>
  <c r="M20" i="2"/>
  <c r="M22" i="2"/>
  <c r="M16" i="2"/>
  <c r="Q6" i="1"/>
  <c r="Q9" i="1"/>
  <c r="H9" i="1"/>
  <c r="I9" i="1"/>
  <c r="J9" i="1"/>
  <c r="K9" i="1"/>
  <c r="I17" i="1"/>
  <c r="J17" i="1"/>
  <c r="K17" i="1"/>
  <c r="P9" i="1"/>
  <c r="R9" i="1"/>
  <c r="H6" i="1"/>
  <c r="I6" i="1"/>
  <c r="J6" i="1"/>
  <c r="K6" i="1"/>
  <c r="I15" i="1"/>
  <c r="J15" i="1"/>
  <c r="K15" i="1"/>
  <c r="P6" i="1"/>
  <c r="L6" i="1"/>
  <c r="L12" i="1"/>
  <c r="L16" i="1"/>
  <c r="L20" i="1"/>
  <c r="L28" i="1"/>
  <c r="L32" i="1"/>
  <c r="L41" i="1"/>
  <c r="L46" i="1"/>
  <c r="L48" i="1"/>
  <c r="L50" i="1"/>
  <c r="K12" i="1"/>
  <c r="K20" i="1"/>
  <c r="R27" i="1"/>
  <c r="R28" i="1"/>
  <c r="R29" i="1"/>
  <c r="R30" i="1"/>
  <c r="R31" i="1"/>
  <c r="R32" i="1"/>
  <c r="K25" i="1"/>
  <c r="K28" i="1"/>
  <c r="K32" i="1"/>
  <c r="K41" i="1"/>
  <c r="K46" i="1"/>
  <c r="K48" i="1"/>
  <c r="K50" i="1"/>
  <c r="J12" i="1"/>
  <c r="J20" i="1"/>
  <c r="J28" i="1"/>
  <c r="J32" i="1"/>
  <c r="J41" i="1"/>
  <c r="J46" i="1"/>
  <c r="J48" i="1"/>
  <c r="J50" i="1"/>
  <c r="I12" i="1"/>
  <c r="I20" i="1"/>
  <c r="I25" i="1"/>
  <c r="I28" i="1"/>
  <c r="I32" i="1"/>
  <c r="I41" i="1"/>
  <c r="I46" i="1"/>
  <c r="I48" i="1"/>
  <c r="I50" i="1"/>
  <c r="K55" i="1"/>
  <c r="I55" i="1"/>
  <c r="J55" i="1"/>
  <c r="J58" i="1"/>
  <c r="M50" i="1"/>
  <c r="M9" i="1"/>
  <c r="L55" i="1"/>
  <c r="M12" i="1"/>
  <c r="M20" i="1"/>
  <c r="M25" i="1"/>
  <c r="M26" i="1"/>
  <c r="M27" i="1"/>
  <c r="M28" i="1"/>
  <c r="M31" i="1"/>
  <c r="M32" i="1"/>
  <c r="M35" i="1"/>
  <c r="M36" i="1"/>
  <c r="M37" i="1"/>
  <c r="M38" i="1"/>
  <c r="M39" i="1"/>
  <c r="M40" i="1"/>
  <c r="M41" i="1"/>
  <c r="M44" i="1"/>
  <c r="M46" i="1"/>
  <c r="M55" i="1"/>
  <c r="M57" i="1"/>
  <c r="M59" i="1"/>
  <c r="M48" i="1"/>
  <c r="M22" i="1"/>
  <c r="L22" i="1"/>
  <c r="K22" i="1"/>
  <c r="J22" i="1"/>
  <c r="I22" i="1"/>
  <c r="M18" i="1"/>
  <c r="M17" i="1"/>
  <c r="M16" i="1"/>
  <c r="M15" i="1"/>
  <c r="R6" i="1"/>
  <c r="M6" i="1"/>
  <c r="J50" i="2"/>
  <c r="J55" i="2"/>
  <c r="K50" i="2"/>
  <c r="K55" i="2"/>
  <c r="J58" i="2"/>
  <c r="L55" i="2"/>
  <c r="M25" i="2"/>
  <c r="M26" i="2"/>
  <c r="M27" i="2"/>
  <c r="M28" i="2"/>
  <c r="M31" i="2"/>
  <c r="M32" i="2"/>
  <c r="M35" i="2"/>
  <c r="M36" i="2"/>
  <c r="M37" i="2"/>
  <c r="M38" i="2"/>
  <c r="M39" i="2"/>
  <c r="M40" i="2"/>
  <c r="M41" i="2"/>
  <c r="M44" i="2"/>
  <c r="M46" i="2"/>
  <c r="M50" i="2"/>
  <c r="M51" i="2"/>
  <c r="M55" i="2"/>
  <c r="M57" i="2"/>
  <c r="M59" i="2"/>
  <c r="M48" i="2"/>
  <c r="K22" i="2"/>
  <c r="J22" i="2"/>
  <c r="M9" i="2"/>
  <c r="M18" i="2"/>
  <c r="M17" i="2"/>
  <c r="M15" i="2"/>
  <c r="L22" i="2"/>
  <c r="I22" i="2"/>
</calcChain>
</file>

<file path=xl/sharedStrings.xml><?xml version="1.0" encoding="utf-8"?>
<sst xmlns="http://schemas.openxmlformats.org/spreadsheetml/2006/main" count="160" uniqueCount="77">
  <si>
    <t xml:space="preserve"> </t>
  </si>
  <si>
    <t>B. Other Personnel</t>
  </si>
  <si>
    <t>C.  Fringe Benefits</t>
  </si>
  <si>
    <t>A. SENIOR PERSONNEL</t>
  </si>
  <si>
    <t>TOTAL SALARIES &amp; FRINGE BENEFITS</t>
  </si>
  <si>
    <t>INDIRECT COSTS</t>
  </si>
  <si>
    <t xml:space="preserve">TOTAL COSTS </t>
  </si>
  <si>
    <t>D.  TRAVEL</t>
  </si>
  <si>
    <t>E. EQUIPMENT</t>
  </si>
  <si>
    <t>Tuition Remission</t>
  </si>
  <si>
    <t xml:space="preserve">TOTAL DIRECT COSTS </t>
  </si>
  <si>
    <t>F. OTHER  DIRECT COSTS</t>
  </si>
  <si>
    <t>TOTAL OTHER COSTS</t>
  </si>
  <si>
    <t>Publication</t>
  </si>
  <si>
    <t>Fieldwork travel</t>
  </si>
  <si>
    <t>Participant travel and expenses</t>
  </si>
  <si>
    <t>Outreach travel</t>
  </si>
  <si>
    <t>TOTAL TRAVEL</t>
  </si>
  <si>
    <t>TOTAL EQUIP</t>
  </si>
  <si>
    <t>TOTAL FRINGE</t>
  </si>
  <si>
    <t>TOTAL SALARY</t>
  </si>
  <si>
    <t>** 3% yearly increase in salaries</t>
  </si>
  <si>
    <t>Field work supplies</t>
  </si>
  <si>
    <t>Software</t>
  </si>
  <si>
    <t>G. SUBAGREEMENTS</t>
  </si>
  <si>
    <t xml:space="preserve">TOTAL SUBAGREEMENT </t>
  </si>
  <si>
    <t>(All costs minus tuition remission, equipment,  participant costs, and subagreement&gt;25000)</t>
  </si>
  <si>
    <t>Indirect Base (MTDC)</t>
  </si>
  <si>
    <t>Lab work supplies</t>
  </si>
  <si>
    <t>R. Scheller</t>
  </si>
  <si>
    <t>Co-PI</t>
  </si>
  <si>
    <t>Summer</t>
  </si>
  <si>
    <t>FTE</t>
  </si>
  <si>
    <t>ASR</t>
  </si>
  <si>
    <t>Calendar Year</t>
  </si>
  <si>
    <t>lodging</t>
  </si>
  <si>
    <t>air</t>
  </si>
  <si>
    <t>per diem</t>
  </si>
  <si>
    <t>reg fee</t>
  </si>
  <si>
    <t>ground trans</t>
  </si>
  <si>
    <t>rate</t>
  </si>
  <si>
    <t>total</t>
  </si>
  <si>
    <t>Research Assistant</t>
  </si>
  <si>
    <t>TOTAL</t>
  </si>
  <si>
    <t>Meeting Travel</t>
  </si>
  <si>
    <t>A. Kretchun</t>
  </si>
  <si>
    <t>Months</t>
  </si>
  <si>
    <t>Required</t>
  </si>
  <si>
    <t>Match</t>
  </si>
  <si>
    <t>Unrecovered F&amp;A (48.5%-17.5%)</t>
  </si>
  <si>
    <t>Academic Year</t>
  </si>
  <si>
    <t>nights/ days</t>
  </si>
  <si>
    <t>Total</t>
  </si>
  <si>
    <t>No. Day</t>
  </si>
  <si>
    <t>Cost per day</t>
  </si>
  <si>
    <t>FS in-kind contribution</t>
  </si>
  <si>
    <t>Mo. Match</t>
  </si>
  <si>
    <t>Initial funding</t>
  </si>
  <si>
    <t>Potential addition</t>
  </si>
  <si>
    <t>Initital</t>
  </si>
  <si>
    <t>Additional</t>
  </si>
  <si>
    <t>12/2016-11/2017</t>
  </si>
  <si>
    <t>3/2017-12/2018</t>
  </si>
  <si>
    <t>1/2019-5/2018</t>
  </si>
  <si>
    <t>USFS Requested Total</t>
  </si>
  <si>
    <t>Total for calculating match</t>
  </si>
  <si>
    <t>$5k on each $50 estimated</t>
  </si>
  <si>
    <t>Estimated $5k on each $50k from USFS</t>
  </si>
  <si>
    <t>Includes course buyout (1.6 months)</t>
  </si>
  <si>
    <t>PI - Summer</t>
  </si>
  <si>
    <t>PI-Course Buyout; AY Match</t>
  </si>
  <si>
    <t>12/2016-2/2017</t>
  </si>
  <si>
    <t>1/2017-12/2018</t>
  </si>
  <si>
    <t>1/2019-6/2018</t>
  </si>
  <si>
    <t>Alec</t>
  </si>
  <si>
    <t>Days</t>
  </si>
  <si>
    <t>Cost/day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</si>
</sst>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&quot;$&quot;#,##0.000"/>
    <numFmt numFmtId="168" formatCode="0.0"/>
    <numFmt numFmtId="169" formatCode="&quot;$&quot;#,##0.00"/>
    <numFmt numFmtId="170" formatCode="0.000"/>
    <numFmt numFmtId="171" formatCode="0.0000"/>
    <numFmt numFmtId="172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8"/>
      <name val="Verdana"/>
    </font>
    <font>
      <sz val="14"/>
      <color rgb="FFFF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/>
    <xf numFmtId="165" fontId="2" fillId="0" borderId="0" xfId="3" applyNumberFormat="1" applyFont="1"/>
    <xf numFmtId="9" fontId="2" fillId="0" borderId="0" xfId="3" applyFont="1"/>
    <xf numFmtId="0" fontId="3" fillId="0" borderId="1" xfId="0" applyFont="1" applyBorder="1"/>
    <xf numFmtId="0" fontId="2" fillId="0" borderId="2" xfId="0" applyFont="1" applyBorder="1"/>
    <xf numFmtId="10" fontId="2" fillId="0" borderId="0" xfId="0" applyNumberFormat="1" applyFont="1"/>
    <xf numFmtId="0" fontId="2" fillId="0" borderId="0" xfId="0" applyFont="1" applyFill="1" applyAlignment="1">
      <alignment wrapText="1"/>
    </xf>
    <xf numFmtId="166" fontId="2" fillId="0" borderId="0" xfId="0" applyNumberFormat="1" applyFont="1"/>
    <xf numFmtId="166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6" fontId="2" fillId="0" borderId="0" xfId="1" applyNumberFormat="1" applyFont="1"/>
    <xf numFmtId="166" fontId="2" fillId="0" borderId="0" xfId="1" applyNumberFormat="1" applyFont="1" applyAlignment="1">
      <alignment horizontal="right"/>
    </xf>
    <xf numFmtId="166" fontId="2" fillId="0" borderId="4" xfId="1" applyNumberFormat="1" applyFont="1" applyBorder="1"/>
    <xf numFmtId="166" fontId="2" fillId="0" borderId="4" xfId="1" applyNumberFormat="1" applyFont="1" applyBorder="1" applyAlignment="1">
      <alignment horizontal="right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2" fillId="0" borderId="2" xfId="2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5" xfId="1" applyNumberFormat="1" applyFont="1" applyBorder="1" applyAlignment="1">
      <alignment horizontal="right"/>
    </xf>
    <xf numFmtId="44" fontId="2" fillId="0" borderId="0" xfId="0" applyNumberFormat="1" applyFont="1"/>
    <xf numFmtId="44" fontId="3" fillId="0" borderId="0" xfId="0" applyNumberFormat="1" applyFont="1" applyAlignment="1">
      <alignment horizontal="center"/>
    </xf>
    <xf numFmtId="44" fontId="2" fillId="0" borderId="0" xfId="3" applyNumberFormat="1" applyFont="1"/>
    <xf numFmtId="44" fontId="2" fillId="0" borderId="2" xfId="0" applyNumberFormat="1" applyFont="1" applyBorder="1"/>
    <xf numFmtId="0" fontId="2" fillId="0" borderId="0" xfId="0" applyFont="1" applyFill="1"/>
    <xf numFmtId="44" fontId="2" fillId="0" borderId="0" xfId="0" applyNumberFormat="1" applyFont="1" applyFill="1"/>
    <xf numFmtId="44" fontId="2" fillId="0" borderId="0" xfId="3" applyNumberFormat="1" applyFont="1" applyFill="1" applyAlignment="1">
      <alignment horizontal="center"/>
    </xf>
    <xf numFmtId="165" fontId="2" fillId="0" borderId="0" xfId="3" applyNumberFormat="1" applyFont="1" applyFill="1"/>
    <xf numFmtId="44" fontId="2" fillId="0" borderId="0" xfId="3" applyNumberFormat="1" applyFont="1" applyFill="1"/>
    <xf numFmtId="9" fontId="2" fillId="0" borderId="0" xfId="3" applyFont="1" applyFill="1"/>
    <xf numFmtId="44" fontId="2" fillId="2" borderId="0" xfId="0" applyNumberFormat="1" applyFont="1" applyFill="1"/>
    <xf numFmtId="44" fontId="2" fillId="2" borderId="0" xfId="3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right"/>
    </xf>
    <xf numFmtId="0" fontId="2" fillId="2" borderId="0" xfId="0" applyFont="1" applyFill="1"/>
    <xf numFmtId="166" fontId="2" fillId="2" borderId="0" xfId="1" applyNumberFormat="1" applyFont="1" applyFill="1" applyBorder="1" applyAlignment="1">
      <alignment horizontal="right"/>
    </xf>
    <xf numFmtId="166" fontId="2" fillId="2" borderId="4" xfId="1" applyNumberFormat="1" applyFont="1" applyFill="1" applyBorder="1"/>
    <xf numFmtId="166" fontId="2" fillId="2" borderId="0" xfId="1" applyNumberFormat="1" applyFont="1" applyFill="1" applyBorder="1"/>
    <xf numFmtId="0" fontId="2" fillId="0" borderId="0" xfId="0" applyFont="1" applyAlignment="1">
      <alignment horizontal="left" wrapText="1"/>
    </xf>
    <xf numFmtId="4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 wrapText="1"/>
    </xf>
    <xf numFmtId="164" fontId="2" fillId="0" borderId="0" xfId="1" applyNumberFormat="1" applyFont="1" applyAlignment="1">
      <alignment horizontal="left" wrapText="1"/>
    </xf>
    <xf numFmtId="164" fontId="2" fillId="0" borderId="0" xfId="1" applyNumberFormat="1" applyFont="1" applyFill="1" applyAlignment="1">
      <alignment horizontal="left" wrapText="1"/>
    </xf>
    <xf numFmtId="10" fontId="2" fillId="0" borderId="0" xfId="1" applyNumberFormat="1" applyFont="1" applyFill="1" applyAlignment="1">
      <alignment horizontal="left" wrapText="1"/>
    </xf>
    <xf numFmtId="164" fontId="2" fillId="2" borderId="0" xfId="1" applyNumberFormat="1" applyFont="1" applyFill="1" applyAlignment="1">
      <alignment horizontal="left" wrapText="1"/>
    </xf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2" borderId="0" xfId="0" applyFont="1" applyFill="1" applyBorder="1"/>
    <xf numFmtId="0" fontId="2" fillId="0" borderId="10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2" xfId="0" applyFont="1" applyBorder="1"/>
    <xf numFmtId="164" fontId="2" fillId="0" borderId="0" xfId="1" applyNumberFormat="1" applyFont="1" applyFill="1" applyAlignment="1">
      <alignment horizontal="left" vertical="top" wrapText="1"/>
    </xf>
    <xf numFmtId="166" fontId="2" fillId="0" borderId="4" xfId="1" applyNumberFormat="1" applyFont="1" applyFill="1" applyBorder="1"/>
    <xf numFmtId="166" fontId="2" fillId="0" borderId="4" xfId="1" applyNumberFormat="1" applyFont="1" applyFill="1" applyBorder="1" applyAlignment="1"/>
    <xf numFmtId="44" fontId="2" fillId="0" borderId="0" xfId="3" applyNumberFormat="1" applyFont="1" applyBorder="1"/>
    <xf numFmtId="167" fontId="2" fillId="0" borderId="0" xfId="0" applyNumberFormat="1" applyFont="1"/>
    <xf numFmtId="166" fontId="2" fillId="0" borderId="0" xfId="1" applyNumberFormat="1" applyFont="1" applyFill="1"/>
    <xf numFmtId="166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166" fontId="2" fillId="0" borderId="0" xfId="0" applyNumberFormat="1" applyFont="1" applyFill="1"/>
    <xf numFmtId="166" fontId="2" fillId="0" borderId="4" xfId="1" applyNumberFormat="1" applyFont="1" applyFill="1" applyBorder="1" applyAlignment="1">
      <alignment horizontal="right"/>
    </xf>
    <xf numFmtId="166" fontId="2" fillId="0" borderId="0" xfId="0" applyNumberFormat="1" applyFont="1" applyFill="1" applyAlignment="1">
      <alignment horizontal="right"/>
    </xf>
    <xf numFmtId="10" fontId="2" fillId="0" borderId="0" xfId="1" applyNumberFormat="1" applyFont="1" applyFill="1"/>
    <xf numFmtId="10" fontId="2" fillId="0" borderId="0" xfId="0" applyNumberFormat="1" applyFont="1" applyFill="1"/>
    <xf numFmtId="166" fontId="2" fillId="0" borderId="0" xfId="1" applyNumberFormat="1" applyFont="1" applyFill="1" applyAlignment="1">
      <alignment horizontal="center"/>
    </xf>
    <xf numFmtId="6" fontId="2" fillId="0" borderId="0" xfId="3" applyNumberFormat="1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3" applyNumberFormat="1" applyFont="1" applyFill="1" applyAlignment="1">
      <alignment horizontal="center"/>
    </xf>
    <xf numFmtId="168" fontId="2" fillId="0" borderId="0" xfId="3" applyNumberFormat="1" applyFont="1" applyFill="1" applyAlignment="1">
      <alignment horizontal="center"/>
    </xf>
    <xf numFmtId="168" fontId="2" fillId="3" borderId="0" xfId="3" applyNumberFormat="1" applyFont="1" applyFill="1" applyAlignment="1">
      <alignment horizontal="center"/>
    </xf>
    <xf numFmtId="9" fontId="2" fillId="0" borderId="0" xfId="3" applyNumberFormat="1" applyFont="1"/>
    <xf numFmtId="166" fontId="2" fillId="0" borderId="5" xfId="3" applyNumberFormat="1" applyFont="1" applyBorder="1"/>
    <xf numFmtId="166" fontId="2" fillId="0" borderId="0" xfId="3" applyNumberFormat="1" applyFont="1"/>
    <xf numFmtId="169" fontId="2" fillId="0" borderId="0" xfId="0" applyNumberFormat="1" applyFont="1" applyFill="1"/>
    <xf numFmtId="170" fontId="2" fillId="0" borderId="0" xfId="0" applyNumberFormat="1" applyFont="1" applyFill="1"/>
    <xf numFmtId="171" fontId="2" fillId="0" borderId="0" xfId="0" applyNumberFormat="1" applyFont="1" applyFill="1"/>
    <xf numFmtId="44" fontId="2" fillId="0" borderId="0" xfId="0" applyNumberFormat="1" applyFont="1" applyAlignment="1">
      <alignment horizontal="right"/>
    </xf>
    <xf numFmtId="166" fontId="2" fillId="0" borderId="13" xfId="0" applyNumberFormat="1" applyFont="1" applyBorder="1"/>
    <xf numFmtId="166" fontId="5" fillId="0" borderId="1" xfId="1" applyNumberFormat="1" applyFont="1" applyBorder="1" applyAlignment="1">
      <alignment horizontal="right"/>
    </xf>
    <xf numFmtId="165" fontId="5" fillId="0" borderId="14" xfId="1" applyNumberFormat="1" applyFont="1" applyBorder="1"/>
    <xf numFmtId="169" fontId="2" fillId="0" borderId="0" xfId="1" applyNumberFormat="1" applyFont="1" applyFill="1"/>
    <xf numFmtId="166" fontId="2" fillId="4" borderId="0" xfId="0" applyNumberFormat="1" applyFont="1" applyFill="1" applyBorder="1" applyAlignment="1">
      <alignment horizontal="center"/>
    </xf>
    <xf numFmtId="166" fontId="2" fillId="4" borderId="3" xfId="0" applyNumberFormat="1" applyFont="1" applyFill="1" applyBorder="1" applyAlignment="1">
      <alignment horizontal="center"/>
    </xf>
    <xf numFmtId="166" fontId="5" fillId="0" borderId="0" xfId="1" applyNumberFormat="1" applyFont="1" applyBorder="1" applyAlignment="1">
      <alignment horizontal="right"/>
    </xf>
    <xf numFmtId="172" fontId="2" fillId="0" borderId="0" xfId="0" applyNumberFormat="1" applyFont="1" applyFill="1" applyAlignment="1">
      <alignment horizontal="center"/>
    </xf>
    <xf numFmtId="172" fontId="2" fillId="2" borderId="0" xfId="0" applyNumberFormat="1" applyFont="1" applyFill="1"/>
    <xf numFmtId="172" fontId="2" fillId="0" borderId="0" xfId="0" applyNumberFormat="1" applyFont="1" applyFill="1"/>
    <xf numFmtId="172" fontId="2" fillId="0" borderId="0" xfId="3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6" fontId="2" fillId="5" borderId="0" xfId="0" applyNumberFormat="1" applyFont="1" applyFill="1" applyBorder="1" applyAlignment="1">
      <alignment horizontal="center"/>
    </xf>
    <xf numFmtId="166" fontId="2" fillId="5" borderId="3" xfId="0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5"/>
  <sheetViews>
    <sheetView workbookViewId="0">
      <selection activeCell="E3" sqref="E3"/>
    </sheetView>
  </sheetViews>
  <sheetFormatPr baseColWidth="10" defaultColWidth="8.6640625" defaultRowHeight="18" x14ac:dyDescent="0.2"/>
  <cols>
    <col min="1" max="1" width="15.83203125" style="1" customWidth="1"/>
    <col min="2" max="2" width="35.1640625" style="1" customWidth="1"/>
    <col min="3" max="3" width="8.33203125" style="1" bestFit="1" customWidth="1"/>
    <col min="4" max="4" width="8.6640625" style="1" bestFit="1" customWidth="1"/>
    <col min="5" max="6" width="8.6640625" style="1" customWidth="1"/>
    <col min="7" max="7" width="12" style="1" bestFit="1" customWidth="1"/>
    <col min="8" max="8" width="11.5" style="25" bestFit="1" customWidth="1"/>
    <col min="9" max="9" width="25.83203125" style="13" bestFit="1" customWidth="1"/>
    <col min="10" max="10" width="22.6640625" style="13" bestFit="1" customWidth="1"/>
    <col min="11" max="11" width="21.33203125" style="13" bestFit="1" customWidth="1"/>
    <col min="12" max="12" width="15.5" style="13" customWidth="1"/>
    <col min="13" max="13" width="12.83203125" style="13" bestFit="1" customWidth="1"/>
    <col min="14" max="14" width="36.1640625" style="42" customWidth="1"/>
    <col min="15" max="15" width="15.33203125" style="1" bestFit="1" customWidth="1"/>
    <col min="16" max="16" width="10.83203125" style="1" bestFit="1" customWidth="1"/>
    <col min="17" max="17" width="9.5" style="1" bestFit="1" customWidth="1"/>
    <col min="18" max="18" width="11.5" style="1" bestFit="1" customWidth="1"/>
    <col min="19" max="16384" width="8.6640625" style="1"/>
  </cols>
  <sheetData>
    <row r="1" spans="1:20" x14ac:dyDescent="0.2">
      <c r="A1" s="4"/>
    </row>
    <row r="2" spans="1:20" x14ac:dyDescent="0.2">
      <c r="A2" s="3"/>
      <c r="B2" s="3"/>
      <c r="C2" s="3"/>
      <c r="D2" s="3"/>
      <c r="E2" s="3">
        <f>2.61-SUM(D6:F6)</f>
        <v>1.1099999999999999</v>
      </c>
      <c r="F2" s="3"/>
      <c r="G2" s="3"/>
      <c r="H2" s="26"/>
      <c r="I2" s="14"/>
      <c r="J2" s="14"/>
      <c r="K2" s="14"/>
      <c r="L2" s="14"/>
      <c r="M2" s="14"/>
    </row>
    <row r="3" spans="1:20" x14ac:dyDescent="0.2">
      <c r="I3" s="92" t="s">
        <v>57</v>
      </c>
      <c r="J3" s="92" t="s">
        <v>58</v>
      </c>
      <c r="K3" s="92" t="s">
        <v>58</v>
      </c>
      <c r="L3" s="92" t="s">
        <v>47</v>
      </c>
      <c r="M3" s="92" t="s">
        <v>0</v>
      </c>
    </row>
    <row r="4" spans="1:20" ht="19" thickBot="1" x14ac:dyDescent="0.25">
      <c r="D4" s="1" t="s">
        <v>59</v>
      </c>
      <c r="E4" s="1" t="s">
        <v>60</v>
      </c>
      <c r="I4" s="93" t="s">
        <v>61</v>
      </c>
      <c r="J4" s="93" t="s">
        <v>62</v>
      </c>
      <c r="K4" s="93" t="s">
        <v>63</v>
      </c>
      <c r="L4" s="93" t="s">
        <v>48</v>
      </c>
      <c r="M4" s="93" t="s">
        <v>43</v>
      </c>
      <c r="N4" s="44"/>
    </row>
    <row r="5" spans="1:20" x14ac:dyDescent="0.2">
      <c r="A5" s="4" t="s">
        <v>3</v>
      </c>
      <c r="C5" s="1" t="s">
        <v>32</v>
      </c>
      <c r="D5" s="1" t="s">
        <v>46</v>
      </c>
      <c r="E5" s="1" t="s">
        <v>46</v>
      </c>
      <c r="F5" s="1" t="s">
        <v>46</v>
      </c>
      <c r="G5" s="1" t="s">
        <v>56</v>
      </c>
      <c r="H5" s="25" t="s">
        <v>33</v>
      </c>
      <c r="M5" s="15"/>
      <c r="N5" s="42" t="s">
        <v>21</v>
      </c>
      <c r="P5" s="1" t="s">
        <v>52</v>
      </c>
      <c r="Q5" s="1" t="s">
        <v>53</v>
      </c>
      <c r="R5" s="1" t="s">
        <v>54</v>
      </c>
    </row>
    <row r="6" spans="1:20" x14ac:dyDescent="0.2">
      <c r="A6" s="2" t="s">
        <v>29</v>
      </c>
      <c r="B6" s="1" t="s">
        <v>30</v>
      </c>
      <c r="C6" s="76">
        <v>1</v>
      </c>
      <c r="D6" s="99">
        <v>0.5</v>
      </c>
      <c r="E6" s="99">
        <v>0.5</v>
      </c>
      <c r="F6" s="99">
        <v>0.5</v>
      </c>
      <c r="G6" s="99">
        <v>3.3</v>
      </c>
      <c r="H6" s="95">
        <f>74268*1.03</f>
        <v>76496.040000000008</v>
      </c>
      <c r="I6" s="66">
        <f>H6/9*D6*C6</f>
        <v>4249.7800000000007</v>
      </c>
      <c r="J6" s="66">
        <f>C6*E6*H6/9</f>
        <v>4249.7800000000007</v>
      </c>
      <c r="K6" s="66">
        <f>C6*F6*H6/9*1.03</f>
        <v>4377.2734000000009</v>
      </c>
      <c r="L6" s="91">
        <f>H6/9*G6*C6</f>
        <v>28048.548000000003</v>
      </c>
      <c r="M6" s="67">
        <f>SUM(I6:L6)</f>
        <v>40925.381400000006</v>
      </c>
      <c r="N6" s="44"/>
      <c r="O6" s="29"/>
      <c r="P6" s="69">
        <f>SUM(I6:K6,I15:K15)</f>
        <v>15709.736748000005</v>
      </c>
      <c r="Q6" s="86">
        <f>SUM(D6:F6)*173.33/8</f>
        <v>32.499375000000001</v>
      </c>
      <c r="R6" s="29">
        <f>P6/Q6</f>
        <v>483.38581120406178</v>
      </c>
      <c r="S6" s="29"/>
      <c r="T6" s="29"/>
    </row>
    <row r="7" spans="1:20" x14ac:dyDescent="0.2">
      <c r="A7" s="5"/>
      <c r="B7" s="2"/>
      <c r="C7" s="77"/>
      <c r="D7" s="77"/>
      <c r="E7" s="77"/>
      <c r="F7" s="77"/>
      <c r="G7" s="77"/>
      <c r="H7" s="96"/>
      <c r="I7" s="66"/>
      <c r="J7" s="66"/>
      <c r="K7" s="66"/>
      <c r="L7" s="66"/>
      <c r="M7" s="67"/>
      <c r="N7" s="46"/>
      <c r="O7" s="68"/>
      <c r="P7" s="68"/>
      <c r="Q7" s="29"/>
      <c r="R7" s="29"/>
      <c r="S7" s="29"/>
      <c r="T7" s="29"/>
    </row>
    <row r="8" spans="1:20" x14ac:dyDescent="0.2">
      <c r="A8" s="4" t="s">
        <v>1</v>
      </c>
      <c r="C8" s="77"/>
      <c r="D8" s="77"/>
      <c r="E8" s="77"/>
      <c r="F8" s="77"/>
      <c r="G8" s="77"/>
      <c r="H8" s="97"/>
      <c r="I8" s="66"/>
      <c r="J8" s="66"/>
      <c r="K8" s="66"/>
      <c r="L8" s="66"/>
      <c r="M8" s="67"/>
      <c r="N8" s="46"/>
      <c r="O8" s="68"/>
      <c r="P8" s="68"/>
      <c r="Q8" s="29"/>
      <c r="R8" s="29"/>
      <c r="S8" s="29"/>
      <c r="T8" s="29"/>
    </row>
    <row r="9" spans="1:20" x14ac:dyDescent="0.2">
      <c r="A9" s="2" t="s">
        <v>45</v>
      </c>
      <c r="B9" s="1" t="s">
        <v>42</v>
      </c>
      <c r="C9" s="79">
        <v>1</v>
      </c>
      <c r="D9" s="80">
        <v>3.5</v>
      </c>
      <c r="E9" s="80">
        <v>9.5</v>
      </c>
      <c r="F9" s="80">
        <v>3.3</v>
      </c>
      <c r="G9" s="80"/>
      <c r="H9" s="98">
        <f>55000</f>
        <v>55000</v>
      </c>
      <c r="I9" s="66">
        <f>H9/12*4.7*C9</f>
        <v>21541.666666666664</v>
      </c>
      <c r="J9" s="66">
        <f>C9*E9*H9/12</f>
        <v>43541.666666666664</v>
      </c>
      <c r="K9" s="66">
        <f>C9*F9*I9/12*1.03</f>
        <v>6101.6770833333321</v>
      </c>
      <c r="L9" s="66"/>
      <c r="M9" s="67">
        <f>SUM(I9:L9)</f>
        <v>71185.010416666657</v>
      </c>
      <c r="N9" s="46"/>
      <c r="O9" s="29"/>
      <c r="P9" s="69">
        <f>SUM(I9:K9,I17:K17)</f>
        <v>113255.35157291665</v>
      </c>
      <c r="Q9" s="85">
        <f>SUM(D9:F9)*173.33/8</f>
        <v>353.15987500000006</v>
      </c>
      <c r="R9" s="84">
        <f>P9/Q9</f>
        <v>320.69144767059572</v>
      </c>
      <c r="S9" s="29"/>
      <c r="T9" s="29"/>
    </row>
    <row r="10" spans="1:20" x14ac:dyDescent="0.2">
      <c r="A10" s="2"/>
      <c r="C10" s="78"/>
      <c r="D10" s="78"/>
      <c r="E10" s="78"/>
      <c r="F10" s="78"/>
      <c r="G10" s="78"/>
      <c r="H10" s="36"/>
      <c r="I10" s="69"/>
      <c r="J10" s="69"/>
      <c r="K10" s="69"/>
      <c r="L10" s="69"/>
      <c r="M10" s="67"/>
      <c r="N10" s="46"/>
      <c r="O10" s="29"/>
      <c r="P10" s="29"/>
      <c r="Q10" s="29"/>
      <c r="R10" s="29"/>
      <c r="S10" s="29"/>
      <c r="T10" s="29"/>
    </row>
    <row r="11" spans="1:20" x14ac:dyDescent="0.2">
      <c r="C11" s="78"/>
      <c r="D11" s="78"/>
      <c r="E11" s="78"/>
      <c r="F11" s="78"/>
      <c r="G11" s="78"/>
      <c r="H11" s="31"/>
      <c r="I11" s="66"/>
      <c r="J11" s="66"/>
      <c r="K11" s="66"/>
      <c r="L11" s="66"/>
      <c r="M11" s="67"/>
      <c r="N11" s="44"/>
      <c r="O11" s="29"/>
      <c r="P11" s="29"/>
      <c r="Q11" s="29"/>
      <c r="R11" s="29"/>
      <c r="S11" s="29"/>
      <c r="T11" s="29"/>
    </row>
    <row r="12" spans="1:20" ht="19" thickBot="1" x14ac:dyDescent="0.25">
      <c r="B12" s="1" t="s">
        <v>20</v>
      </c>
      <c r="C12" s="29"/>
      <c r="D12" s="29"/>
      <c r="E12" s="29"/>
      <c r="F12" s="29"/>
      <c r="G12" s="29"/>
      <c r="H12" s="30"/>
      <c r="I12" s="62">
        <f>SUM(I6:I11)</f>
        <v>25791.446666666663</v>
      </c>
      <c r="J12" s="62">
        <f>SUM(J6:J11)</f>
        <v>47791.446666666663</v>
      </c>
      <c r="K12" s="62">
        <f>SUM(K6:K11)</f>
        <v>10478.950483333334</v>
      </c>
      <c r="L12" s="62">
        <f>SUM(L6:L11)</f>
        <v>28048.548000000003</v>
      </c>
      <c r="M12" s="67">
        <f>SUM(I12:L12)</f>
        <v>112110.39181666667</v>
      </c>
      <c r="N12" s="46"/>
      <c r="O12" s="68"/>
      <c r="P12" s="29"/>
      <c r="Q12" s="29"/>
      <c r="R12" s="29"/>
      <c r="S12" s="29"/>
      <c r="T12" s="29"/>
    </row>
    <row r="13" spans="1:20" ht="15.5" customHeight="1" thickTop="1" x14ac:dyDescent="0.2">
      <c r="C13" s="29"/>
      <c r="D13" s="29"/>
      <c r="E13" s="29"/>
      <c r="F13" s="29"/>
      <c r="G13" s="29"/>
      <c r="H13" s="30"/>
      <c r="I13" s="69"/>
      <c r="J13" s="69"/>
      <c r="K13" s="69"/>
      <c r="L13" s="69"/>
      <c r="M13" s="71"/>
      <c r="N13" s="46"/>
      <c r="O13" s="68"/>
      <c r="P13" s="29"/>
      <c r="Q13" s="29"/>
      <c r="R13" s="29"/>
      <c r="S13" s="29"/>
      <c r="T13" s="29"/>
    </row>
    <row r="14" spans="1:20" x14ac:dyDescent="0.2">
      <c r="A14" s="4" t="s">
        <v>2</v>
      </c>
      <c r="C14" s="29" t="s">
        <v>0</v>
      </c>
      <c r="D14" s="29"/>
      <c r="E14" s="29"/>
      <c r="F14" s="29"/>
      <c r="G14" s="29"/>
      <c r="H14" s="30"/>
      <c r="I14" s="66"/>
      <c r="J14" s="66"/>
      <c r="K14" s="66"/>
      <c r="L14" s="66"/>
      <c r="M14" s="67" t="s">
        <v>0</v>
      </c>
      <c r="N14" s="46"/>
      <c r="O14" s="68"/>
      <c r="P14" s="29"/>
      <c r="Q14" s="29"/>
      <c r="R14" s="29"/>
      <c r="S14" s="29"/>
      <c r="T14" s="29"/>
    </row>
    <row r="15" spans="1:20" x14ac:dyDescent="0.2">
      <c r="A15" s="1" t="s">
        <v>29</v>
      </c>
      <c r="B15" s="1" t="s">
        <v>31</v>
      </c>
      <c r="C15" s="32">
        <v>0.22</v>
      </c>
      <c r="D15" s="32"/>
      <c r="E15" s="32"/>
      <c r="F15" s="32"/>
      <c r="G15" s="32"/>
      <c r="H15" s="33"/>
      <c r="I15" s="66">
        <f>I6*$C15</f>
        <v>934.9516000000001</v>
      </c>
      <c r="J15" s="66">
        <f>J6*C15</f>
        <v>934.9516000000001</v>
      </c>
      <c r="K15" s="66">
        <f>K6*C15</f>
        <v>963.00014800000019</v>
      </c>
      <c r="L15" s="66"/>
      <c r="M15" s="67">
        <f>SUM(I15:L15)</f>
        <v>2832.9033480000003</v>
      </c>
      <c r="N15" s="46"/>
      <c r="O15" s="68"/>
      <c r="P15" s="29"/>
      <c r="Q15" s="29"/>
      <c r="R15" s="29"/>
      <c r="S15" s="29"/>
      <c r="T15" s="29"/>
    </row>
    <row r="16" spans="1:20" x14ac:dyDescent="0.2">
      <c r="A16" s="1" t="s">
        <v>29</v>
      </c>
      <c r="B16" s="1" t="s">
        <v>50</v>
      </c>
      <c r="C16" s="32">
        <v>0.4012</v>
      </c>
      <c r="D16" s="32"/>
      <c r="E16" s="32"/>
      <c r="F16" s="32"/>
      <c r="G16" s="32"/>
      <c r="H16" s="33"/>
      <c r="I16" s="66"/>
      <c r="J16" s="66"/>
      <c r="K16" s="66"/>
      <c r="L16" s="66">
        <f>C16*L6</f>
        <v>11253.0774576</v>
      </c>
      <c r="M16" s="67">
        <f>SUM(I16:L16)</f>
        <v>11253.0774576</v>
      </c>
      <c r="N16" s="46"/>
      <c r="O16" s="68"/>
      <c r="P16" s="29"/>
      <c r="Q16" s="29"/>
      <c r="R16" s="29"/>
      <c r="S16" s="29"/>
      <c r="T16" s="29"/>
    </row>
    <row r="17" spans="1:20" s="11" customFormat="1" x14ac:dyDescent="0.2">
      <c r="A17" s="2" t="s">
        <v>45</v>
      </c>
      <c r="B17" s="11" t="s">
        <v>34</v>
      </c>
      <c r="C17" s="32">
        <v>0.59099999999999997</v>
      </c>
      <c r="D17" s="32"/>
      <c r="E17" s="32"/>
      <c r="F17" s="32"/>
      <c r="G17" s="32"/>
      <c r="H17" s="33"/>
      <c r="I17" s="66">
        <f>I9*$C17</f>
        <v>12731.124999999998</v>
      </c>
      <c r="J17" s="66">
        <f>J9*C17</f>
        <v>25733.124999999996</v>
      </c>
      <c r="K17" s="66">
        <f>K9*C17</f>
        <v>3606.0911562499991</v>
      </c>
      <c r="L17" s="66"/>
      <c r="M17" s="67">
        <f>SUM(I17:L17)</f>
        <v>42070.34115624999</v>
      </c>
      <c r="N17" s="47"/>
      <c r="O17" s="72"/>
      <c r="P17" s="73"/>
      <c r="Q17" s="73"/>
      <c r="R17" s="73"/>
      <c r="S17" s="73"/>
      <c r="T17" s="73"/>
    </row>
    <row r="18" spans="1:20" s="11" customFormat="1" x14ac:dyDescent="0.2">
      <c r="A18" s="2"/>
      <c r="C18" s="32"/>
      <c r="D18" s="32"/>
      <c r="E18" s="32"/>
      <c r="F18" s="32"/>
      <c r="G18" s="32"/>
      <c r="H18" s="33"/>
      <c r="I18" s="66"/>
      <c r="J18" s="66"/>
      <c r="K18" s="66"/>
      <c r="L18" s="66"/>
      <c r="M18" s="67">
        <f>SUM(I18:L18)</f>
        <v>0</v>
      </c>
      <c r="N18" s="47"/>
      <c r="O18" s="72"/>
      <c r="P18" s="73"/>
      <c r="Q18" s="73"/>
      <c r="R18" s="73"/>
      <c r="S18" s="73"/>
      <c r="T18" s="73"/>
    </row>
    <row r="19" spans="1:20" x14ac:dyDescent="0.2">
      <c r="C19" s="32"/>
      <c r="D19" s="32"/>
      <c r="E19" s="32"/>
      <c r="F19" s="32"/>
      <c r="G19" s="32"/>
      <c r="H19" s="33"/>
      <c r="I19" s="66"/>
      <c r="J19" s="66"/>
      <c r="K19" s="66"/>
      <c r="L19" s="66"/>
      <c r="M19" s="67"/>
      <c r="N19" s="46"/>
      <c r="O19" s="68"/>
      <c r="P19" s="29"/>
      <c r="Q19" s="29"/>
      <c r="R19" s="29"/>
      <c r="S19" s="29"/>
      <c r="T19" s="29"/>
    </row>
    <row r="20" spans="1:20" ht="19" thickBot="1" x14ac:dyDescent="0.25">
      <c r="B20" s="1" t="s">
        <v>19</v>
      </c>
      <c r="C20" s="7"/>
      <c r="D20" s="7"/>
      <c r="E20" s="7"/>
      <c r="F20" s="7"/>
      <c r="G20" s="7"/>
      <c r="H20" s="27"/>
      <c r="I20" s="62">
        <f>SUM(I15:I19)</f>
        <v>13666.076599999999</v>
      </c>
      <c r="J20" s="62">
        <f>SUM(J15:J19)</f>
        <v>26668.076599999997</v>
      </c>
      <c r="K20" s="62">
        <f>SUM(K15:K19)</f>
        <v>4569.0913042499997</v>
      </c>
      <c r="L20" s="62">
        <f>SUM(L15:L19)</f>
        <v>11253.0774576</v>
      </c>
      <c r="M20" s="70">
        <f>SUM(I20:L20)</f>
        <v>56156.321961849986</v>
      </c>
      <c r="N20" s="46"/>
      <c r="O20" s="68"/>
      <c r="P20" s="29"/>
      <c r="Q20" s="29"/>
      <c r="R20" s="29"/>
      <c r="S20" s="29"/>
      <c r="T20" s="29"/>
    </row>
    <row r="21" spans="1:20" ht="19" thickTop="1" x14ac:dyDescent="0.2">
      <c r="I21" s="66"/>
      <c r="J21" s="66"/>
      <c r="K21" s="66"/>
      <c r="L21" s="66"/>
      <c r="M21" s="74"/>
      <c r="N21" s="46"/>
      <c r="O21" s="68"/>
      <c r="P21" s="29"/>
      <c r="Q21" s="29"/>
      <c r="R21" s="29"/>
      <c r="S21" s="29"/>
      <c r="T21" s="29"/>
    </row>
    <row r="22" spans="1:20" ht="19" thickBot="1" x14ac:dyDescent="0.25">
      <c r="A22" s="4" t="s">
        <v>4</v>
      </c>
      <c r="I22" s="18">
        <f t="shared" ref="I22" si="0">+I20+I12</f>
        <v>39457.523266666663</v>
      </c>
      <c r="J22" s="18">
        <f>+J20+J12</f>
        <v>74459.523266666656</v>
      </c>
      <c r="K22" s="18">
        <f>+K20+K12</f>
        <v>15048.041787583334</v>
      </c>
      <c r="L22" s="18">
        <f>+L20+L12</f>
        <v>39301.625457600006</v>
      </c>
      <c r="M22" s="18">
        <f>+M20+M12</f>
        <v>168266.71377851666</v>
      </c>
      <c r="N22" s="45"/>
      <c r="O22" s="6"/>
    </row>
    <row r="23" spans="1:20" ht="19" thickTop="1" x14ac:dyDescent="0.2">
      <c r="I23" s="16"/>
      <c r="J23" s="16"/>
      <c r="K23" s="16"/>
      <c r="L23" s="16"/>
      <c r="M23" s="16"/>
      <c r="N23" s="45"/>
      <c r="O23" s="6"/>
    </row>
    <row r="24" spans="1:20" x14ac:dyDescent="0.2">
      <c r="A24" s="4" t="s">
        <v>7</v>
      </c>
      <c r="C24" s="8"/>
      <c r="D24" s="8"/>
      <c r="E24" s="8"/>
      <c r="F24" s="8"/>
      <c r="G24" s="8"/>
      <c r="H24" s="27"/>
      <c r="I24" s="17"/>
      <c r="J24" s="17"/>
      <c r="K24" s="17"/>
      <c r="L24" s="17"/>
      <c r="M24" s="16"/>
      <c r="N24" s="45"/>
    </row>
    <row r="25" spans="1:20" x14ac:dyDescent="0.2">
      <c r="A25" s="4"/>
      <c r="B25" s="1" t="s">
        <v>44</v>
      </c>
      <c r="C25" s="75"/>
      <c r="D25" s="75"/>
      <c r="E25" s="75"/>
      <c r="F25" s="75"/>
      <c r="G25" s="75"/>
      <c r="H25" s="33"/>
      <c r="I25" s="67">
        <f>R32*2</f>
        <v>2696</v>
      </c>
      <c r="J25" s="67"/>
      <c r="K25" s="67">
        <f>R32*2</f>
        <v>2696</v>
      </c>
      <c r="L25" s="67"/>
      <c r="M25" s="37">
        <f>SUM(I25:L25)</f>
        <v>5392</v>
      </c>
      <c r="N25" s="61"/>
    </row>
    <row r="26" spans="1:20" ht="36" x14ac:dyDescent="0.2">
      <c r="A26" s="4"/>
      <c r="B26" s="1" t="s">
        <v>14</v>
      </c>
      <c r="C26" s="8"/>
      <c r="D26" s="8"/>
      <c r="E26" s="8"/>
      <c r="F26" s="8"/>
      <c r="G26" s="8"/>
      <c r="H26" s="27"/>
      <c r="I26" s="17">
        <v>0</v>
      </c>
      <c r="J26" s="17"/>
      <c r="K26" s="17"/>
      <c r="L26" s="17"/>
      <c r="M26" s="37">
        <f t="shared" ref="M26:M27" si="1">SUM(I26:L26)</f>
        <v>0</v>
      </c>
      <c r="N26" s="45"/>
      <c r="O26" s="49"/>
      <c r="P26" s="50" t="s">
        <v>51</v>
      </c>
      <c r="Q26" s="51" t="s">
        <v>40</v>
      </c>
      <c r="R26" s="52" t="s">
        <v>41</v>
      </c>
    </row>
    <row r="27" spans="1:20" x14ac:dyDescent="0.2">
      <c r="A27" s="4"/>
      <c r="B27" s="1" t="s">
        <v>16</v>
      </c>
      <c r="C27" s="8"/>
      <c r="D27" s="8"/>
      <c r="E27" s="8"/>
      <c r="F27" s="8"/>
      <c r="G27" s="8"/>
      <c r="H27" s="64"/>
      <c r="I27" s="24">
        <v>0</v>
      </c>
      <c r="J27" s="24"/>
      <c r="K27" s="24"/>
      <c r="L27" s="24"/>
      <c r="M27" s="37">
        <f t="shared" si="1"/>
        <v>0</v>
      </c>
      <c r="N27" s="45"/>
      <c r="O27" s="53" t="s">
        <v>35</v>
      </c>
      <c r="P27" s="54">
        <v>3</v>
      </c>
      <c r="Q27" s="54">
        <v>190</v>
      </c>
      <c r="R27" s="55">
        <f>P27*Q27</f>
        <v>570</v>
      </c>
    </row>
    <row r="28" spans="1:20" ht="19" thickBot="1" x14ac:dyDescent="0.25">
      <c r="A28" s="4"/>
      <c r="B28" s="1" t="s">
        <v>17</v>
      </c>
      <c r="C28" s="8"/>
      <c r="D28" s="8"/>
      <c r="E28" s="8"/>
      <c r="F28" s="8"/>
      <c r="G28" s="8"/>
      <c r="H28" s="27"/>
      <c r="I28" s="18">
        <f t="shared" ref="I28" si="2">SUM(I25:I27)</f>
        <v>2696</v>
      </c>
      <c r="J28" s="18">
        <f>SUM(J25:J27)</f>
        <v>0</v>
      </c>
      <c r="K28" s="18">
        <f>SUM(K25:K27)</f>
        <v>2696</v>
      </c>
      <c r="L28" s="18">
        <f>SUM(L25:L27)</f>
        <v>0</v>
      </c>
      <c r="M28" s="63">
        <f>SUM(M25:M27)</f>
        <v>5392</v>
      </c>
      <c r="N28" s="45"/>
      <c r="O28" s="56" t="s">
        <v>36</v>
      </c>
      <c r="P28" s="57"/>
      <c r="Q28" s="57">
        <v>500</v>
      </c>
      <c r="R28" s="55">
        <f>Q28</f>
        <v>500</v>
      </c>
    </row>
    <row r="29" spans="1:20" ht="19" thickTop="1" x14ac:dyDescent="0.2">
      <c r="C29" s="8"/>
      <c r="D29" s="8"/>
      <c r="E29" s="8"/>
      <c r="F29" s="8"/>
      <c r="G29" s="8"/>
      <c r="H29" s="27"/>
      <c r="I29" s="17"/>
      <c r="J29" s="17"/>
      <c r="K29" s="17"/>
      <c r="L29" s="17"/>
      <c r="M29" s="16"/>
      <c r="N29" s="45"/>
      <c r="O29" s="56" t="s">
        <v>37</v>
      </c>
      <c r="P29" s="57">
        <v>4</v>
      </c>
      <c r="Q29" s="57">
        <v>57</v>
      </c>
      <c r="R29" s="55">
        <f>P29*Q29</f>
        <v>228</v>
      </c>
    </row>
    <row r="30" spans="1:20" x14ac:dyDescent="0.2">
      <c r="A30" s="4" t="s">
        <v>8</v>
      </c>
      <c r="C30" s="8"/>
      <c r="D30" s="8"/>
      <c r="E30" s="8"/>
      <c r="F30" s="8"/>
      <c r="G30" s="8"/>
      <c r="H30" s="27"/>
      <c r="I30" s="17"/>
      <c r="J30" s="17"/>
      <c r="K30" s="17"/>
      <c r="L30" s="17"/>
      <c r="M30" s="16"/>
      <c r="N30" s="46"/>
      <c r="O30" s="56" t="s">
        <v>38</v>
      </c>
      <c r="P30" s="57"/>
      <c r="Q30" s="57"/>
      <c r="R30" s="55">
        <f>Q30</f>
        <v>0</v>
      </c>
    </row>
    <row r="31" spans="1:20" x14ac:dyDescent="0.2">
      <c r="A31" s="4"/>
      <c r="C31" s="8"/>
      <c r="D31" s="8"/>
      <c r="E31" s="8"/>
      <c r="F31" s="8"/>
      <c r="G31" s="8"/>
      <c r="H31" s="27"/>
      <c r="I31" s="17">
        <v>0</v>
      </c>
      <c r="J31" s="17"/>
      <c r="K31" s="17"/>
      <c r="L31" s="17"/>
      <c r="M31" s="17">
        <f>SUM(I31:I31)</f>
        <v>0</v>
      </c>
      <c r="N31" s="45"/>
      <c r="O31" s="56" t="s">
        <v>39</v>
      </c>
      <c r="P31" s="57"/>
      <c r="Q31" s="57">
        <v>50</v>
      </c>
      <c r="R31" s="60">
        <f>Q31</f>
        <v>50</v>
      </c>
    </row>
    <row r="32" spans="1:20" ht="19" thickBot="1" x14ac:dyDescent="0.25">
      <c r="A32" s="4"/>
      <c r="B32" s="1" t="s">
        <v>18</v>
      </c>
      <c r="C32" s="8"/>
      <c r="D32" s="8"/>
      <c r="E32" s="8"/>
      <c r="F32" s="8"/>
      <c r="G32" s="8"/>
      <c r="H32" s="27"/>
      <c r="I32" s="18">
        <f>SUM(I29:I31)</f>
        <v>0</v>
      </c>
      <c r="J32" s="18">
        <f>SUM(J29:J31)</f>
        <v>0</v>
      </c>
      <c r="K32" s="18">
        <f>SUM(K29:K31)</f>
        <v>0</v>
      </c>
      <c r="L32" s="18">
        <f>SUM(L29:L31)</f>
        <v>0</v>
      </c>
      <c r="M32" s="18">
        <f>SUM(M30:M31)</f>
        <v>0</v>
      </c>
      <c r="N32" s="45"/>
      <c r="O32" s="58"/>
      <c r="P32" s="59"/>
      <c r="Q32" s="59"/>
      <c r="R32" s="60">
        <f>SUM(R27:R31)</f>
        <v>1348</v>
      </c>
    </row>
    <row r="33" spans="1:16" ht="19" thickTop="1" x14ac:dyDescent="0.2">
      <c r="C33" s="8"/>
      <c r="D33" s="8"/>
      <c r="E33" s="8"/>
      <c r="F33" s="8"/>
      <c r="G33" s="8"/>
      <c r="H33" s="27"/>
      <c r="I33" s="17"/>
      <c r="J33" s="17"/>
      <c r="K33" s="17"/>
      <c r="L33" s="17"/>
      <c r="M33" s="16"/>
      <c r="N33" s="45"/>
    </row>
    <row r="34" spans="1:16" x14ac:dyDescent="0.2">
      <c r="A34" s="4" t="s">
        <v>11</v>
      </c>
      <c r="C34" s="8"/>
      <c r="D34" s="8"/>
      <c r="E34" s="8"/>
      <c r="F34" s="8"/>
      <c r="G34" s="8"/>
      <c r="H34" s="27"/>
      <c r="N34" s="45"/>
    </row>
    <row r="35" spans="1:16" x14ac:dyDescent="0.2">
      <c r="B35" s="12" t="s">
        <v>22</v>
      </c>
      <c r="C35" s="8"/>
      <c r="D35" s="8"/>
      <c r="E35" s="8"/>
      <c r="F35" s="8"/>
      <c r="G35" s="8"/>
      <c r="H35" s="27"/>
      <c r="I35" s="17">
        <v>0</v>
      </c>
      <c r="J35" s="17"/>
      <c r="K35" s="17"/>
      <c r="L35" s="17"/>
      <c r="M35" s="17">
        <f>SUM(I35:L35)</f>
        <v>0</v>
      </c>
      <c r="N35" s="45"/>
    </row>
    <row r="36" spans="1:16" x14ac:dyDescent="0.2">
      <c r="B36" s="12" t="s">
        <v>28</v>
      </c>
      <c r="C36" s="8"/>
      <c r="D36" s="8"/>
      <c r="E36" s="8"/>
      <c r="F36" s="8"/>
      <c r="G36" s="8"/>
      <c r="H36" s="27"/>
      <c r="I36" s="17">
        <v>0</v>
      </c>
      <c r="J36" s="17"/>
      <c r="K36" s="17"/>
      <c r="L36" s="17"/>
      <c r="M36" s="17">
        <f t="shared" ref="M36:M40" si="3">SUM(I36:L36)</f>
        <v>0</v>
      </c>
      <c r="N36" s="45"/>
    </row>
    <row r="37" spans="1:16" x14ac:dyDescent="0.2">
      <c r="B37" s="12" t="s">
        <v>23</v>
      </c>
      <c r="C37" s="8"/>
      <c r="D37" s="8"/>
      <c r="E37" s="8"/>
      <c r="F37" s="8"/>
      <c r="G37" s="8"/>
      <c r="H37" s="27"/>
      <c r="I37" s="17">
        <v>0</v>
      </c>
      <c r="J37" s="17"/>
      <c r="K37" s="17"/>
      <c r="L37" s="17"/>
      <c r="M37" s="17">
        <f t="shared" si="3"/>
        <v>0</v>
      </c>
      <c r="N37" s="45"/>
    </row>
    <row r="38" spans="1:16" x14ac:dyDescent="0.2">
      <c r="B38" s="1" t="s">
        <v>13</v>
      </c>
      <c r="C38" s="8"/>
      <c r="D38" s="8"/>
      <c r="E38" s="8"/>
      <c r="F38" s="8"/>
      <c r="G38" s="8"/>
      <c r="H38" s="27"/>
      <c r="I38" s="17">
        <v>0</v>
      </c>
      <c r="J38" s="17"/>
      <c r="K38" s="17"/>
      <c r="L38" s="17"/>
      <c r="M38" s="17">
        <f t="shared" si="3"/>
        <v>0</v>
      </c>
    </row>
    <row r="39" spans="1:16" x14ac:dyDescent="0.2">
      <c r="B39" s="1" t="s">
        <v>15</v>
      </c>
      <c r="C39" s="8"/>
      <c r="D39" s="8"/>
      <c r="E39" s="8"/>
      <c r="F39" s="8"/>
      <c r="G39" s="8"/>
      <c r="H39" s="27"/>
      <c r="I39" s="17">
        <v>0</v>
      </c>
      <c r="J39" s="17"/>
      <c r="K39" s="17"/>
      <c r="L39" s="17"/>
      <c r="M39" s="17">
        <f t="shared" si="3"/>
        <v>0</v>
      </c>
      <c r="N39" s="45"/>
    </row>
    <row r="40" spans="1:16" x14ac:dyDescent="0.2">
      <c r="B40" s="1" t="s">
        <v>9</v>
      </c>
      <c r="C40" s="34"/>
      <c r="D40" s="34"/>
      <c r="E40" s="34"/>
      <c r="F40" s="34"/>
      <c r="G40" s="34"/>
      <c r="H40" s="33"/>
      <c r="I40" s="39"/>
      <c r="J40" s="39"/>
      <c r="K40" s="39"/>
      <c r="L40" s="39"/>
      <c r="M40" s="17">
        <f t="shared" si="3"/>
        <v>0</v>
      </c>
      <c r="N40" s="48"/>
      <c r="O40" s="38"/>
      <c r="P40" s="38"/>
    </row>
    <row r="41" spans="1:16" ht="19" thickBot="1" x14ac:dyDescent="0.25">
      <c r="B41" s="1" t="s">
        <v>12</v>
      </c>
      <c r="C41" s="8"/>
      <c r="D41" s="8"/>
      <c r="E41" s="8"/>
      <c r="F41" s="8"/>
      <c r="G41" s="8"/>
      <c r="H41" s="27"/>
      <c r="I41" s="40">
        <f>SUM(I35:I40)</f>
        <v>0</v>
      </c>
      <c r="J41" s="40">
        <f t="shared" ref="J41:M41" si="4">SUM(J35:J40)</f>
        <v>0</v>
      </c>
      <c r="K41" s="40">
        <f t="shared" si="4"/>
        <v>0</v>
      </c>
      <c r="L41" s="40">
        <f>SUM(L35:L40)</f>
        <v>0</v>
      </c>
      <c r="M41" s="40">
        <f t="shared" si="4"/>
        <v>0</v>
      </c>
      <c r="N41" s="48"/>
      <c r="O41" s="38"/>
      <c r="P41" s="38"/>
    </row>
    <row r="42" spans="1:16" ht="19" thickTop="1" x14ac:dyDescent="0.2">
      <c r="C42" s="8"/>
      <c r="D42" s="8"/>
      <c r="E42" s="8"/>
      <c r="F42" s="8"/>
      <c r="G42" s="8"/>
      <c r="H42" s="27"/>
      <c r="I42" s="41"/>
      <c r="J42" s="41"/>
      <c r="K42" s="41"/>
      <c r="L42" s="41"/>
      <c r="M42" s="41"/>
      <c r="N42" s="48"/>
      <c r="O42" s="38"/>
      <c r="P42" s="38"/>
    </row>
    <row r="43" spans="1:16" x14ac:dyDescent="0.2">
      <c r="A43" s="4" t="s">
        <v>24</v>
      </c>
      <c r="C43" s="8"/>
      <c r="D43" s="8"/>
      <c r="E43" s="8"/>
      <c r="F43" s="8"/>
      <c r="G43" s="8"/>
      <c r="H43" s="27"/>
      <c r="N43" s="46"/>
    </row>
    <row r="44" spans="1:16" ht="19" thickBot="1" x14ac:dyDescent="0.25">
      <c r="B44" s="1" t="s">
        <v>25</v>
      </c>
      <c r="C44" s="8"/>
      <c r="D44" s="8"/>
      <c r="E44" s="8"/>
      <c r="F44" s="8"/>
      <c r="G44" s="8"/>
      <c r="H44" s="27"/>
      <c r="I44" s="18"/>
      <c r="J44" s="18"/>
      <c r="K44" s="18"/>
      <c r="L44" s="18"/>
      <c r="M44" s="19">
        <f>SUM(I44:I44)</f>
        <v>0</v>
      </c>
      <c r="N44" s="45"/>
    </row>
    <row r="45" spans="1:16" ht="19" thickTop="1" x14ac:dyDescent="0.2">
      <c r="C45" s="8"/>
      <c r="D45" s="8"/>
      <c r="E45" s="8"/>
      <c r="F45" s="8"/>
      <c r="G45" s="8"/>
      <c r="H45" s="27"/>
      <c r="I45" s="17"/>
      <c r="J45" s="17"/>
      <c r="K45" s="17"/>
      <c r="L45" s="17"/>
      <c r="M45" s="16"/>
      <c r="N45" s="45"/>
    </row>
    <row r="46" spans="1:16" ht="19" thickBot="1" x14ac:dyDescent="0.25">
      <c r="A46" s="4" t="s">
        <v>10</v>
      </c>
      <c r="I46" s="18">
        <f>I12+I20+I28+I32+I41+I44</f>
        <v>42153.523266666663</v>
      </c>
      <c r="J46" s="18">
        <f>J12+J20+J28+J32+J41+J44</f>
        <v>74459.523266666656</v>
      </c>
      <c r="K46" s="18">
        <f>K12+K20+K28+K32+K41+K44</f>
        <v>17744.041787583334</v>
      </c>
      <c r="L46" s="18">
        <f>L12+L20+L28+L32+L41+L44</f>
        <v>39301.625457600006</v>
      </c>
      <c r="M46" s="18">
        <f>M12+M20+M28+M32+M41+M44</f>
        <v>173658.71377851666</v>
      </c>
      <c r="N46" s="45"/>
      <c r="O46" s="6"/>
    </row>
    <row r="47" spans="1:16" ht="19" thickTop="1" x14ac:dyDescent="0.2">
      <c r="C47" s="8"/>
      <c r="D47" s="8"/>
      <c r="E47" s="8"/>
      <c r="F47" s="8"/>
      <c r="G47" s="8"/>
      <c r="H47" s="27"/>
      <c r="I47" s="17"/>
      <c r="J47" s="17"/>
      <c r="K47" s="17"/>
      <c r="L47" s="17"/>
      <c r="M47" s="16"/>
      <c r="N47" s="45"/>
    </row>
    <row r="48" spans="1:16" x14ac:dyDescent="0.2">
      <c r="B48" s="1" t="s">
        <v>27</v>
      </c>
      <c r="C48" s="8"/>
      <c r="D48" s="8"/>
      <c r="E48" s="8"/>
      <c r="F48" s="8"/>
      <c r="G48" s="8"/>
      <c r="H48" s="8"/>
      <c r="I48" s="82">
        <f>I46-I40</f>
        <v>42153.523266666663</v>
      </c>
      <c r="J48" s="82">
        <f>J46-J40</f>
        <v>74459.523266666656</v>
      </c>
      <c r="K48" s="82">
        <f>K46-K40</f>
        <v>17744.041787583334</v>
      </c>
      <c r="L48" s="82">
        <f>L46-L40</f>
        <v>39301.625457600006</v>
      </c>
      <c r="M48" s="82">
        <f>SUM(I48:L48)</f>
        <v>173658.71377851663</v>
      </c>
      <c r="N48" s="45"/>
    </row>
    <row r="49" spans="1:16" x14ac:dyDescent="0.2">
      <c r="A49" s="4" t="s">
        <v>5</v>
      </c>
      <c r="C49" s="8"/>
      <c r="D49" s="8"/>
      <c r="E49" s="8"/>
      <c r="F49" s="8"/>
      <c r="G49" s="8"/>
      <c r="H49" s="8"/>
      <c r="I49" s="83"/>
      <c r="J49" s="83"/>
      <c r="K49" s="83"/>
      <c r="L49" s="83"/>
      <c r="M49" s="83"/>
      <c r="N49" s="45"/>
    </row>
    <row r="50" spans="1:16" x14ac:dyDescent="0.2">
      <c r="A50" s="4"/>
      <c r="C50" s="7">
        <v>0.48499999999999999</v>
      </c>
      <c r="D50" s="8"/>
      <c r="E50" s="8"/>
      <c r="F50" s="8"/>
      <c r="G50" s="8"/>
      <c r="H50" s="8"/>
      <c r="I50" s="83">
        <f>I48*$C50</f>
        <v>20444.458784333332</v>
      </c>
      <c r="J50" s="83">
        <f>J48*$C50</f>
        <v>36112.868784333325</v>
      </c>
      <c r="K50" s="83">
        <f>K48*$C50</f>
        <v>8605.8602669779175</v>
      </c>
      <c r="L50" s="83">
        <f>L48*$C50</f>
        <v>19061.288346936002</v>
      </c>
      <c r="M50" s="83">
        <f>SUM(I50:L50)</f>
        <v>84224.476182580576</v>
      </c>
      <c r="N50" s="45"/>
      <c r="P50" s="65"/>
    </row>
    <row r="51" spans="1:16" x14ac:dyDescent="0.2">
      <c r="A51" s="4"/>
      <c r="C51" s="81"/>
      <c r="D51" s="8"/>
      <c r="E51" s="8"/>
      <c r="F51" s="8"/>
      <c r="G51" s="8"/>
      <c r="H51" s="8"/>
      <c r="I51" s="83"/>
      <c r="J51" s="83"/>
      <c r="K51" s="83"/>
      <c r="L51" s="83"/>
      <c r="M51" s="83"/>
      <c r="N51" s="45"/>
      <c r="P51" s="65"/>
    </row>
    <row r="52" spans="1:16" x14ac:dyDescent="0.2">
      <c r="A52" s="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46"/>
    </row>
    <row r="53" spans="1:16" x14ac:dyDescent="0.2">
      <c r="B53" s="1" t="s">
        <v>26</v>
      </c>
      <c r="I53" s="16"/>
      <c r="J53" s="16"/>
      <c r="K53" s="16"/>
      <c r="L53" s="16"/>
      <c r="M53" s="16"/>
      <c r="N53" s="45"/>
    </row>
    <row r="54" spans="1:16" ht="19" thickBot="1" x14ac:dyDescent="0.25">
      <c r="A54" s="1" t="s">
        <v>0</v>
      </c>
      <c r="C54" s="7" t="s">
        <v>0</v>
      </c>
      <c r="D54" s="7"/>
      <c r="E54" s="7"/>
      <c r="F54" s="7"/>
      <c r="G54" s="7"/>
      <c r="H54" s="27"/>
      <c r="I54" s="16"/>
      <c r="J54" s="16"/>
      <c r="K54" s="16"/>
      <c r="L54" s="16"/>
      <c r="M54" s="16"/>
      <c r="N54" s="45"/>
    </row>
    <row r="55" spans="1:16" ht="19" thickBot="1" x14ac:dyDescent="0.25">
      <c r="A55" s="9" t="s">
        <v>6</v>
      </c>
      <c r="B55" s="10"/>
      <c r="C55" s="10" t="s">
        <v>0</v>
      </c>
      <c r="D55" s="10"/>
      <c r="E55" s="10"/>
      <c r="F55" s="10"/>
      <c r="G55" s="10"/>
      <c r="H55" s="28"/>
      <c r="I55" s="22">
        <f>I46+I50</f>
        <v>62597.982050999999</v>
      </c>
      <c r="J55" s="22">
        <f>J46+J50</f>
        <v>110572.39205099997</v>
      </c>
      <c r="K55" s="22">
        <f>K46+K50</f>
        <v>26349.902054561251</v>
      </c>
      <c r="L55" s="22">
        <f>L46+L50+L51</f>
        <v>58362.913804536009</v>
      </c>
      <c r="M55" s="22">
        <f>M46+M50+M51</f>
        <v>257883.18996109723</v>
      </c>
      <c r="N55" s="45"/>
    </row>
    <row r="56" spans="1:16" ht="35.25" customHeight="1" x14ac:dyDescent="0.2">
      <c r="B56" s="1" t="s">
        <v>0</v>
      </c>
      <c r="J56" s="87"/>
      <c r="K56" s="87"/>
      <c r="L56" s="87" t="s">
        <v>55</v>
      </c>
      <c r="M56" s="88">
        <v>20000</v>
      </c>
      <c r="N56" s="45" t="s">
        <v>67</v>
      </c>
    </row>
    <row r="57" spans="1:16" x14ac:dyDescent="0.2">
      <c r="J57" s="17"/>
      <c r="K57" s="17"/>
      <c r="L57" s="17" t="s">
        <v>65</v>
      </c>
      <c r="M57" s="16">
        <f>SUM(M55:M56)</f>
        <v>277883.1899610972</v>
      </c>
      <c r="N57" s="45"/>
    </row>
    <row r="58" spans="1:16" ht="19" thickBot="1" x14ac:dyDescent="0.25">
      <c r="I58" s="16" t="s">
        <v>64</v>
      </c>
      <c r="J58" s="16">
        <f>SUM(I55:K55)</f>
        <v>199520.27615656122</v>
      </c>
      <c r="L58" s="16"/>
      <c r="M58" s="16"/>
      <c r="N58" s="45"/>
    </row>
    <row r="59" spans="1:16" ht="19" thickBot="1" x14ac:dyDescent="0.25">
      <c r="J59" s="94"/>
      <c r="L59" s="89" t="s">
        <v>48</v>
      </c>
      <c r="M59" s="90">
        <f>L55/M57</f>
        <v>0.2100267879201568</v>
      </c>
      <c r="N59" s="45"/>
    </row>
    <row r="60" spans="1:16" x14ac:dyDescent="0.2">
      <c r="I60" s="16"/>
      <c r="J60" s="21"/>
      <c r="K60" s="16"/>
      <c r="L60" s="16"/>
      <c r="M60" s="16"/>
      <c r="N60" s="45"/>
    </row>
    <row r="61" spans="1:16" x14ac:dyDescent="0.2">
      <c r="I61" s="16"/>
      <c r="J61" s="16"/>
      <c r="K61" s="16"/>
      <c r="L61" s="16"/>
      <c r="M61" s="16"/>
      <c r="N61" s="45"/>
    </row>
    <row r="62" spans="1:16" x14ac:dyDescent="0.2">
      <c r="I62" s="16"/>
      <c r="J62" s="16"/>
      <c r="K62" s="16"/>
      <c r="L62" s="16"/>
      <c r="M62" s="16"/>
      <c r="N62" s="45"/>
    </row>
    <row r="63" spans="1:16" x14ac:dyDescent="0.2">
      <c r="I63" s="16"/>
      <c r="J63" s="16"/>
      <c r="K63" s="16"/>
      <c r="L63" s="16"/>
      <c r="M63" s="16"/>
      <c r="N63" s="45"/>
    </row>
    <row r="64" spans="1:16" x14ac:dyDescent="0.2">
      <c r="I64" s="16"/>
      <c r="J64" s="16"/>
      <c r="K64" s="16"/>
      <c r="L64" s="16"/>
      <c r="M64" s="20"/>
      <c r="N64" s="45"/>
    </row>
    <row r="65" spans="8:14" x14ac:dyDescent="0.2">
      <c r="I65" s="16"/>
      <c r="J65" s="16"/>
      <c r="K65" s="16"/>
      <c r="L65" s="16"/>
      <c r="M65" s="20"/>
      <c r="N65" s="45"/>
    </row>
    <row r="66" spans="8:14" x14ac:dyDescent="0.2">
      <c r="I66" s="16"/>
      <c r="J66" s="16"/>
      <c r="K66" s="16"/>
      <c r="L66" s="16"/>
      <c r="M66" s="20"/>
      <c r="N66" s="45"/>
    </row>
    <row r="67" spans="8:14" x14ac:dyDescent="0.2">
      <c r="H67" s="1"/>
      <c r="I67" s="16"/>
      <c r="J67" s="16"/>
      <c r="K67" s="16"/>
      <c r="L67" s="16"/>
      <c r="M67" s="20"/>
      <c r="N67" s="45"/>
    </row>
    <row r="68" spans="8:14" x14ac:dyDescent="0.2">
      <c r="H68" s="1"/>
      <c r="I68" s="16"/>
      <c r="J68" s="16"/>
      <c r="K68" s="16"/>
      <c r="L68" s="16"/>
      <c r="M68" s="20"/>
      <c r="N68" s="45"/>
    </row>
    <row r="69" spans="8:14" x14ac:dyDescent="0.2">
      <c r="H69" s="1"/>
      <c r="I69" s="16"/>
      <c r="J69" s="16"/>
      <c r="K69" s="16"/>
      <c r="L69" s="16"/>
      <c r="M69" s="20"/>
      <c r="N69" s="45"/>
    </row>
    <row r="70" spans="8:14" x14ac:dyDescent="0.2">
      <c r="H70" s="1"/>
      <c r="I70" s="16"/>
      <c r="J70" s="16"/>
      <c r="K70" s="16"/>
      <c r="L70" s="16"/>
      <c r="M70" s="20"/>
      <c r="N70" s="45"/>
    </row>
    <row r="71" spans="8:14" x14ac:dyDescent="0.2">
      <c r="H71" s="1"/>
      <c r="I71" s="16"/>
      <c r="J71" s="16"/>
      <c r="K71" s="16"/>
      <c r="L71" s="16"/>
      <c r="M71" s="20"/>
      <c r="N71" s="45"/>
    </row>
    <row r="72" spans="8:14" x14ac:dyDescent="0.2">
      <c r="H72" s="1"/>
      <c r="I72" s="16"/>
      <c r="J72" s="16"/>
      <c r="K72" s="16"/>
      <c r="L72" s="16"/>
      <c r="M72" s="20"/>
      <c r="N72" s="45"/>
    </row>
    <row r="73" spans="8:14" x14ac:dyDescent="0.2">
      <c r="H73" s="1"/>
      <c r="I73" s="16"/>
      <c r="J73" s="16"/>
      <c r="K73" s="16"/>
      <c r="L73" s="16"/>
      <c r="M73" s="20"/>
      <c r="N73" s="45"/>
    </row>
    <row r="74" spans="8:14" x14ac:dyDescent="0.2">
      <c r="H74" s="1"/>
      <c r="I74" s="16"/>
      <c r="J74" s="16"/>
      <c r="K74" s="16"/>
      <c r="L74" s="16"/>
      <c r="M74" s="20"/>
      <c r="N74" s="45"/>
    </row>
    <row r="75" spans="8:14" x14ac:dyDescent="0.2">
      <c r="H75" s="1"/>
      <c r="I75" s="16"/>
      <c r="J75" s="16"/>
      <c r="K75" s="16"/>
      <c r="L75" s="16"/>
      <c r="M75" s="20"/>
      <c r="N75" s="45"/>
    </row>
    <row r="76" spans="8:14" x14ac:dyDescent="0.2">
      <c r="H76" s="1"/>
      <c r="I76" s="16"/>
      <c r="J76" s="16"/>
      <c r="K76" s="16"/>
      <c r="L76" s="16"/>
      <c r="M76" s="20"/>
      <c r="N76" s="45"/>
    </row>
    <row r="77" spans="8:14" x14ac:dyDescent="0.2">
      <c r="H77" s="1"/>
      <c r="I77" s="16"/>
      <c r="J77" s="16"/>
      <c r="K77" s="16"/>
      <c r="L77" s="16"/>
      <c r="M77" s="20"/>
      <c r="N77" s="45"/>
    </row>
    <row r="78" spans="8:14" x14ac:dyDescent="0.2">
      <c r="H78" s="1"/>
      <c r="I78" s="16"/>
      <c r="J78" s="16"/>
      <c r="K78" s="16"/>
      <c r="L78" s="16"/>
      <c r="M78" s="20"/>
      <c r="N78" s="45"/>
    </row>
    <row r="79" spans="8:14" x14ac:dyDescent="0.2">
      <c r="H79" s="1"/>
      <c r="I79" s="16"/>
      <c r="J79" s="16"/>
      <c r="K79" s="16"/>
      <c r="L79" s="16"/>
      <c r="M79" s="20"/>
      <c r="N79" s="45"/>
    </row>
    <row r="80" spans="8:14" x14ac:dyDescent="0.2">
      <c r="H80" s="1"/>
      <c r="I80" s="16"/>
      <c r="J80" s="16"/>
      <c r="K80" s="16"/>
      <c r="L80" s="16"/>
      <c r="M80" s="20"/>
      <c r="N80" s="45"/>
    </row>
    <row r="81" spans="8:14" x14ac:dyDescent="0.2">
      <c r="H81" s="1"/>
      <c r="I81" s="16"/>
      <c r="J81" s="16"/>
      <c r="K81" s="16"/>
      <c r="L81" s="16"/>
      <c r="M81" s="20"/>
      <c r="N81" s="45"/>
    </row>
    <row r="82" spans="8:14" x14ac:dyDescent="0.2">
      <c r="H82" s="1"/>
      <c r="I82" s="16"/>
      <c r="J82" s="16"/>
      <c r="K82" s="16"/>
      <c r="L82" s="16"/>
      <c r="M82" s="20"/>
      <c r="N82" s="45"/>
    </row>
    <row r="83" spans="8:14" x14ac:dyDescent="0.2">
      <c r="H83" s="1"/>
      <c r="I83" s="16"/>
      <c r="J83" s="16"/>
      <c r="K83" s="16"/>
      <c r="L83" s="16"/>
      <c r="M83" s="20"/>
      <c r="N83" s="45"/>
    </row>
    <row r="84" spans="8:14" x14ac:dyDescent="0.2">
      <c r="H84" s="1"/>
      <c r="I84" s="16"/>
      <c r="J84" s="16"/>
      <c r="K84" s="16"/>
      <c r="L84" s="16"/>
      <c r="M84" s="20"/>
      <c r="N84" s="45"/>
    </row>
    <row r="85" spans="8:14" x14ac:dyDescent="0.2">
      <c r="H85" s="1"/>
      <c r="I85" s="16"/>
      <c r="J85" s="16"/>
      <c r="K85" s="16"/>
      <c r="L85" s="16"/>
      <c r="M85" s="20"/>
      <c r="N85" s="45"/>
    </row>
    <row r="86" spans="8:14" x14ac:dyDescent="0.2">
      <c r="H86" s="1"/>
      <c r="I86" s="16"/>
      <c r="J86" s="16"/>
      <c r="K86" s="16"/>
      <c r="L86" s="16"/>
      <c r="M86" s="20"/>
      <c r="N86" s="45"/>
    </row>
    <row r="87" spans="8:14" x14ac:dyDescent="0.2">
      <c r="H87" s="1"/>
      <c r="I87" s="16"/>
      <c r="J87" s="16"/>
      <c r="K87" s="16"/>
      <c r="L87" s="16"/>
      <c r="M87" s="20"/>
      <c r="N87" s="45"/>
    </row>
    <row r="88" spans="8:14" x14ac:dyDescent="0.2">
      <c r="H88" s="1"/>
      <c r="I88" s="16"/>
      <c r="J88" s="16"/>
      <c r="K88" s="16"/>
      <c r="L88" s="16"/>
      <c r="M88" s="20"/>
      <c r="N88" s="45"/>
    </row>
    <row r="89" spans="8:14" x14ac:dyDescent="0.2">
      <c r="H89" s="1"/>
      <c r="I89" s="16"/>
      <c r="J89" s="16"/>
      <c r="K89" s="16"/>
      <c r="L89" s="16"/>
      <c r="M89" s="20"/>
      <c r="N89" s="45"/>
    </row>
    <row r="90" spans="8:14" x14ac:dyDescent="0.2">
      <c r="H90" s="1"/>
      <c r="I90" s="16"/>
      <c r="J90" s="16"/>
      <c r="K90" s="16"/>
      <c r="L90" s="16"/>
      <c r="M90" s="20"/>
      <c r="N90" s="45"/>
    </row>
    <row r="91" spans="8:14" x14ac:dyDescent="0.2">
      <c r="H91" s="1"/>
      <c r="I91" s="16"/>
      <c r="J91" s="16"/>
      <c r="K91" s="16"/>
      <c r="L91" s="16"/>
      <c r="M91" s="20"/>
      <c r="N91" s="45"/>
    </row>
    <row r="92" spans="8:14" x14ac:dyDescent="0.2">
      <c r="H92" s="1"/>
      <c r="I92" s="16"/>
      <c r="J92" s="16"/>
      <c r="K92" s="16"/>
      <c r="L92" s="16"/>
      <c r="M92" s="20"/>
      <c r="N92" s="45"/>
    </row>
    <row r="93" spans="8:14" x14ac:dyDescent="0.2">
      <c r="H93" s="1"/>
      <c r="M93" s="20"/>
      <c r="N93" s="45"/>
    </row>
    <row r="94" spans="8:14" x14ac:dyDescent="0.2">
      <c r="H94" s="1"/>
      <c r="M94" s="20"/>
      <c r="N94" s="45"/>
    </row>
    <row r="95" spans="8:14" x14ac:dyDescent="0.2">
      <c r="H95" s="1"/>
      <c r="M95" s="20"/>
      <c r="N95" s="45"/>
    </row>
    <row r="96" spans="8:14" x14ac:dyDescent="0.2">
      <c r="H96" s="1"/>
      <c r="M96" s="20"/>
      <c r="N96" s="45"/>
    </row>
    <row r="97" spans="8:14" x14ac:dyDescent="0.2">
      <c r="H97" s="1"/>
      <c r="M97" s="23"/>
    </row>
    <row r="98" spans="8:14" x14ac:dyDescent="0.2">
      <c r="H98" s="1"/>
      <c r="M98" s="23"/>
    </row>
    <row r="99" spans="8:14" x14ac:dyDescent="0.2">
      <c r="H99" s="1"/>
      <c r="I99" s="1"/>
      <c r="J99" s="1"/>
      <c r="K99" s="1"/>
      <c r="L99" s="1"/>
      <c r="M99" s="23"/>
      <c r="N99" s="1"/>
    </row>
    <row r="100" spans="8:14" x14ac:dyDescent="0.2">
      <c r="H100" s="1"/>
      <c r="I100" s="1"/>
      <c r="J100" s="1"/>
      <c r="K100" s="1"/>
      <c r="L100" s="1"/>
      <c r="M100" s="23"/>
      <c r="N100" s="1"/>
    </row>
    <row r="101" spans="8:14" x14ac:dyDescent="0.2">
      <c r="H101" s="1"/>
      <c r="I101" s="1"/>
      <c r="J101" s="1"/>
      <c r="K101" s="1"/>
      <c r="L101" s="1"/>
      <c r="M101" s="23"/>
      <c r="N101" s="1"/>
    </row>
    <row r="102" spans="8:14" x14ac:dyDescent="0.2">
      <c r="H102" s="1"/>
      <c r="I102" s="1"/>
      <c r="J102" s="1"/>
      <c r="K102" s="1"/>
      <c r="L102" s="1"/>
      <c r="M102" s="23"/>
      <c r="N102" s="1"/>
    </row>
    <row r="103" spans="8:14" x14ac:dyDescent="0.2">
      <c r="H103" s="1"/>
      <c r="I103" s="1"/>
      <c r="J103" s="1"/>
      <c r="K103" s="1"/>
      <c r="L103" s="1"/>
      <c r="M103" s="23"/>
      <c r="N103" s="1"/>
    </row>
    <row r="104" spans="8:14" x14ac:dyDescent="0.2">
      <c r="H104" s="1"/>
      <c r="I104" s="1"/>
      <c r="J104" s="1"/>
      <c r="K104" s="1"/>
      <c r="L104" s="1"/>
      <c r="M104" s="23"/>
      <c r="N104" s="1"/>
    </row>
    <row r="105" spans="8:14" x14ac:dyDescent="0.2">
      <c r="H105" s="1"/>
      <c r="I105" s="1"/>
      <c r="J105" s="1"/>
      <c r="K105" s="1"/>
      <c r="L105" s="1"/>
      <c r="M105" s="23"/>
      <c r="N105" s="1"/>
    </row>
  </sheetData>
  <customSheetViews>
    <customSheetView guid="{A7202596-ED82-49DB-9D54-0C5933B5F4AB}" scale="70" showPageBreaks="1" fitToPage="1" printArea="1" topLeftCell="A31">
      <selection activeCell="I16" sqref="I16"/>
      <pageMargins left="0.7" right="0.7" top="0.75" bottom="0.75" header="0.3" footer="0.3"/>
      <pageSetup scale="60" orientation="landscape"/>
      <headerFooter alignWithMargins="0"/>
    </customSheetView>
    <customSheetView guid="{9DB0A077-28AD-433E-9D96-33B21ABCA4D8}" scale="70" showPageBreaks="1" fitToPage="1" printArea="1" topLeftCell="D11">
      <selection activeCell="N30" sqref="N30"/>
      <pageMargins left="0.7" right="0.7" top="0.75" bottom="0.75" header="0.3" footer="0.3"/>
      <pageSetup scale="47" orientation="landscape"/>
      <headerFooter alignWithMargins="0"/>
    </customSheetView>
    <customSheetView guid="{E7A55D62-BF7A-11E0-B75E-001B63BB0B47}" fitToPage="1">
      <selection activeCell="B5" sqref="B5"/>
      <pageMargins left="0.7" right="0.7" top="0.75" bottom="0.75" header="0.3" footer="0.3"/>
      <pageSetup scale="54" orientation="landscape"/>
      <headerFooter alignWithMargins="0"/>
    </customSheetView>
    <customSheetView guid="{81AC4E53-F99F-4836-B032-227F9E8FCF57}" showPageBreaks="1" fitToPage="1" printArea="1">
      <selection activeCell="E43" sqref="E43"/>
      <pageMargins left="0.7" right="0.7" top="0.75" bottom="0.75" header="0.3" footer="0.3"/>
      <pageSetup scale="61" orientation="landscape"/>
      <headerFooter alignWithMargins="0"/>
    </customSheetView>
    <customSheetView guid="{E3CF66F7-6813-4515-8288-FEBCAE0F0009}" scale="70" showPageBreaks="1" fitToPage="1" printArea="1">
      <selection activeCell="K20" sqref="K20"/>
      <pageMargins left="0.7" right="0.7" top="0.75" bottom="0.75" header="0.3" footer="0.3"/>
      <pageSetup scale="55" orientation="landscape"/>
      <headerFooter alignWithMargins="0"/>
    </customSheetView>
    <customSheetView guid="{A47F1B80-7681-4676-9923-D9D4F64EB46B}" scale="70" showPageBreaks="1" fitToPage="1" printArea="1">
      <selection activeCell="E10" sqref="E10"/>
      <pageMargins left="0.7" right="0.7" top="0.75" bottom="0.75" header="0.3" footer="0.3"/>
      <pageSetup scale="61" orientation="landscape"/>
      <headerFooter alignWithMargins="0"/>
    </customSheetView>
    <customSheetView guid="{DE0885C5-016B-E241-BDCD-7B91209561D7}" showPageBreaks="1" fitToPage="1" printArea="1">
      <selection activeCell="G15" sqref="G15"/>
      <pageMargins left="0.7" right="0.7" top="0.75" bottom="0.75" header="0.3" footer="0.3"/>
      <pageSetup scale="50" orientation="landscape"/>
      <headerFooter alignWithMargins="0"/>
    </customSheetView>
    <customSheetView guid="{FE5D4A4A-65B2-7E41-8096-7C416D25A57C}" showPageBreaks="1" fitToPage="1" printArea="1" topLeftCell="A29">
      <selection activeCell="E59" sqref="E59"/>
      <pageMargins left="0.7" right="0.7" top="0.75" bottom="0.75" header="0.3" footer="0.3"/>
      <pageSetup scale="50" orientation="landscape"/>
      <headerFooter alignWithMargins="0"/>
    </customSheetView>
  </customSheetViews>
  <phoneticPr fontId="0" type="noConversion"/>
  <pageMargins left="0.7" right="0.7" top="0.75" bottom="0.75" header="0.3" footer="0.3"/>
  <pageSetup scale="5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topLeftCell="A41" workbookViewId="0">
      <selection activeCell="I63" sqref="I63"/>
    </sheetView>
  </sheetViews>
  <sheetFormatPr baseColWidth="10" defaultColWidth="8.6640625" defaultRowHeight="18" x14ac:dyDescent="0.2"/>
  <cols>
    <col min="1" max="1" width="15.83203125" style="1" customWidth="1"/>
    <col min="2" max="2" width="35.1640625" style="1" customWidth="1"/>
    <col min="3" max="3" width="8.33203125" style="1" bestFit="1" customWidth="1"/>
    <col min="4" max="4" width="8.6640625" style="1" bestFit="1" customWidth="1"/>
    <col min="5" max="5" width="8.6640625" style="1" customWidth="1"/>
    <col min="6" max="6" width="8.6640625" style="1" bestFit="1" customWidth="1"/>
    <col min="7" max="7" width="12" style="1" bestFit="1" customWidth="1"/>
    <col min="8" max="8" width="14.33203125" style="25" bestFit="1" customWidth="1"/>
    <col min="9" max="9" width="25.83203125" style="13" bestFit="1" customWidth="1"/>
    <col min="10" max="10" width="22.6640625" style="13" bestFit="1" customWidth="1"/>
    <col min="11" max="11" width="19" style="13" bestFit="1" customWidth="1"/>
    <col min="12" max="12" width="15.5" style="13" customWidth="1"/>
    <col min="13" max="13" width="12.83203125" style="13" bestFit="1" customWidth="1"/>
    <col min="14" max="14" width="36.1640625" style="42" customWidth="1"/>
    <col min="15" max="15" width="15.33203125" style="1" bestFit="1" customWidth="1"/>
    <col min="16" max="18" width="9.5" style="1" bestFit="1" customWidth="1"/>
    <col min="19" max="16384" width="8.6640625" style="1"/>
  </cols>
  <sheetData>
    <row r="1" spans="1:20" x14ac:dyDescent="0.2">
      <c r="A1" s="4"/>
      <c r="F1" s="25"/>
      <c r="M1" s="25"/>
    </row>
    <row r="2" spans="1:20" ht="12.25" customHeight="1" x14ac:dyDescent="0.2">
      <c r="A2" s="3"/>
      <c r="B2" s="3"/>
      <c r="C2" s="3"/>
      <c r="D2" s="3"/>
      <c r="E2" s="3"/>
      <c r="F2" s="3"/>
      <c r="G2" s="3"/>
      <c r="H2" s="26"/>
      <c r="I2" s="14"/>
      <c r="J2" s="14"/>
      <c r="K2" s="14"/>
      <c r="L2" s="14"/>
      <c r="M2" s="14"/>
    </row>
    <row r="3" spans="1:20" x14ac:dyDescent="0.2">
      <c r="I3" s="103" t="s">
        <v>57</v>
      </c>
      <c r="J3" s="103" t="s">
        <v>60</v>
      </c>
      <c r="K3" s="103"/>
      <c r="L3" s="103" t="s">
        <v>47</v>
      </c>
      <c r="M3" s="103" t="s">
        <v>0</v>
      </c>
    </row>
    <row r="4" spans="1:20" ht="19" thickBot="1" x14ac:dyDescent="0.25">
      <c r="D4" s="1" t="s">
        <v>59</v>
      </c>
      <c r="E4" s="1" t="s">
        <v>60</v>
      </c>
      <c r="I4" s="104" t="s">
        <v>71</v>
      </c>
      <c r="J4" s="104" t="s">
        <v>72</v>
      </c>
      <c r="K4" s="104" t="s">
        <v>73</v>
      </c>
      <c r="L4" s="104" t="s">
        <v>48</v>
      </c>
      <c r="M4" s="104" t="s">
        <v>43</v>
      </c>
      <c r="N4" s="44"/>
    </row>
    <row r="5" spans="1:20" x14ac:dyDescent="0.2">
      <c r="A5" s="4" t="s">
        <v>3</v>
      </c>
      <c r="C5" s="1" t="s">
        <v>32</v>
      </c>
      <c r="D5" s="1" t="s">
        <v>46</v>
      </c>
      <c r="E5" s="1" t="s">
        <v>46</v>
      </c>
      <c r="F5" s="1" t="s">
        <v>46</v>
      </c>
      <c r="G5" s="1" t="s">
        <v>56</v>
      </c>
      <c r="H5" s="25" t="s">
        <v>33</v>
      </c>
      <c r="M5" s="15"/>
      <c r="N5" s="42" t="s">
        <v>21</v>
      </c>
    </row>
    <row r="6" spans="1:20" ht="36" x14ac:dyDescent="0.2">
      <c r="A6" s="2" t="s">
        <v>29</v>
      </c>
      <c r="B6" s="1" t="s">
        <v>69</v>
      </c>
      <c r="C6" s="76">
        <v>1</v>
      </c>
      <c r="D6" s="99">
        <v>0</v>
      </c>
      <c r="E6" s="99">
        <v>2</v>
      </c>
      <c r="F6" s="99"/>
      <c r="G6" s="100"/>
      <c r="H6" s="43">
        <f>74268*1.03</f>
        <v>76496.040000000008</v>
      </c>
      <c r="I6" s="66">
        <f>H6/9*D6*C6</f>
        <v>0</v>
      </c>
      <c r="J6" s="66">
        <f>H6*C6*E6/9</f>
        <v>16999.120000000003</v>
      </c>
      <c r="K6" s="66">
        <f>C6*F6*H6/9*1.03</f>
        <v>0</v>
      </c>
      <c r="M6" s="67">
        <f>SUM(I6:L6)</f>
        <v>16999.120000000003</v>
      </c>
      <c r="N6" s="44" t="s">
        <v>68</v>
      </c>
      <c r="O6" s="29"/>
      <c r="P6" s="69"/>
      <c r="Q6" s="86"/>
      <c r="R6" s="29"/>
      <c r="S6" s="29"/>
      <c r="T6" s="29"/>
    </row>
    <row r="7" spans="1:20" x14ac:dyDescent="0.2">
      <c r="A7" s="5"/>
      <c r="B7" s="2" t="s">
        <v>70</v>
      </c>
      <c r="C7" s="76"/>
      <c r="D7" s="99"/>
      <c r="E7" s="102">
        <v>0.60540000000000005</v>
      </c>
      <c r="F7" s="99"/>
      <c r="G7" s="102">
        <v>2.3199999999999998</v>
      </c>
      <c r="H7" s="35"/>
      <c r="I7" s="66"/>
      <c r="J7" s="66">
        <f>E7*H6/9</f>
        <v>5145.633624000001</v>
      </c>
      <c r="K7" s="66"/>
      <c r="L7" s="91">
        <f>H6/9*G7*C6</f>
        <v>19718.979200000002</v>
      </c>
      <c r="M7" s="67">
        <f>SUM(I7:L7)</f>
        <v>24864.612824000003</v>
      </c>
      <c r="N7" s="46"/>
      <c r="O7" s="68"/>
      <c r="P7" s="68"/>
      <c r="Q7" s="29"/>
      <c r="R7" s="29"/>
      <c r="S7" s="29"/>
      <c r="T7" s="29"/>
    </row>
    <row r="8" spans="1:20" x14ac:dyDescent="0.2">
      <c r="A8" s="4" t="s">
        <v>1</v>
      </c>
      <c r="C8" s="77"/>
      <c r="D8" s="101"/>
      <c r="E8" s="101"/>
      <c r="F8" s="101"/>
      <c r="G8" s="101"/>
      <c r="H8" s="30"/>
      <c r="I8" s="66"/>
      <c r="J8" s="66"/>
      <c r="K8" s="66"/>
      <c r="L8" s="66"/>
      <c r="M8" s="67"/>
      <c r="N8" s="46"/>
      <c r="O8" s="68" t="s">
        <v>74</v>
      </c>
      <c r="P8" s="68" t="s">
        <v>75</v>
      </c>
      <c r="Q8" s="29" t="s">
        <v>76</v>
      </c>
      <c r="R8" s="29"/>
      <c r="S8" s="29"/>
      <c r="T8" s="29"/>
    </row>
    <row r="9" spans="1:20" x14ac:dyDescent="0.2">
      <c r="A9" s="2" t="s">
        <v>45</v>
      </c>
      <c r="B9" s="1" t="s">
        <v>42</v>
      </c>
      <c r="C9" s="79">
        <v>1</v>
      </c>
      <c r="D9" s="80">
        <v>2.1254626747467209</v>
      </c>
      <c r="E9" s="80">
        <v>12</v>
      </c>
      <c r="F9" s="80">
        <v>4.9000000000000004</v>
      </c>
      <c r="G9" s="80"/>
      <c r="H9" s="31">
        <f>55000</f>
        <v>55000</v>
      </c>
      <c r="I9" s="66">
        <f>H9/12*D9*C9</f>
        <v>9741.7039259224694</v>
      </c>
      <c r="J9" s="66">
        <f>C9*E9*H9/12</f>
        <v>55000</v>
      </c>
      <c r="K9" s="66">
        <f>C9*F9*I9/12*1.03</f>
        <v>4097.1983095108926</v>
      </c>
      <c r="L9" s="66"/>
      <c r="M9" s="67">
        <f>SUM(I9:L9)</f>
        <v>68838.902235433357</v>
      </c>
      <c r="N9" s="46"/>
      <c r="O9" s="69">
        <f>SUM(I9,I17)</f>
        <v>15499.050946142648</v>
      </c>
      <c r="P9" s="77">
        <f>D9*173.33/8</f>
        <v>46.050805676731144</v>
      </c>
      <c r="Q9" s="85">
        <f>O9/P9</f>
        <v>336.56416469547486</v>
      </c>
      <c r="R9" s="84"/>
      <c r="S9" s="29"/>
      <c r="T9" s="29"/>
    </row>
    <row r="10" spans="1:20" x14ac:dyDescent="0.2">
      <c r="A10" s="2"/>
      <c r="C10" s="78"/>
      <c r="D10" s="78"/>
      <c r="E10" s="78"/>
      <c r="F10" s="78"/>
      <c r="G10" s="78"/>
      <c r="H10" s="36"/>
      <c r="I10" s="69"/>
      <c r="J10" s="69"/>
      <c r="K10" s="69"/>
      <c r="L10" s="69"/>
      <c r="M10" s="67"/>
      <c r="N10" s="46"/>
      <c r="O10" s="29"/>
      <c r="P10" s="29"/>
      <c r="Q10" s="29"/>
      <c r="R10" s="29"/>
      <c r="S10" s="29"/>
      <c r="T10" s="29"/>
    </row>
    <row r="11" spans="1:20" x14ac:dyDescent="0.2">
      <c r="C11" s="78"/>
      <c r="D11" s="78"/>
      <c r="E11" s="78"/>
      <c r="F11" s="78"/>
      <c r="G11" s="78"/>
      <c r="H11" s="31"/>
      <c r="I11" s="66"/>
      <c r="J11" s="66"/>
      <c r="K11" s="66"/>
      <c r="L11" s="66"/>
      <c r="M11" s="67"/>
      <c r="N11" s="44"/>
      <c r="O11" s="29"/>
      <c r="P11" s="29"/>
      <c r="Q11" s="29"/>
      <c r="R11" s="29"/>
      <c r="S11" s="29"/>
      <c r="T11" s="29"/>
    </row>
    <row r="12" spans="1:20" ht="19" thickBot="1" x14ac:dyDescent="0.25">
      <c r="B12" s="1" t="s">
        <v>20</v>
      </c>
      <c r="C12" s="29"/>
      <c r="D12" s="29"/>
      <c r="E12" s="29"/>
      <c r="F12" s="29"/>
      <c r="G12" s="29"/>
      <c r="H12" s="30"/>
      <c r="I12" s="62">
        <f>SUM(I6:I11)</f>
        <v>9741.7039259224694</v>
      </c>
      <c r="J12" s="62">
        <f t="shared" ref="J12:L12" si="0">SUM(J6:J11)</f>
        <v>77144.753624000004</v>
      </c>
      <c r="K12" s="62">
        <f t="shared" si="0"/>
        <v>4097.1983095108926</v>
      </c>
      <c r="L12" s="62">
        <f t="shared" si="0"/>
        <v>19718.979200000002</v>
      </c>
      <c r="M12" s="62">
        <f>SUM(I12:L12)</f>
        <v>110702.63505943336</v>
      </c>
      <c r="N12" s="46"/>
      <c r="O12" s="68"/>
      <c r="P12" s="29"/>
      <c r="Q12" s="29"/>
      <c r="R12" s="29"/>
      <c r="S12" s="29"/>
      <c r="T12" s="29"/>
    </row>
    <row r="13" spans="1:20" ht="15.5" customHeight="1" thickTop="1" x14ac:dyDescent="0.2">
      <c r="C13" s="29"/>
      <c r="D13" s="29"/>
      <c r="E13" s="29"/>
      <c r="F13" s="29"/>
      <c r="G13" s="29"/>
      <c r="H13" s="30"/>
      <c r="I13" s="69"/>
      <c r="J13" s="69"/>
      <c r="K13" s="69"/>
      <c r="L13" s="69"/>
      <c r="M13" s="71"/>
      <c r="N13" s="46"/>
      <c r="O13" s="68"/>
      <c r="P13" s="29"/>
      <c r="Q13" s="29"/>
      <c r="R13" s="29"/>
      <c r="S13" s="29"/>
      <c r="T13" s="29"/>
    </row>
    <row r="14" spans="1:20" x14ac:dyDescent="0.2">
      <c r="A14" s="4" t="s">
        <v>2</v>
      </c>
      <c r="C14" s="29" t="s">
        <v>0</v>
      </c>
      <c r="D14" s="29"/>
      <c r="E14" s="29"/>
      <c r="F14" s="29"/>
      <c r="G14" s="29"/>
      <c r="H14" s="30"/>
      <c r="I14" s="66"/>
      <c r="J14" s="66"/>
      <c r="K14" s="66"/>
      <c r="L14" s="66"/>
      <c r="M14" s="67" t="s">
        <v>0</v>
      </c>
      <c r="N14" s="46"/>
      <c r="O14" s="68"/>
      <c r="P14" s="29"/>
      <c r="Q14" s="29"/>
      <c r="R14" s="29"/>
      <c r="S14" s="29"/>
      <c r="T14" s="29"/>
    </row>
    <row r="15" spans="1:20" x14ac:dyDescent="0.2">
      <c r="A15" s="1" t="s">
        <v>29</v>
      </c>
      <c r="B15" s="1" t="s">
        <v>31</v>
      </c>
      <c r="C15" s="32">
        <v>0.22</v>
      </c>
      <c r="D15" s="32"/>
      <c r="E15" s="32"/>
      <c r="F15" s="32"/>
      <c r="G15" s="32"/>
      <c r="H15" s="33"/>
      <c r="I15" s="66">
        <f>I6*$C15</f>
        <v>0</v>
      </c>
      <c r="J15" s="66">
        <f>J6*C15</f>
        <v>3739.8064000000004</v>
      </c>
      <c r="K15" s="66">
        <f>K6*C15</f>
        <v>0</v>
      </c>
      <c r="L15" s="66"/>
      <c r="M15" s="67">
        <f>SUM(I15:L15)</f>
        <v>3739.8064000000004</v>
      </c>
      <c r="N15" s="46"/>
      <c r="O15" s="68"/>
      <c r="P15" s="29"/>
      <c r="Q15" s="29"/>
      <c r="R15" s="29"/>
      <c r="S15" s="29"/>
      <c r="T15" s="29"/>
    </row>
    <row r="16" spans="1:20" x14ac:dyDescent="0.2">
      <c r="A16" s="1" t="s">
        <v>29</v>
      </c>
      <c r="B16" s="1" t="s">
        <v>50</v>
      </c>
      <c r="C16" s="32">
        <v>0.4012</v>
      </c>
      <c r="D16" s="32"/>
      <c r="E16" s="32"/>
      <c r="F16" s="32"/>
      <c r="G16" s="32"/>
      <c r="H16" s="33"/>
      <c r="I16" s="66"/>
      <c r="J16" s="66">
        <f>J7*C16</f>
        <v>2064.4282099488005</v>
      </c>
      <c r="K16" s="66"/>
      <c r="L16" s="66">
        <f>C16*L7</f>
        <v>7911.2544550400007</v>
      </c>
      <c r="M16" s="67">
        <f>SUM(I16:L16)</f>
        <v>9975.6826649888008</v>
      </c>
      <c r="N16" s="46"/>
      <c r="O16" s="68"/>
      <c r="P16" s="29"/>
      <c r="Q16" s="29"/>
      <c r="R16" s="29"/>
      <c r="S16" s="29"/>
      <c r="T16" s="29"/>
    </row>
    <row r="17" spans="1:20" s="11" customFormat="1" x14ac:dyDescent="0.2">
      <c r="A17" s="2" t="s">
        <v>45</v>
      </c>
      <c r="B17" s="11" t="s">
        <v>34</v>
      </c>
      <c r="C17" s="32">
        <v>0.59099999999999997</v>
      </c>
      <c r="D17" s="32"/>
      <c r="E17" s="32"/>
      <c r="F17" s="32"/>
      <c r="G17" s="32"/>
      <c r="H17" s="33"/>
      <c r="I17" s="66">
        <f>I9*$C17</f>
        <v>5757.3470202201788</v>
      </c>
      <c r="J17" s="66">
        <f>J9*C17</f>
        <v>32505</v>
      </c>
      <c r="K17" s="66">
        <f>K9*C17</f>
        <v>2421.4442009209374</v>
      </c>
      <c r="L17" s="66"/>
      <c r="M17" s="67">
        <f>SUM(I17:L17)</f>
        <v>40683.791221141117</v>
      </c>
      <c r="N17" s="47"/>
      <c r="O17" s="72"/>
      <c r="P17" s="73"/>
      <c r="Q17" s="73"/>
      <c r="R17" s="73"/>
      <c r="S17" s="73"/>
      <c r="T17" s="73"/>
    </row>
    <row r="18" spans="1:20" s="11" customFormat="1" x14ac:dyDescent="0.2">
      <c r="A18" s="2"/>
      <c r="C18" s="32"/>
      <c r="D18" s="32"/>
      <c r="E18" s="32"/>
      <c r="F18" s="32"/>
      <c r="G18" s="32"/>
      <c r="H18" s="33"/>
      <c r="I18" s="66"/>
      <c r="J18" s="66"/>
      <c r="K18" s="66"/>
      <c r="L18" s="66"/>
      <c r="M18" s="67">
        <f>SUM(I18:L18)</f>
        <v>0</v>
      </c>
      <c r="N18" s="47"/>
      <c r="O18" s="72"/>
      <c r="P18" s="73"/>
      <c r="Q18" s="73"/>
      <c r="R18" s="73"/>
      <c r="S18" s="73"/>
      <c r="T18" s="73"/>
    </row>
    <row r="19" spans="1:20" x14ac:dyDescent="0.2">
      <c r="C19" s="32"/>
      <c r="D19" s="32"/>
      <c r="E19" s="32"/>
      <c r="F19" s="32"/>
      <c r="G19" s="32"/>
      <c r="H19" s="33"/>
      <c r="I19" s="66"/>
      <c r="J19" s="66"/>
      <c r="K19" s="66"/>
      <c r="L19" s="66"/>
      <c r="M19" s="67"/>
      <c r="N19" s="46"/>
      <c r="O19" s="68"/>
      <c r="P19" s="29"/>
      <c r="Q19" s="29"/>
      <c r="R19" s="29"/>
      <c r="S19" s="29"/>
      <c r="T19" s="29"/>
    </row>
    <row r="20" spans="1:20" ht="19" thickBot="1" x14ac:dyDescent="0.25">
      <c r="B20" s="1" t="s">
        <v>19</v>
      </c>
      <c r="C20" s="7"/>
      <c r="D20" s="7"/>
      <c r="E20" s="7"/>
      <c r="F20" s="7"/>
      <c r="G20" s="7"/>
      <c r="H20" s="27"/>
      <c r="I20" s="62">
        <f>SUM(I15:I19)</f>
        <v>5757.3470202201788</v>
      </c>
      <c r="J20" s="62">
        <f>SUM(J15:J19)</f>
        <v>38309.234609948799</v>
      </c>
      <c r="K20" s="62">
        <f>SUM(K15:K19)</f>
        <v>2421.4442009209374</v>
      </c>
      <c r="L20" s="62">
        <f>SUM(L15:L19)</f>
        <v>7911.2544550400007</v>
      </c>
      <c r="M20" s="70">
        <f>SUM(I20:L20)</f>
        <v>54399.280286129913</v>
      </c>
      <c r="N20" s="46"/>
      <c r="O20" s="68"/>
      <c r="P20" s="29"/>
      <c r="Q20" s="29"/>
      <c r="R20" s="29"/>
      <c r="S20" s="29"/>
      <c r="T20" s="29"/>
    </row>
    <row r="21" spans="1:20" ht="19" thickTop="1" x14ac:dyDescent="0.2">
      <c r="I21" s="66"/>
      <c r="J21" s="66"/>
      <c r="K21" s="66"/>
      <c r="L21" s="66"/>
      <c r="M21" s="74"/>
      <c r="N21" s="46"/>
      <c r="O21" s="68"/>
      <c r="P21" s="29"/>
      <c r="Q21" s="29"/>
      <c r="R21" s="29"/>
      <c r="S21" s="29"/>
      <c r="T21" s="29"/>
    </row>
    <row r="22" spans="1:20" ht="19" thickBot="1" x14ac:dyDescent="0.25">
      <c r="A22" s="4" t="s">
        <v>4</v>
      </c>
      <c r="I22" s="18">
        <f t="shared" ref="I22" si="1">+I20+I12</f>
        <v>15499.050946142648</v>
      </c>
      <c r="J22" s="18">
        <f>+J20+J12</f>
        <v>115453.9882339488</v>
      </c>
      <c r="K22" s="18">
        <f>+K20+K12</f>
        <v>6518.6425104318296</v>
      </c>
      <c r="L22" s="18">
        <f>+L20+L12</f>
        <v>27630.233655040003</v>
      </c>
      <c r="M22" s="18">
        <f>+M20+M12</f>
        <v>165101.91534556326</v>
      </c>
      <c r="N22" s="45"/>
      <c r="O22" s="6"/>
    </row>
    <row r="23" spans="1:20" ht="19" thickTop="1" x14ac:dyDescent="0.2">
      <c r="I23" s="16"/>
      <c r="J23" s="16"/>
      <c r="K23" s="16"/>
      <c r="L23" s="16"/>
      <c r="M23" s="16"/>
      <c r="N23" s="45"/>
      <c r="O23" s="6"/>
    </row>
    <row r="24" spans="1:20" x14ac:dyDescent="0.2">
      <c r="A24" s="4" t="s">
        <v>7</v>
      </c>
      <c r="C24" s="8"/>
      <c r="D24" s="8"/>
      <c r="E24" s="8"/>
      <c r="F24" s="8"/>
      <c r="G24" s="8"/>
      <c r="H24" s="27"/>
      <c r="I24" s="17"/>
      <c r="J24" s="17"/>
      <c r="K24" s="17"/>
      <c r="L24" s="17"/>
      <c r="M24" s="16"/>
      <c r="N24" s="45"/>
    </row>
    <row r="25" spans="1:20" x14ac:dyDescent="0.2">
      <c r="A25" s="4"/>
      <c r="B25" s="1" t="s">
        <v>44</v>
      </c>
      <c r="C25" s="75"/>
      <c r="D25" s="75"/>
      <c r="E25" s="75"/>
      <c r="F25" s="75"/>
      <c r="G25" s="75"/>
      <c r="H25" s="33"/>
      <c r="I25" s="67">
        <f>R32*2</f>
        <v>2696</v>
      </c>
      <c r="J25" s="67">
        <f>R32*2</f>
        <v>2696</v>
      </c>
      <c r="K25" s="67">
        <f>R32*2</f>
        <v>2696</v>
      </c>
      <c r="L25" s="67"/>
      <c r="M25" s="37">
        <f>SUM(I25:L25)</f>
        <v>8088</v>
      </c>
      <c r="N25" s="61"/>
    </row>
    <row r="26" spans="1:20" ht="36" x14ac:dyDescent="0.2">
      <c r="A26" s="4"/>
      <c r="B26" s="1" t="s">
        <v>14</v>
      </c>
      <c r="C26" s="8"/>
      <c r="D26" s="8"/>
      <c r="E26" s="8"/>
      <c r="F26" s="8"/>
      <c r="G26" s="8"/>
      <c r="H26" s="27"/>
      <c r="I26" s="17">
        <v>0</v>
      </c>
      <c r="J26" s="17"/>
      <c r="K26" s="17"/>
      <c r="L26" s="17"/>
      <c r="M26" s="37">
        <f t="shared" ref="M26:M27" si="2">SUM(I26:L26)</f>
        <v>0</v>
      </c>
      <c r="N26" s="45"/>
      <c r="O26" s="49"/>
      <c r="P26" s="50" t="s">
        <v>51</v>
      </c>
      <c r="Q26" s="51" t="s">
        <v>40</v>
      </c>
      <c r="R26" s="52" t="s">
        <v>41</v>
      </c>
    </row>
    <row r="27" spans="1:20" x14ac:dyDescent="0.2">
      <c r="A27" s="4"/>
      <c r="B27" s="1" t="s">
        <v>16</v>
      </c>
      <c r="C27" s="8"/>
      <c r="D27" s="8"/>
      <c r="E27" s="8"/>
      <c r="F27" s="8"/>
      <c r="G27" s="8"/>
      <c r="H27" s="64"/>
      <c r="I27" s="24">
        <v>0</v>
      </c>
      <c r="J27" s="24"/>
      <c r="K27" s="24"/>
      <c r="L27" s="24"/>
      <c r="M27" s="37">
        <f t="shared" si="2"/>
        <v>0</v>
      </c>
      <c r="N27" s="45"/>
      <c r="O27" s="53" t="s">
        <v>35</v>
      </c>
      <c r="P27" s="54">
        <v>3</v>
      </c>
      <c r="Q27" s="54">
        <v>190</v>
      </c>
      <c r="R27" s="55">
        <f>P27*Q27</f>
        <v>570</v>
      </c>
    </row>
    <row r="28" spans="1:20" ht="19" thickBot="1" x14ac:dyDescent="0.25">
      <c r="A28" s="4"/>
      <c r="B28" s="1" t="s">
        <v>17</v>
      </c>
      <c r="C28" s="8"/>
      <c r="D28" s="8"/>
      <c r="E28" s="8"/>
      <c r="F28" s="8"/>
      <c r="G28" s="8"/>
      <c r="H28" s="27"/>
      <c r="I28" s="18">
        <f t="shared" ref="I28" si="3">SUM(I25:I27)</f>
        <v>2696</v>
      </c>
      <c r="J28" s="18">
        <f>SUM(J25:J27)</f>
        <v>2696</v>
      </c>
      <c r="K28" s="18">
        <f>SUM(K25:K27)</f>
        <v>2696</v>
      </c>
      <c r="L28" s="18">
        <f>SUM(L25:L27)</f>
        <v>0</v>
      </c>
      <c r="M28" s="63">
        <f>SUM(M25:M27)</f>
        <v>8088</v>
      </c>
      <c r="N28" s="45"/>
      <c r="O28" s="56" t="s">
        <v>36</v>
      </c>
      <c r="P28" s="57"/>
      <c r="Q28" s="57">
        <v>500</v>
      </c>
      <c r="R28" s="55">
        <f>Q28</f>
        <v>500</v>
      </c>
    </row>
    <row r="29" spans="1:20" ht="19" thickTop="1" x14ac:dyDescent="0.2">
      <c r="C29" s="8"/>
      <c r="D29" s="8"/>
      <c r="E29" s="8"/>
      <c r="F29" s="8"/>
      <c r="G29" s="8"/>
      <c r="H29" s="27"/>
      <c r="I29" s="17"/>
      <c r="J29" s="17"/>
      <c r="K29" s="17"/>
      <c r="L29" s="17"/>
      <c r="M29" s="16"/>
      <c r="N29" s="45"/>
      <c r="O29" s="56" t="s">
        <v>37</v>
      </c>
      <c r="P29" s="57">
        <v>4</v>
      </c>
      <c r="Q29" s="57">
        <v>57</v>
      </c>
      <c r="R29" s="55">
        <f>P29*Q29</f>
        <v>228</v>
      </c>
    </row>
    <row r="30" spans="1:20" x14ac:dyDescent="0.2">
      <c r="A30" s="4" t="s">
        <v>8</v>
      </c>
      <c r="C30" s="8"/>
      <c r="D30" s="8"/>
      <c r="E30" s="8"/>
      <c r="F30" s="8"/>
      <c r="G30" s="8"/>
      <c r="H30" s="27"/>
      <c r="I30" s="17"/>
      <c r="J30" s="17"/>
      <c r="K30" s="17"/>
      <c r="L30" s="17"/>
      <c r="M30" s="16"/>
      <c r="N30" s="46"/>
      <c r="O30" s="56" t="s">
        <v>38</v>
      </c>
      <c r="P30" s="57"/>
      <c r="Q30" s="57"/>
      <c r="R30" s="55">
        <f>Q30</f>
        <v>0</v>
      </c>
    </row>
    <row r="31" spans="1:20" x14ac:dyDescent="0.2">
      <c r="A31" s="4"/>
      <c r="C31" s="8"/>
      <c r="D31" s="8"/>
      <c r="E31" s="8"/>
      <c r="F31" s="8"/>
      <c r="G31" s="8"/>
      <c r="H31" s="27"/>
      <c r="I31" s="17">
        <v>0</v>
      </c>
      <c r="J31" s="17"/>
      <c r="K31" s="17"/>
      <c r="L31" s="17"/>
      <c r="M31" s="17">
        <f>SUM(I31:I31)</f>
        <v>0</v>
      </c>
      <c r="N31" s="45"/>
      <c r="O31" s="56" t="s">
        <v>39</v>
      </c>
      <c r="P31" s="57"/>
      <c r="Q31" s="57">
        <v>50</v>
      </c>
      <c r="R31" s="60">
        <f>Q31</f>
        <v>50</v>
      </c>
    </row>
    <row r="32" spans="1:20" ht="19" thickBot="1" x14ac:dyDescent="0.25">
      <c r="A32" s="4"/>
      <c r="B32" s="1" t="s">
        <v>18</v>
      </c>
      <c r="C32" s="8"/>
      <c r="D32" s="8"/>
      <c r="E32" s="8"/>
      <c r="F32" s="8"/>
      <c r="G32" s="8"/>
      <c r="H32" s="27"/>
      <c r="I32" s="18">
        <f>SUM(I29:I31)</f>
        <v>0</v>
      </c>
      <c r="J32" s="18">
        <f>SUM(J29:J31)</f>
        <v>0</v>
      </c>
      <c r="K32" s="18">
        <f>SUM(K29:K31)</f>
        <v>0</v>
      </c>
      <c r="L32" s="18">
        <f>SUM(L29:L31)</f>
        <v>0</v>
      </c>
      <c r="M32" s="18">
        <f>SUM(M30:M31)</f>
        <v>0</v>
      </c>
      <c r="N32" s="45"/>
      <c r="O32" s="58"/>
      <c r="P32" s="59"/>
      <c r="Q32" s="59"/>
      <c r="R32" s="60">
        <f>SUM(R27:R31)</f>
        <v>1348</v>
      </c>
    </row>
    <row r="33" spans="1:16" ht="19" thickTop="1" x14ac:dyDescent="0.2">
      <c r="C33" s="8"/>
      <c r="D33" s="8"/>
      <c r="E33" s="8"/>
      <c r="F33" s="8"/>
      <c r="G33" s="8"/>
      <c r="H33" s="27"/>
      <c r="I33" s="17"/>
      <c r="J33" s="17"/>
      <c r="K33" s="17"/>
      <c r="L33" s="17"/>
      <c r="M33" s="16"/>
      <c r="N33" s="45"/>
    </row>
    <row r="34" spans="1:16" x14ac:dyDescent="0.2">
      <c r="A34" s="4" t="s">
        <v>11</v>
      </c>
      <c r="C34" s="8"/>
      <c r="D34" s="8"/>
      <c r="E34" s="8"/>
      <c r="F34" s="8"/>
      <c r="G34" s="8"/>
      <c r="H34" s="27"/>
      <c r="N34" s="45"/>
    </row>
    <row r="35" spans="1:16" x14ac:dyDescent="0.2">
      <c r="B35" s="12" t="s">
        <v>22</v>
      </c>
      <c r="C35" s="8"/>
      <c r="D35" s="8"/>
      <c r="E35" s="8"/>
      <c r="F35" s="8"/>
      <c r="G35" s="8"/>
      <c r="H35" s="27"/>
      <c r="I35" s="17">
        <v>0</v>
      </c>
      <c r="J35" s="17"/>
      <c r="K35" s="17"/>
      <c r="L35" s="17"/>
      <c r="M35" s="17">
        <f>SUM(I35:L35)</f>
        <v>0</v>
      </c>
      <c r="N35" s="45"/>
    </row>
    <row r="36" spans="1:16" x14ac:dyDescent="0.2">
      <c r="B36" s="12" t="s">
        <v>28</v>
      </c>
      <c r="C36" s="8"/>
      <c r="D36" s="8"/>
      <c r="E36" s="8"/>
      <c r="F36" s="8"/>
      <c r="G36" s="8"/>
      <c r="H36" s="27"/>
      <c r="I36" s="17">
        <v>0</v>
      </c>
      <c r="J36" s="17"/>
      <c r="K36" s="17"/>
      <c r="L36" s="17"/>
      <c r="M36" s="17">
        <f t="shared" ref="M36:M40" si="4">SUM(I36:L36)</f>
        <v>0</v>
      </c>
      <c r="N36" s="45"/>
    </row>
    <row r="37" spans="1:16" x14ac:dyDescent="0.2">
      <c r="B37" s="12" t="s">
        <v>23</v>
      </c>
      <c r="C37" s="8"/>
      <c r="D37" s="8"/>
      <c r="E37" s="8"/>
      <c r="F37" s="8"/>
      <c r="G37" s="8"/>
      <c r="H37" s="27"/>
      <c r="I37" s="17">
        <v>0</v>
      </c>
      <c r="J37" s="17"/>
      <c r="K37" s="17"/>
      <c r="L37" s="17"/>
      <c r="M37" s="17">
        <f t="shared" si="4"/>
        <v>0</v>
      </c>
      <c r="N37" s="45"/>
    </row>
    <row r="38" spans="1:16" x14ac:dyDescent="0.2">
      <c r="B38" s="1" t="s">
        <v>13</v>
      </c>
      <c r="C38" s="8"/>
      <c r="D38" s="8"/>
      <c r="E38" s="8"/>
      <c r="F38" s="8"/>
      <c r="G38" s="8"/>
      <c r="H38" s="27"/>
      <c r="I38" s="17">
        <v>0</v>
      </c>
      <c r="J38" s="17"/>
      <c r="K38" s="17"/>
      <c r="L38" s="17"/>
      <c r="M38" s="17">
        <f t="shared" si="4"/>
        <v>0</v>
      </c>
    </row>
    <row r="39" spans="1:16" x14ac:dyDescent="0.2">
      <c r="B39" s="1" t="s">
        <v>15</v>
      </c>
      <c r="C39" s="8"/>
      <c r="D39" s="8"/>
      <c r="E39" s="8"/>
      <c r="F39" s="8"/>
      <c r="G39" s="8"/>
      <c r="H39" s="27"/>
      <c r="I39" s="17">
        <v>0</v>
      </c>
      <c r="J39" s="17"/>
      <c r="K39" s="17"/>
      <c r="L39" s="17"/>
      <c r="M39" s="17">
        <f t="shared" si="4"/>
        <v>0</v>
      </c>
      <c r="N39" s="45"/>
    </row>
    <row r="40" spans="1:16" x14ac:dyDescent="0.2">
      <c r="B40" s="1" t="s">
        <v>9</v>
      </c>
      <c r="C40" s="34"/>
      <c r="D40" s="34"/>
      <c r="E40" s="34"/>
      <c r="F40" s="34"/>
      <c r="G40" s="34"/>
      <c r="H40" s="33"/>
      <c r="I40" s="39"/>
      <c r="J40" s="39"/>
      <c r="K40" s="39"/>
      <c r="L40" s="39"/>
      <c r="M40" s="17">
        <f t="shared" si="4"/>
        <v>0</v>
      </c>
      <c r="N40" s="48"/>
      <c r="O40" s="38"/>
      <c r="P40" s="38"/>
    </row>
    <row r="41" spans="1:16" ht="19" thickBot="1" x14ac:dyDescent="0.25">
      <c r="B41" s="1" t="s">
        <v>12</v>
      </c>
      <c r="C41" s="8"/>
      <c r="D41" s="8"/>
      <c r="E41" s="8"/>
      <c r="F41" s="8"/>
      <c r="G41" s="8"/>
      <c r="H41" s="27"/>
      <c r="I41" s="40">
        <f>SUM(I35:I40)</f>
        <v>0</v>
      </c>
      <c r="J41" s="40">
        <f t="shared" ref="J41:M41" si="5">SUM(J35:J40)</f>
        <v>0</v>
      </c>
      <c r="K41" s="40">
        <f t="shared" si="5"/>
        <v>0</v>
      </c>
      <c r="L41" s="40">
        <f>SUM(L35:L40)</f>
        <v>0</v>
      </c>
      <c r="M41" s="40">
        <f t="shared" si="5"/>
        <v>0</v>
      </c>
      <c r="N41" s="48"/>
      <c r="O41" s="38"/>
      <c r="P41" s="38"/>
    </row>
    <row r="42" spans="1:16" ht="19" thickTop="1" x14ac:dyDescent="0.2">
      <c r="C42" s="8"/>
      <c r="D42" s="8"/>
      <c r="E42" s="8"/>
      <c r="F42" s="8"/>
      <c r="G42" s="8"/>
      <c r="H42" s="27"/>
      <c r="I42" s="41"/>
      <c r="J42" s="41"/>
      <c r="K42" s="41"/>
      <c r="L42" s="41"/>
      <c r="M42" s="41"/>
      <c r="N42" s="48"/>
      <c r="O42" s="38"/>
      <c r="P42" s="38"/>
    </row>
    <row r="43" spans="1:16" x14ac:dyDescent="0.2">
      <c r="A43" s="4" t="s">
        <v>24</v>
      </c>
      <c r="C43" s="8"/>
      <c r="D43" s="8"/>
      <c r="E43" s="8"/>
      <c r="F43" s="8"/>
      <c r="G43" s="8"/>
      <c r="H43" s="27"/>
      <c r="N43" s="46"/>
    </row>
    <row r="44" spans="1:16" ht="19" thickBot="1" x14ac:dyDescent="0.25">
      <c r="B44" s="1" t="s">
        <v>25</v>
      </c>
      <c r="C44" s="8"/>
      <c r="D44" s="8"/>
      <c r="E44" s="8"/>
      <c r="F44" s="8"/>
      <c r="G44" s="8"/>
      <c r="H44" s="27"/>
      <c r="I44" s="18"/>
      <c r="J44" s="18"/>
      <c r="K44" s="18"/>
      <c r="L44" s="18"/>
      <c r="M44" s="19">
        <f>SUM(I44:I44)</f>
        <v>0</v>
      </c>
      <c r="N44" s="45"/>
    </row>
    <row r="45" spans="1:16" ht="19" thickTop="1" x14ac:dyDescent="0.2">
      <c r="C45" s="8"/>
      <c r="D45" s="8"/>
      <c r="E45" s="8"/>
      <c r="F45" s="8"/>
      <c r="G45" s="8"/>
      <c r="H45" s="27"/>
      <c r="I45" s="17"/>
      <c r="J45" s="17"/>
      <c r="K45" s="17"/>
      <c r="L45" s="17"/>
      <c r="M45" s="16"/>
      <c r="N45" s="45"/>
    </row>
    <row r="46" spans="1:16" ht="19" thickBot="1" x14ac:dyDescent="0.25">
      <c r="A46" s="4" t="s">
        <v>10</v>
      </c>
      <c r="I46" s="18">
        <f>I12+I20+I28+I32+I41+I44</f>
        <v>18195.050946142648</v>
      </c>
      <c r="J46" s="18">
        <f>J12+J20+J28+J32+J41+J44</f>
        <v>118149.9882339488</v>
      </c>
      <c r="K46" s="18">
        <f>K12+K20+K28+K32+K41+K44</f>
        <v>9214.6425104318296</v>
      </c>
      <c r="L46" s="18">
        <f>L12+L20+L28+L32+L41+L44</f>
        <v>27630.233655040003</v>
      </c>
      <c r="M46" s="18">
        <f>M12+M20+M28+M32+M41+M44</f>
        <v>173189.91534556326</v>
      </c>
      <c r="N46" s="45"/>
      <c r="O46" s="6"/>
    </row>
    <row r="47" spans="1:16" ht="19" thickTop="1" x14ac:dyDescent="0.2">
      <c r="C47" s="8"/>
      <c r="D47" s="8"/>
      <c r="E47" s="8"/>
      <c r="F47" s="8"/>
      <c r="G47" s="8"/>
      <c r="H47" s="27"/>
      <c r="I47" s="17"/>
      <c r="J47" s="17"/>
      <c r="K47" s="17"/>
      <c r="L47" s="17"/>
      <c r="M47" s="16"/>
      <c r="N47" s="45"/>
    </row>
    <row r="48" spans="1:16" x14ac:dyDescent="0.2">
      <c r="B48" s="1" t="s">
        <v>27</v>
      </c>
      <c r="C48" s="8"/>
      <c r="D48" s="8"/>
      <c r="E48" s="8"/>
      <c r="F48" s="8"/>
      <c r="G48" s="8"/>
      <c r="H48" s="8"/>
      <c r="I48" s="82">
        <f>I46-I40</f>
        <v>18195.050946142648</v>
      </c>
      <c r="J48" s="82">
        <f>J46-J40</f>
        <v>118149.9882339488</v>
      </c>
      <c r="K48" s="82">
        <f>K46-K40</f>
        <v>9214.6425104318296</v>
      </c>
      <c r="L48" s="82">
        <f>L46-L40</f>
        <v>27630.233655040003</v>
      </c>
      <c r="M48" s="82">
        <f>SUM(I48:L48)</f>
        <v>173189.91534556326</v>
      </c>
      <c r="N48" s="45"/>
    </row>
    <row r="49" spans="1:16" x14ac:dyDescent="0.2">
      <c r="A49" s="4" t="s">
        <v>5</v>
      </c>
      <c r="C49" s="8"/>
      <c r="D49" s="8"/>
      <c r="E49" s="8"/>
      <c r="F49" s="8"/>
      <c r="G49" s="8"/>
      <c r="H49" s="8"/>
      <c r="I49" s="83"/>
      <c r="J49" s="83"/>
      <c r="K49" s="83"/>
      <c r="L49" s="83"/>
      <c r="M49" s="83"/>
      <c r="N49" s="45"/>
    </row>
    <row r="50" spans="1:16" x14ac:dyDescent="0.2">
      <c r="A50" s="4"/>
      <c r="C50" s="7">
        <v>0.374</v>
      </c>
      <c r="D50" s="8"/>
      <c r="E50" s="8"/>
      <c r="F50" s="8"/>
      <c r="G50" s="8"/>
      <c r="H50" s="8"/>
      <c r="I50" s="83">
        <f>I48*$C50</f>
        <v>6804.94905385735</v>
      </c>
      <c r="J50" s="83">
        <f>J48*$C50</f>
        <v>44188.095599496846</v>
      </c>
      <c r="K50" s="83">
        <f>K48*$C50</f>
        <v>3446.2762989015041</v>
      </c>
      <c r="L50" s="83">
        <f>L48*$C50</f>
        <v>10333.707386984961</v>
      </c>
      <c r="M50" s="83">
        <f>SUM(I50:L50)</f>
        <v>64773.028339240664</v>
      </c>
      <c r="N50" s="45"/>
      <c r="P50" s="65"/>
    </row>
    <row r="51" spans="1:16" x14ac:dyDescent="0.2">
      <c r="A51" s="4" t="s">
        <v>49</v>
      </c>
      <c r="C51" s="7">
        <v>0.11700000000000001</v>
      </c>
      <c r="D51" s="8"/>
      <c r="E51" s="8"/>
      <c r="F51" s="8"/>
      <c r="G51" s="8"/>
      <c r="H51" s="8"/>
      <c r="I51" s="83"/>
      <c r="J51" s="83"/>
      <c r="K51" s="83"/>
      <c r="L51" s="83">
        <f>(I48+J48+K48)*C51</f>
        <v>17030.482757791222</v>
      </c>
      <c r="M51" s="83">
        <f>SUM(I51:L51)</f>
        <v>17030.482757791222</v>
      </c>
      <c r="N51" s="45"/>
      <c r="P51" s="65"/>
    </row>
    <row r="52" spans="1:16" x14ac:dyDescent="0.2">
      <c r="A52" s="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46"/>
    </row>
    <row r="53" spans="1:16" x14ac:dyDescent="0.2">
      <c r="B53" s="1" t="s">
        <v>26</v>
      </c>
      <c r="I53" s="16"/>
      <c r="J53" s="16"/>
      <c r="K53" s="16"/>
      <c r="L53" s="16"/>
      <c r="M53" s="16"/>
      <c r="N53" s="45"/>
    </row>
    <row r="54" spans="1:16" ht="19" thickBot="1" x14ac:dyDescent="0.25">
      <c r="A54" s="1" t="s">
        <v>0</v>
      </c>
      <c r="C54" s="7" t="s">
        <v>0</v>
      </c>
      <c r="D54" s="7"/>
      <c r="E54" s="7"/>
      <c r="F54" s="7"/>
      <c r="G54" s="7"/>
      <c r="H54" s="27"/>
      <c r="I54" s="16"/>
      <c r="J54" s="16"/>
      <c r="K54" s="16"/>
      <c r="L54" s="16"/>
      <c r="M54" s="16"/>
      <c r="N54" s="45"/>
    </row>
    <row r="55" spans="1:16" ht="19" thickBot="1" x14ac:dyDescent="0.25">
      <c r="A55" s="9" t="s">
        <v>6</v>
      </c>
      <c r="B55" s="10"/>
      <c r="C55" s="10" t="s">
        <v>0</v>
      </c>
      <c r="D55" s="10"/>
      <c r="E55" s="10"/>
      <c r="F55" s="10"/>
      <c r="G55" s="10"/>
      <c r="H55" s="28"/>
      <c r="I55" s="22">
        <f>I46+I50</f>
        <v>25000</v>
      </c>
      <c r="J55" s="22">
        <f>J46+J50</f>
        <v>162338.08383344565</v>
      </c>
      <c r="K55" s="22">
        <f>K46+K50</f>
        <v>12660.918809333334</v>
      </c>
      <c r="L55" s="22">
        <f>L46+L50+L51</f>
        <v>54994.423799816184</v>
      </c>
      <c r="M55" s="22">
        <f>M46+M50+M51</f>
        <v>254993.42644259514</v>
      </c>
      <c r="N55" s="45"/>
    </row>
    <row r="56" spans="1:16" ht="35.25" customHeight="1" x14ac:dyDescent="0.2">
      <c r="B56" s="1" t="s">
        <v>0</v>
      </c>
      <c r="J56" s="87"/>
      <c r="K56" s="87"/>
      <c r="L56" s="87" t="s">
        <v>55</v>
      </c>
      <c r="M56" s="88">
        <v>20000</v>
      </c>
      <c r="N56" s="45" t="s">
        <v>66</v>
      </c>
    </row>
    <row r="57" spans="1:16" x14ac:dyDescent="0.2">
      <c r="J57" s="17"/>
      <c r="K57" s="17"/>
      <c r="L57" s="17" t="s">
        <v>65</v>
      </c>
      <c r="M57" s="16">
        <f>SUM(M55:M56)</f>
        <v>274993.42644259514</v>
      </c>
      <c r="N57" s="45"/>
    </row>
    <row r="58" spans="1:16" ht="19" thickBot="1" x14ac:dyDescent="0.25">
      <c r="I58" s="16" t="s">
        <v>64</v>
      </c>
      <c r="J58" s="16">
        <f>SUM(I55:K55)</f>
        <v>199999.00264277897</v>
      </c>
      <c r="L58" s="16"/>
      <c r="M58" s="16"/>
      <c r="N58" s="45"/>
    </row>
    <row r="59" spans="1:16" ht="19" thickBot="1" x14ac:dyDescent="0.25">
      <c r="J59" s="94"/>
      <c r="L59" s="89" t="s">
        <v>48</v>
      </c>
      <c r="M59" s="90">
        <f>L55/M57</f>
        <v>0.19998450330701364</v>
      </c>
      <c r="N59" s="45"/>
    </row>
    <row r="60" spans="1:16" x14ac:dyDescent="0.2">
      <c r="I60" s="16"/>
      <c r="J60" s="21"/>
      <c r="K60" s="16"/>
      <c r="L60" s="16"/>
      <c r="M60" s="16"/>
      <c r="N60" s="45"/>
    </row>
    <row r="61" spans="1:16" x14ac:dyDescent="0.2">
      <c r="I61" s="16"/>
      <c r="J61" s="16"/>
      <c r="K61" s="16"/>
      <c r="L61" s="16"/>
      <c r="M61" s="16"/>
      <c r="N61" s="45"/>
    </row>
    <row r="62" spans="1:16" x14ac:dyDescent="0.2">
      <c r="I62" s="16"/>
      <c r="J62" s="16"/>
      <c r="K62" s="16"/>
      <c r="L62" s="16"/>
      <c r="M62" s="16"/>
      <c r="N62" s="45"/>
    </row>
    <row r="63" spans="1:16" x14ac:dyDescent="0.2">
      <c r="I63" s="16"/>
      <c r="J63" s="16"/>
      <c r="K63" s="16"/>
      <c r="L63" s="16"/>
      <c r="M63" s="16"/>
      <c r="N63" s="45"/>
    </row>
    <row r="64" spans="1:16" x14ac:dyDescent="0.2">
      <c r="I64" s="16"/>
      <c r="J64" s="16"/>
      <c r="K64" s="16"/>
      <c r="L64" s="16"/>
      <c r="M64" s="20"/>
      <c r="N64" s="45"/>
    </row>
    <row r="65" spans="8:14" x14ac:dyDescent="0.2">
      <c r="I65" s="16"/>
      <c r="J65" s="16"/>
      <c r="K65" s="16"/>
      <c r="L65" s="16"/>
      <c r="M65" s="20"/>
      <c r="N65" s="45"/>
    </row>
    <row r="66" spans="8:14" x14ac:dyDescent="0.2">
      <c r="I66" s="16"/>
      <c r="J66" s="16"/>
      <c r="K66" s="16"/>
      <c r="L66" s="16"/>
      <c r="M66" s="20"/>
      <c r="N66" s="45"/>
    </row>
    <row r="67" spans="8:14" x14ac:dyDescent="0.2">
      <c r="H67" s="1"/>
      <c r="I67" s="16"/>
      <c r="J67" s="16"/>
      <c r="K67" s="16"/>
      <c r="L67" s="16"/>
      <c r="M67" s="20"/>
      <c r="N67" s="45"/>
    </row>
    <row r="68" spans="8:14" x14ac:dyDescent="0.2">
      <c r="H68" s="1"/>
      <c r="I68" s="16"/>
      <c r="J68" s="16"/>
      <c r="K68" s="16"/>
      <c r="L68" s="16"/>
      <c r="M68" s="20"/>
      <c r="N68" s="45"/>
    </row>
    <row r="69" spans="8:14" x14ac:dyDescent="0.2">
      <c r="H69" s="1"/>
      <c r="I69" s="16"/>
      <c r="J69" s="16"/>
      <c r="K69" s="16"/>
      <c r="L69" s="16"/>
      <c r="M69" s="20"/>
      <c r="N69" s="45"/>
    </row>
    <row r="70" spans="8:14" x14ac:dyDescent="0.2">
      <c r="H70" s="1"/>
      <c r="I70" s="16"/>
      <c r="J70" s="16"/>
      <c r="K70" s="16"/>
      <c r="L70" s="16"/>
      <c r="M70" s="20"/>
      <c r="N70" s="45"/>
    </row>
    <row r="71" spans="8:14" x14ac:dyDescent="0.2">
      <c r="H71" s="1"/>
      <c r="I71" s="16"/>
      <c r="J71" s="16"/>
      <c r="K71" s="16"/>
      <c r="L71" s="16"/>
      <c r="M71" s="20"/>
      <c r="N71" s="45"/>
    </row>
    <row r="72" spans="8:14" x14ac:dyDescent="0.2">
      <c r="H72" s="1"/>
      <c r="I72" s="16"/>
      <c r="J72" s="16"/>
      <c r="K72" s="16"/>
      <c r="L72" s="16"/>
      <c r="M72" s="20"/>
      <c r="N72" s="45"/>
    </row>
    <row r="73" spans="8:14" x14ac:dyDescent="0.2">
      <c r="H73" s="1"/>
      <c r="I73" s="16"/>
      <c r="J73" s="16"/>
      <c r="K73" s="16"/>
      <c r="L73" s="16"/>
      <c r="M73" s="20"/>
      <c r="N73" s="45"/>
    </row>
    <row r="74" spans="8:14" x14ac:dyDescent="0.2">
      <c r="H74" s="1"/>
      <c r="I74" s="16"/>
      <c r="J74" s="16"/>
      <c r="K74" s="16"/>
      <c r="L74" s="16"/>
      <c r="M74" s="20"/>
      <c r="N74" s="45"/>
    </row>
    <row r="75" spans="8:14" x14ac:dyDescent="0.2">
      <c r="H75" s="1"/>
      <c r="I75" s="16"/>
      <c r="J75" s="16"/>
      <c r="K75" s="16"/>
      <c r="L75" s="16"/>
      <c r="M75" s="20"/>
      <c r="N75" s="45"/>
    </row>
    <row r="76" spans="8:14" x14ac:dyDescent="0.2">
      <c r="H76" s="1"/>
      <c r="I76" s="16"/>
      <c r="J76" s="16"/>
      <c r="K76" s="16"/>
      <c r="L76" s="16"/>
      <c r="M76" s="20"/>
      <c r="N76" s="45"/>
    </row>
    <row r="77" spans="8:14" x14ac:dyDescent="0.2">
      <c r="H77" s="1"/>
      <c r="I77" s="16"/>
      <c r="J77" s="16"/>
      <c r="K77" s="16"/>
      <c r="L77" s="16"/>
      <c r="M77" s="20"/>
      <c r="N77" s="45"/>
    </row>
    <row r="78" spans="8:14" x14ac:dyDescent="0.2">
      <c r="H78" s="1"/>
      <c r="I78" s="16"/>
      <c r="J78" s="16"/>
      <c r="K78" s="16"/>
      <c r="L78" s="16"/>
      <c r="M78" s="20"/>
      <c r="N78" s="45"/>
    </row>
    <row r="79" spans="8:14" x14ac:dyDescent="0.2">
      <c r="H79" s="1"/>
      <c r="I79" s="16"/>
      <c r="J79" s="16"/>
      <c r="K79" s="16"/>
      <c r="L79" s="16"/>
      <c r="M79" s="20"/>
      <c r="N79" s="45"/>
    </row>
    <row r="80" spans="8:14" x14ac:dyDescent="0.2">
      <c r="H80" s="1"/>
      <c r="I80" s="16"/>
      <c r="J80" s="16"/>
      <c r="K80" s="16"/>
      <c r="L80" s="16"/>
      <c r="M80" s="20"/>
      <c r="N80" s="45"/>
    </row>
    <row r="81" spans="8:14" x14ac:dyDescent="0.2">
      <c r="H81" s="1"/>
      <c r="I81" s="16"/>
      <c r="J81" s="16"/>
      <c r="K81" s="16"/>
      <c r="L81" s="16"/>
      <c r="M81" s="20"/>
      <c r="N81" s="45"/>
    </row>
    <row r="82" spans="8:14" x14ac:dyDescent="0.2">
      <c r="H82" s="1"/>
      <c r="I82" s="16"/>
      <c r="J82" s="16"/>
      <c r="K82" s="16"/>
      <c r="L82" s="16"/>
      <c r="M82" s="20"/>
      <c r="N82" s="45"/>
    </row>
    <row r="83" spans="8:14" x14ac:dyDescent="0.2">
      <c r="H83" s="1"/>
      <c r="I83" s="16"/>
      <c r="J83" s="16"/>
      <c r="K83" s="16"/>
      <c r="L83" s="16"/>
      <c r="M83" s="20"/>
      <c r="N83" s="45"/>
    </row>
    <row r="84" spans="8:14" x14ac:dyDescent="0.2">
      <c r="H84" s="1"/>
      <c r="I84" s="16"/>
      <c r="J84" s="16"/>
      <c r="K84" s="16"/>
      <c r="L84" s="16"/>
      <c r="M84" s="20"/>
      <c r="N84" s="45"/>
    </row>
    <row r="85" spans="8:14" x14ac:dyDescent="0.2">
      <c r="H85" s="1"/>
      <c r="I85" s="16"/>
      <c r="J85" s="16"/>
      <c r="K85" s="16"/>
      <c r="L85" s="16"/>
      <c r="M85" s="20"/>
      <c r="N85" s="45"/>
    </row>
    <row r="86" spans="8:14" x14ac:dyDescent="0.2">
      <c r="H86" s="1"/>
      <c r="I86" s="16"/>
      <c r="J86" s="16"/>
      <c r="K86" s="16"/>
      <c r="L86" s="16"/>
      <c r="M86" s="20"/>
      <c r="N86" s="45"/>
    </row>
    <row r="87" spans="8:14" x14ac:dyDescent="0.2">
      <c r="H87" s="1"/>
      <c r="I87" s="16"/>
      <c r="J87" s="16"/>
      <c r="K87" s="16"/>
      <c r="L87" s="16"/>
      <c r="M87" s="20"/>
      <c r="N87" s="45"/>
    </row>
    <row r="88" spans="8:14" x14ac:dyDescent="0.2">
      <c r="H88" s="1"/>
      <c r="I88" s="16"/>
      <c r="J88" s="16"/>
      <c r="K88" s="16"/>
      <c r="L88" s="16"/>
      <c r="M88" s="20"/>
      <c r="N88" s="45"/>
    </row>
    <row r="89" spans="8:14" x14ac:dyDescent="0.2">
      <c r="H89" s="1"/>
      <c r="I89" s="16"/>
      <c r="J89" s="16"/>
      <c r="K89" s="16"/>
      <c r="L89" s="16"/>
      <c r="M89" s="20"/>
      <c r="N89" s="45"/>
    </row>
    <row r="90" spans="8:14" x14ac:dyDescent="0.2">
      <c r="H90" s="1"/>
      <c r="I90" s="16"/>
      <c r="J90" s="16"/>
      <c r="K90" s="16"/>
      <c r="L90" s="16"/>
      <c r="M90" s="20"/>
      <c r="N90" s="45"/>
    </row>
    <row r="91" spans="8:14" x14ac:dyDescent="0.2">
      <c r="H91" s="1"/>
      <c r="I91" s="16"/>
      <c r="J91" s="16"/>
      <c r="K91" s="16"/>
      <c r="L91" s="16"/>
      <c r="M91" s="20"/>
      <c r="N91" s="45"/>
    </row>
    <row r="92" spans="8:14" x14ac:dyDescent="0.2">
      <c r="H92" s="1"/>
      <c r="I92" s="16"/>
      <c r="J92" s="16"/>
      <c r="K92" s="16"/>
      <c r="L92" s="16"/>
      <c r="M92" s="20"/>
      <c r="N92" s="45"/>
    </row>
    <row r="93" spans="8:14" x14ac:dyDescent="0.2">
      <c r="H93" s="1"/>
      <c r="M93" s="20"/>
      <c r="N93" s="45"/>
    </row>
    <row r="94" spans="8:14" x14ac:dyDescent="0.2">
      <c r="H94" s="1"/>
      <c r="M94" s="20"/>
      <c r="N94" s="45"/>
    </row>
    <row r="95" spans="8:14" x14ac:dyDescent="0.2">
      <c r="H95" s="1"/>
      <c r="M95" s="20"/>
      <c r="N95" s="45"/>
    </row>
    <row r="96" spans="8:14" x14ac:dyDescent="0.2">
      <c r="H96" s="1"/>
      <c r="M96" s="20"/>
      <c r="N96" s="45"/>
    </row>
    <row r="97" spans="8:14" x14ac:dyDescent="0.2">
      <c r="H97" s="1"/>
      <c r="M97" s="23"/>
    </row>
    <row r="98" spans="8:14" x14ac:dyDescent="0.2">
      <c r="H98" s="1"/>
      <c r="M98" s="23"/>
    </row>
    <row r="99" spans="8:14" x14ac:dyDescent="0.2">
      <c r="H99" s="1"/>
      <c r="I99" s="1"/>
      <c r="J99" s="1"/>
      <c r="K99" s="1"/>
      <c r="L99" s="1"/>
      <c r="M99" s="23"/>
      <c r="N99" s="1"/>
    </row>
    <row r="100" spans="8:14" x14ac:dyDescent="0.2">
      <c r="H100" s="1"/>
      <c r="I100" s="1"/>
      <c r="J100" s="1"/>
      <c r="K100" s="1"/>
      <c r="L100" s="1"/>
      <c r="M100" s="23"/>
      <c r="N100" s="1"/>
    </row>
    <row r="101" spans="8:14" x14ac:dyDescent="0.2">
      <c r="H101" s="1"/>
      <c r="I101" s="1"/>
      <c r="J101" s="1"/>
      <c r="K101" s="1"/>
      <c r="L101" s="1"/>
      <c r="M101" s="23"/>
      <c r="N101" s="1"/>
    </row>
    <row r="102" spans="8:14" x14ac:dyDescent="0.2">
      <c r="H102" s="1"/>
      <c r="I102" s="1"/>
      <c r="J102" s="1"/>
      <c r="K102" s="1"/>
      <c r="L102" s="1"/>
      <c r="M102" s="23"/>
      <c r="N102" s="1"/>
    </row>
    <row r="103" spans="8:14" x14ac:dyDescent="0.2">
      <c r="H103" s="1"/>
      <c r="I103" s="1"/>
      <c r="J103" s="1"/>
      <c r="K103" s="1"/>
      <c r="L103" s="1"/>
      <c r="M103" s="23"/>
      <c r="N103" s="1"/>
    </row>
    <row r="104" spans="8:14" x14ac:dyDescent="0.2">
      <c r="H104" s="1"/>
      <c r="I104" s="1"/>
      <c r="J104" s="1"/>
      <c r="K104" s="1"/>
      <c r="L104" s="1"/>
      <c r="M104" s="23"/>
      <c r="N104" s="1"/>
    </row>
    <row r="105" spans="8:14" x14ac:dyDescent="0.2">
      <c r="H105" s="1"/>
      <c r="I105" s="1"/>
      <c r="J105" s="1"/>
      <c r="K105" s="1"/>
      <c r="L105" s="1"/>
      <c r="M105" s="23"/>
      <c r="N105" s="1"/>
    </row>
  </sheetData>
  <customSheetViews>
    <customSheetView guid="{A7202596-ED82-49DB-9D54-0C5933B5F4AB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9DB0A077-28AD-433E-9D96-33B21ABCA4D8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E7A55D62-BF7A-11E0-B75E-001B63BB0B47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81AC4E53-F99F-4836-B032-227F9E8FCF57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E3CF66F7-6813-4515-8288-FEBCAE0F0009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A47F1B80-7681-4676-9923-D9D4F64EB46B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DE0885C5-016B-E241-BDCD-7B91209561D7}">
      <selection activeCell="I21" sqref="I21"/>
      <pageMargins left="0.7" right="0.7" top="0.75" bottom="0.75" header="0.3" footer="0.3"/>
      <pageSetup paperSize="0" orientation="portrait" horizontalDpi="4294967292" verticalDpi="4294967292"/>
      <headerFooter alignWithMargins="0"/>
    </customSheetView>
    <customSheetView guid="{FE5D4A4A-65B2-7E41-8096-7C416D25A57C}" topLeftCell="A34">
      <selection activeCell="C51" sqref="C51"/>
      <pageMargins left="0.7" right="0.7" top="0.75" bottom="0.75" header="0.3" footer="0.3"/>
      <pageSetup paperSize="0" orientation="portrait" horizontalDpi="4294967292" verticalDpi="4294967292"/>
      <headerFooter alignWithMargins="0"/>
    </customSheetView>
  </customSheetViews>
  <phoneticPr fontId="4"/>
  <pageMargins left="0.7" right="0.7" top="0.75" bottom="0.75" header="0.3" footer="0.3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48.5 IDC</vt:lpstr>
      <vt:lpstr>37.4 IDC</vt:lpstr>
    </vt:vector>
  </TitlesOfParts>
  <Company>UW-AOS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Richmond</dc:creator>
  <cp:lastModifiedBy>Microsoft Office User</cp:lastModifiedBy>
  <cp:lastPrinted>2008-07-09T20:01:51Z</cp:lastPrinted>
  <dcterms:created xsi:type="dcterms:W3CDTF">2001-01-09T18:40:04Z</dcterms:created>
  <dcterms:modified xsi:type="dcterms:W3CDTF">2016-11-23T19:33:01Z</dcterms:modified>
</cp:coreProperties>
</file>